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國小組" sheetId="1" r:id="rId4"/>
    <sheet state="visible" name="國中組" sheetId="2" r:id="rId5"/>
  </sheets>
  <definedNames/>
  <calcPr/>
</workbook>
</file>

<file path=xl/sharedStrings.xml><?xml version="1.0" encoding="utf-8"?>
<sst xmlns="http://schemas.openxmlformats.org/spreadsheetml/2006/main" count="14" uniqueCount="8">
  <si>
    <r>
      <rPr>
        <rFont val="Calibri, Arial"/>
        <b/>
        <color theme="1"/>
        <sz val="14.0"/>
      </rPr>
      <t xml:space="preserve">111年度資安王比賽_得獎名單_國小組
</t>
    </r>
    <r>
      <rPr>
        <rFont val="Calibri, Arial"/>
        <b/>
        <color rgb="FFFF0000"/>
        <sz val="14.0"/>
      </rPr>
      <t xml:space="preserve">
</t>
    </r>
    <r>
      <rPr>
        <rFont val="Calibri, Arial"/>
        <b val="0"/>
        <color theme="1"/>
        <sz val="12.0"/>
      </rPr>
      <t>1. 有出現在最高分名單者，也會出現在此得獎名單，請不用擔心
2. 獎狀品預計於10/31-11/30安排寄送，各校寄送時程依實際作業情形為主
3. 請禮券得主收到禮券後，配合回傳簽收回條以利核銷作業</t>
    </r>
    <r>
      <rPr>
        <rFont val="Calibri, Arial"/>
        <b val="0"/>
        <color rgb="FFFF0000"/>
        <sz val="12.0"/>
      </rPr>
      <t xml:space="preserve">
</t>
    </r>
    <r>
      <rPr>
        <rFont val="Calibri, Arial"/>
        <b val="0"/>
        <color theme="1"/>
        <sz val="12.0"/>
      </rPr>
      <t xml:space="preserve">
*請善用Ctrl+F輸入關鍵字搜尋名單*</t>
    </r>
  </si>
  <si>
    <t>uid</t>
  </si>
  <si>
    <t>姓名</t>
  </si>
  <si>
    <t>參賽信箱</t>
  </si>
  <si>
    <t>學校</t>
  </si>
  <si>
    <t>年級</t>
  </si>
  <si>
    <t>獎項</t>
  </si>
  <si>
    <r>
      <rPr>
        <rFont val="Calibri, Arial"/>
        <b/>
        <color theme="1"/>
        <sz val="14.0"/>
      </rPr>
      <t xml:space="preserve">111年度資安王比賽_得獎名單_國中組
</t>
    </r>
    <r>
      <rPr>
        <rFont val="Calibri, Arial"/>
        <b/>
        <color rgb="FFFF0000"/>
        <sz val="14.0"/>
      </rPr>
      <t xml:space="preserve">
</t>
    </r>
    <r>
      <rPr>
        <rFont val="Calibri, Arial"/>
        <b val="0"/>
        <color theme="1"/>
        <sz val="12.0"/>
      </rPr>
      <t>1. 有出現在最高分名單者，也會出現在此得獎名單，請不用擔心
2. 獎狀品預計於10/31-11/30安排寄送，各校寄送時程依實際作業情形為主
3. 請禮券得主收到禮券後，配合回傳簽收回條以利核銷作業</t>
    </r>
    <r>
      <rPr>
        <rFont val="Calibri, Arial"/>
        <b val="0"/>
        <color rgb="FFFF0000"/>
        <sz val="12.0"/>
      </rPr>
      <t xml:space="preserve">
</t>
    </r>
    <r>
      <rPr>
        <rFont val="Calibri, Arial"/>
        <b val="0"/>
        <color theme="1"/>
        <sz val="12.0"/>
      </rPr>
      <t xml:space="preserve">
*請善用Ctrl+F輸入關鍵字搜尋名單*</t>
    </r>
  </si>
</sst>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4.0"/>
      <color theme="1"/>
      <name val="Calibri"/>
    </font>
    <font>
      <color theme="1"/>
      <name val="Arial"/>
      <scheme val="minor"/>
    </font>
    <font/>
    <font>
      <b/>
      <sz val="12.0"/>
      <color theme="1"/>
      <name val="Arial"/>
      <scheme val="minor"/>
    </font>
    <font>
      <sz val="12.0"/>
      <color theme="1"/>
      <name val="Arial"/>
      <scheme val="minor"/>
    </font>
    <font>
      <sz val="12.0"/>
      <color rgb="FF000000"/>
      <name val="Arial"/>
      <scheme val="minor"/>
    </font>
  </fonts>
  <fills count="6">
    <fill>
      <patternFill patternType="none"/>
    </fill>
    <fill>
      <patternFill patternType="lightGray"/>
    </fill>
    <fill>
      <patternFill patternType="solid">
        <fgColor theme="0"/>
        <bgColor theme="0"/>
      </patternFill>
    </fill>
    <fill>
      <patternFill patternType="solid">
        <fgColor rgb="FFCFE2F3"/>
        <bgColor rgb="FFCFE2F3"/>
      </patternFill>
    </fill>
    <fill>
      <patternFill patternType="solid">
        <fgColor rgb="FFFFFFFF"/>
        <bgColor rgb="FFFFFFFF"/>
      </patternFill>
    </fill>
    <fill>
      <patternFill patternType="solid">
        <fgColor rgb="FFD9EAD3"/>
        <bgColor rgb="FFD9EAD3"/>
      </patternFill>
    </fill>
  </fills>
  <borders count="6">
    <border/>
    <border>
      <left style="thin">
        <color rgb="FF999999"/>
      </left>
      <top style="thin">
        <color rgb="FF999999"/>
      </top>
      <bottom style="thin">
        <color rgb="FF999999"/>
      </bottom>
    </border>
    <border>
      <top style="thin">
        <color rgb="FF999999"/>
      </top>
      <bottom style="thin">
        <color rgb="FF999999"/>
      </bottom>
    </border>
    <border>
      <right style="thin">
        <color rgb="FF999999"/>
      </right>
      <top style="thin">
        <color rgb="FF999999"/>
      </top>
      <bottom style="thin">
        <color rgb="FF999999"/>
      </bottom>
    </border>
    <border>
      <left style="thin">
        <color rgb="FF999999"/>
      </left>
      <right style="thin">
        <color rgb="FF999999"/>
      </right>
      <top style="thin">
        <color rgb="FF999999"/>
      </top>
      <bottom style="thin">
        <color rgb="FF999999"/>
      </bottom>
    </border>
    <border>
      <left style="thin">
        <color rgb="FF999999"/>
      </left>
      <right style="thin">
        <color rgb="FF999999"/>
      </right>
      <top style="thin">
        <color rgb="FF999999"/>
      </top>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2" fontId="1" numFmtId="0" xfId="0" applyAlignment="1" applyFill="1" applyFont="1">
      <alignment readingOrder="0" vertical="center"/>
    </xf>
    <xf borderId="0" fillId="2" fontId="1" numFmtId="0" xfId="0" applyAlignment="1" applyFont="1">
      <alignment horizontal="center" readingOrder="0" vertical="center"/>
    </xf>
    <xf borderId="0" fillId="2" fontId="1" numFmtId="0" xfId="0" applyAlignment="1" applyFont="1">
      <alignment horizontal="left" readingOrder="0" vertical="center"/>
    </xf>
    <xf borderId="0" fillId="2" fontId="2" numFmtId="0" xfId="0" applyAlignment="1" applyFont="1">
      <alignment vertical="center"/>
    </xf>
    <xf borderId="1" fillId="3" fontId="1" numFmtId="0" xfId="0" applyAlignment="1" applyBorder="1" applyFill="1" applyFont="1">
      <alignment horizontal="left" readingOrder="0" vertical="center"/>
    </xf>
    <xf borderId="2" fillId="0" fontId="3" numFmtId="0" xfId="0" applyBorder="1" applyFont="1"/>
    <xf borderId="3" fillId="0" fontId="3" numFmtId="0" xfId="0" applyBorder="1" applyFont="1"/>
    <xf borderId="0" fillId="0" fontId="2" numFmtId="0" xfId="0" applyAlignment="1" applyFont="1">
      <alignment vertical="center"/>
    </xf>
    <xf borderId="0" fillId="2" fontId="4" numFmtId="0" xfId="0" applyAlignment="1" applyFont="1">
      <alignment horizontal="center" vertical="center"/>
    </xf>
    <xf borderId="4" fillId="0" fontId="4" numFmtId="0" xfId="0" applyAlignment="1" applyBorder="1" applyFont="1">
      <alignment horizontal="center" readingOrder="0" vertical="center"/>
    </xf>
    <xf borderId="4" fillId="0" fontId="4" numFmtId="0" xfId="0" applyAlignment="1" applyBorder="1" applyFont="1">
      <alignment horizontal="center" readingOrder="0" shrinkToFit="0" vertical="center" wrapText="1"/>
    </xf>
    <xf borderId="0" fillId="2" fontId="5" numFmtId="0" xfId="0" applyAlignment="1" applyFont="1">
      <alignment horizontal="center" vertical="center"/>
    </xf>
    <xf borderId="4" fillId="4" fontId="6" numFmtId="0" xfId="0" applyAlignment="1" applyBorder="1" applyFill="1" applyFont="1">
      <alignment horizontal="center"/>
    </xf>
    <xf borderId="4" fillId="0" fontId="5" numFmtId="0" xfId="0" applyAlignment="1" applyBorder="1" applyFont="1">
      <alignment horizontal="center" vertical="center"/>
    </xf>
    <xf borderId="4" fillId="4" fontId="6" numFmtId="0" xfId="0" applyAlignment="1" applyBorder="1" applyFont="1">
      <alignment horizontal="left"/>
    </xf>
    <xf borderId="4" fillId="0" fontId="5" numFmtId="0" xfId="0" applyAlignment="1" applyBorder="1" applyFont="1">
      <alignment horizontal="left" vertical="center"/>
    </xf>
    <xf borderId="4" fillId="0" fontId="5" numFmtId="0" xfId="0" applyAlignment="1" applyBorder="1" applyFont="1">
      <alignment horizontal="center" shrinkToFit="0" vertical="center" wrapText="1"/>
    </xf>
    <xf borderId="0" fillId="2" fontId="2" numFmtId="0" xfId="0" applyAlignment="1" applyFont="1">
      <alignment horizontal="center" vertical="center"/>
    </xf>
    <xf borderId="5" fillId="0" fontId="5" numFmtId="0" xfId="0" applyAlignment="1" applyBorder="1" applyFont="1">
      <alignment horizontal="center" vertical="center"/>
    </xf>
    <xf borderId="5" fillId="0" fontId="5" numFmtId="0" xfId="0" applyAlignment="1" applyBorder="1" applyFont="1">
      <alignment horizontal="left" vertical="center"/>
    </xf>
    <xf borderId="5" fillId="0" fontId="5" numFmtId="0" xfId="0" applyAlignment="1" applyBorder="1" applyFont="1">
      <alignment horizontal="center" shrinkToFit="0" vertical="center" wrapText="1"/>
    </xf>
    <xf borderId="0" fillId="0" fontId="5" numFmtId="0" xfId="0" applyAlignment="1" applyFont="1">
      <alignment horizontal="center" vertical="center"/>
    </xf>
    <xf borderId="0" fillId="0" fontId="5" numFmtId="0" xfId="0" applyAlignment="1" applyFont="1">
      <alignment horizontal="left" vertical="center"/>
    </xf>
    <xf borderId="0" fillId="0" fontId="5" numFmtId="0" xfId="0" applyAlignment="1" applyFont="1">
      <alignment horizontal="center" shrinkToFit="0" vertical="center" wrapText="1"/>
    </xf>
    <xf borderId="1" fillId="5" fontId="1" numFmtId="0" xfId="0" applyAlignment="1" applyBorder="1" applyFill="1" applyFont="1">
      <alignment horizontal="lef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75"/>
  <cols>
    <col customWidth="1" min="1" max="1" width="9.38"/>
    <col customWidth="1" min="2" max="2" width="9.0"/>
    <col customWidth="1" min="3" max="3" width="15.5"/>
    <col customWidth="1" min="4" max="4" width="32.0"/>
    <col customWidth="1" min="5" max="5" width="33.0"/>
    <col customWidth="1" min="8" max="8" width="9.38"/>
  </cols>
  <sheetData>
    <row r="1" ht="12.75" customHeight="1">
      <c r="A1" s="1"/>
      <c r="B1" s="2"/>
      <c r="C1" s="2"/>
      <c r="D1" s="3"/>
      <c r="E1" s="1"/>
      <c r="F1" s="1"/>
      <c r="G1" s="1"/>
      <c r="H1" s="4"/>
    </row>
    <row r="2">
      <c r="A2" s="1"/>
      <c r="B2" s="5" t="s">
        <v>0</v>
      </c>
      <c r="C2" s="6"/>
      <c r="D2" s="6"/>
      <c r="E2" s="6"/>
      <c r="F2" s="6"/>
      <c r="G2" s="7"/>
      <c r="H2" s="8"/>
    </row>
    <row r="3">
      <c r="A3" s="9"/>
      <c r="B3" s="10" t="s">
        <v>1</v>
      </c>
      <c r="C3" s="10" t="s">
        <v>2</v>
      </c>
      <c r="D3" s="10" t="s">
        <v>3</v>
      </c>
      <c r="E3" s="11" t="s">
        <v>4</v>
      </c>
      <c r="F3" s="10" t="s">
        <v>5</v>
      </c>
      <c r="G3" s="10" t="s">
        <v>6</v>
      </c>
      <c r="H3" s="8"/>
    </row>
    <row r="4">
      <c r="A4" s="12"/>
      <c r="B4" s="13">
        <f>IFERROR(__xludf.DUMMYFUNCTION("IMPORTRANGE(""https://docs.google.com/spreadsheets/d/1jFOXomHANaTw6VARqt_U8RRr4VhrJnekgP9IHOleJKQ/edit?usp=sharing"",""國小最高分_客服複查用!A5:B"")"),1144509.0)</f>
        <v>1144509</v>
      </c>
      <c r="C4" s="14" t="str">
        <f>IFERROR(__xludf.DUMMYFUNCTION("""COMPUTED_VALUE"""),"許竣凱")</f>
        <v>許竣凱</v>
      </c>
      <c r="D4" s="15" t="str">
        <f>IFERROR(__xludf.DUMMYFUNCTION("IMPORTRANGE(""https://docs.google.com/spreadsheets/d/1jFOXomHANaTw6VARqt_U8RRr4VhrJnekgP9IHOleJKQ/edit?usp=sharing"",""國小最高分_客服複查用!E5:E"")"),"kev*****2858@gmail.com")</f>
        <v>kev*****2858@gmail.com</v>
      </c>
      <c r="E4" s="13" t="str">
        <f>IFERROR(__xludf.DUMMYFUNCTION("IMPORTRANGE(""https://docs.google.com/spreadsheets/d/1jFOXomHANaTw6VARqt_U8RRr4VhrJnekgP9IHOleJKQ/edit?usp=sharing"",""國小最高分_客服複查用!K5:K"")"),"臺北市中正區河堤國民小學")</f>
        <v>臺北市中正區河堤國民小學</v>
      </c>
      <c r="F4" s="13" t="str">
        <f>IFERROR(__xludf.DUMMYFUNCTION("IMPORTRANGE(""https://docs.google.com/spreadsheets/d/1jFOXomHANaTw6VARqt_U8RRr4VhrJnekgP9IHOleJKQ/edit?usp=sharing"",""國小最高分_客服複查用!N5:N"")"),"三年級")</f>
        <v>三年級</v>
      </c>
      <c r="G4" s="13" t="str">
        <f>IFERROR(__xludf.DUMMYFUNCTION("IMPORTRANGE(""https://docs.google.com/spreadsheets/d/1jFOXomHANaTw6VARqt_U8RRr4VhrJnekgP9IHOleJKQ/edit?usp=sharing"",""國小最高分_客服複查用!C5:C"")"),"獎狀")</f>
        <v>獎狀</v>
      </c>
      <c r="H4" s="8"/>
    </row>
    <row r="5">
      <c r="A5" s="12"/>
      <c r="B5" s="14">
        <f>IFERROR(__xludf.DUMMYFUNCTION("""COMPUTED_VALUE"""),863022.0)</f>
        <v>863022</v>
      </c>
      <c r="C5" s="14" t="str">
        <f>IFERROR(__xludf.DUMMYFUNCTION("""COMPUTED_VALUE"""),"王元彤")</f>
        <v>王元彤</v>
      </c>
      <c r="D5" s="16" t="str">
        <f>IFERROR(__xludf.DUMMYFUNCTION("""COMPUTED_VALUE"""),"108*****tps.tp.edu.tw")</f>
        <v>108*****tps.tp.edu.tw</v>
      </c>
      <c r="E5" s="17" t="str">
        <f>IFERROR(__xludf.DUMMYFUNCTION("""COMPUTED_VALUE"""),"臺北市中正區河堤國民小學")</f>
        <v>臺北市中正區河堤國民小學</v>
      </c>
      <c r="F5" s="14" t="str">
        <f>IFERROR(__xludf.DUMMYFUNCTION("""COMPUTED_VALUE"""),"四年級")</f>
        <v>四年級</v>
      </c>
      <c r="G5" s="14" t="str">
        <f>IFERROR(__xludf.DUMMYFUNCTION("""COMPUTED_VALUE"""),"●小禮物")</f>
        <v>●小禮物</v>
      </c>
      <c r="H5" s="8"/>
    </row>
    <row r="6">
      <c r="A6" s="12"/>
      <c r="B6" s="14">
        <f>IFERROR(__xludf.DUMMYFUNCTION("""COMPUTED_VALUE"""),865724.0)</f>
        <v>865724</v>
      </c>
      <c r="C6" s="14" t="str">
        <f>IFERROR(__xludf.DUMMYFUNCTION("""COMPUTED_VALUE"""),"林鳳書")</f>
        <v>林鳳書</v>
      </c>
      <c r="D6" s="16" t="str">
        <f>IFERROR(__xludf.DUMMYFUNCTION("""COMPUTED_VALUE"""),"htp*****45.tp@mail.edu.tw")</f>
        <v>htp*****45.tp@mail.edu.tw</v>
      </c>
      <c r="E6" s="17" t="str">
        <f>IFERROR(__xludf.DUMMYFUNCTION("""COMPUTED_VALUE"""),"臺北市中正區河堤國民小學")</f>
        <v>臺北市中正區河堤國民小學</v>
      </c>
      <c r="F6" s="14" t="str">
        <f>IFERROR(__xludf.DUMMYFUNCTION("""COMPUTED_VALUE"""),"四年級")</f>
        <v>四年級</v>
      </c>
      <c r="G6" s="14" t="str">
        <f>IFERROR(__xludf.DUMMYFUNCTION("""COMPUTED_VALUE"""),"●小禮物")</f>
        <v>●小禮物</v>
      </c>
      <c r="H6" s="8"/>
    </row>
    <row r="7">
      <c r="A7" s="12"/>
      <c r="B7" s="14">
        <f>IFERROR(__xludf.DUMMYFUNCTION("""COMPUTED_VALUE"""),944893.0)</f>
        <v>944893</v>
      </c>
      <c r="C7" s="14" t="str">
        <f>IFERROR(__xludf.DUMMYFUNCTION("""COMPUTED_VALUE"""),"黃郁鈞")</f>
        <v>黃郁鈞</v>
      </c>
      <c r="D7" s="16" t="str">
        <f>IFERROR(__xludf.DUMMYFUNCTION("""COMPUTED_VALUE"""),"065*****ail.fju.edu.tw")</f>
        <v>065*****ail.fju.edu.tw</v>
      </c>
      <c r="E7" s="17" t="str">
        <f>IFERROR(__xludf.DUMMYFUNCTION("""COMPUTED_VALUE"""),"臺北市中正區東門國民小學")</f>
        <v>臺北市中正區東門國民小學</v>
      </c>
      <c r="F7" s="14" t="str">
        <f>IFERROR(__xludf.DUMMYFUNCTION("""COMPUTED_VALUE"""),"四年級")</f>
        <v>四年級</v>
      </c>
      <c r="G7" s="14" t="str">
        <f>IFERROR(__xludf.DUMMYFUNCTION("""COMPUTED_VALUE"""),"●小禮物")</f>
        <v>●小禮物</v>
      </c>
      <c r="H7" s="8"/>
    </row>
    <row r="8">
      <c r="A8" s="12"/>
      <c r="B8" s="14">
        <f>IFERROR(__xludf.DUMMYFUNCTION("""COMPUTED_VALUE"""),789888.0)</f>
        <v>789888</v>
      </c>
      <c r="C8" s="14" t="str">
        <f>IFERROR(__xludf.DUMMYFUNCTION("""COMPUTED_VALUE"""),"張語恬")</f>
        <v>張語恬</v>
      </c>
      <c r="D8" s="16" t="str">
        <f>IFERROR(__xludf.DUMMYFUNCTION("""COMPUTED_VALUE"""),"108*****ail.tmps.tp.edu.tw")</f>
        <v>108*****ail.tmps.tp.edu.tw</v>
      </c>
      <c r="E8" s="17" t="str">
        <f>IFERROR(__xludf.DUMMYFUNCTION("""COMPUTED_VALUE"""),"臺北市中正區東門國民小學")</f>
        <v>臺北市中正區東門國民小學</v>
      </c>
      <c r="F8" s="14" t="str">
        <f>IFERROR(__xludf.DUMMYFUNCTION("""COMPUTED_VALUE"""),"四年級")</f>
        <v>四年級</v>
      </c>
      <c r="G8" s="14" t="str">
        <f>IFERROR(__xludf.DUMMYFUNCTION("""COMPUTED_VALUE"""),"●小禮物")</f>
        <v>●小禮物</v>
      </c>
      <c r="H8" s="8"/>
    </row>
    <row r="9">
      <c r="A9" s="12"/>
      <c r="B9" s="14">
        <f>IFERROR(__xludf.DUMMYFUNCTION("""COMPUTED_VALUE"""),974919.0)</f>
        <v>974919</v>
      </c>
      <c r="C9" s="14" t="str">
        <f>IFERROR(__xludf.DUMMYFUNCTION("""COMPUTED_VALUE"""),"郭于瑄")</f>
        <v>郭于瑄</v>
      </c>
      <c r="D9" s="16" t="str">
        <f>IFERROR(__xludf.DUMMYFUNCTION("""COMPUTED_VALUE"""),"thk*****.gov.tw")</f>
        <v>thk*****.gov.tw</v>
      </c>
      <c r="E9" s="17" t="str">
        <f>IFERROR(__xludf.DUMMYFUNCTION("""COMPUTED_VALUE"""),"臺北市中正區東門國民小學")</f>
        <v>臺北市中正區東門國民小學</v>
      </c>
      <c r="F9" s="14" t="str">
        <f>IFERROR(__xludf.DUMMYFUNCTION("""COMPUTED_VALUE"""),"四年級")</f>
        <v>四年級</v>
      </c>
      <c r="G9" s="14" t="str">
        <f>IFERROR(__xludf.DUMMYFUNCTION("""COMPUTED_VALUE"""),"●小禮物")</f>
        <v>●小禮物</v>
      </c>
      <c r="H9" s="8"/>
    </row>
    <row r="10">
      <c r="A10" s="12"/>
      <c r="B10" s="14">
        <f>IFERROR(__xludf.DUMMYFUNCTION("""COMPUTED_VALUE"""),1208531.0)</f>
        <v>1208531</v>
      </c>
      <c r="C10" s="14" t="str">
        <f>IFERROR(__xludf.DUMMYFUNCTION("""COMPUTED_VALUE"""),"喻璽文")</f>
        <v>喻璽文</v>
      </c>
      <c r="D10" s="16" t="str">
        <f>IFERROR(__xludf.DUMMYFUNCTION("""COMPUTED_VALUE"""),"108*****ail.tmps.tp.edu.tw")</f>
        <v>108*****ail.tmps.tp.edu.tw</v>
      </c>
      <c r="E10" s="17" t="str">
        <f>IFERROR(__xludf.DUMMYFUNCTION("""COMPUTED_VALUE"""),"臺北市中正區東門國民小學")</f>
        <v>臺北市中正區東門國民小學</v>
      </c>
      <c r="F10" s="14" t="str">
        <f>IFERROR(__xludf.DUMMYFUNCTION("""COMPUTED_VALUE"""),"四年級")</f>
        <v>四年級</v>
      </c>
      <c r="G10" s="14" t="str">
        <f>IFERROR(__xludf.DUMMYFUNCTION("""COMPUTED_VALUE"""),"●小禮物")</f>
        <v>●小禮物</v>
      </c>
      <c r="H10" s="8"/>
    </row>
    <row r="11">
      <c r="A11" s="12"/>
      <c r="B11" s="14">
        <f>IFERROR(__xludf.DUMMYFUNCTION("""COMPUTED_VALUE"""),789894.0)</f>
        <v>789894</v>
      </c>
      <c r="C11" s="14" t="str">
        <f>IFERROR(__xludf.DUMMYFUNCTION("""COMPUTED_VALUE"""),"張語恆")</f>
        <v>張語恆</v>
      </c>
      <c r="D11" s="16" t="str">
        <f>IFERROR(__xludf.DUMMYFUNCTION("""COMPUTED_VALUE"""),"108*****ail.tmps.tp.edu.tw")</f>
        <v>108*****ail.tmps.tp.edu.tw</v>
      </c>
      <c r="E11" s="17" t="str">
        <f>IFERROR(__xludf.DUMMYFUNCTION("""COMPUTED_VALUE"""),"臺北市中正區東門國民小學")</f>
        <v>臺北市中正區東門國民小學</v>
      </c>
      <c r="F11" s="14" t="str">
        <f>IFERROR(__xludf.DUMMYFUNCTION("""COMPUTED_VALUE"""),"四年級")</f>
        <v>四年級</v>
      </c>
      <c r="G11" s="14" t="str">
        <f>IFERROR(__xludf.DUMMYFUNCTION("""COMPUTED_VALUE"""),"獎狀")</f>
        <v>獎狀</v>
      </c>
      <c r="H11" s="8"/>
    </row>
    <row r="12">
      <c r="A12" s="12"/>
      <c r="B12" s="14">
        <f>IFERROR(__xludf.DUMMYFUNCTION("""COMPUTED_VALUE"""),710401.0)</f>
        <v>710401</v>
      </c>
      <c r="C12" s="14" t="str">
        <f>IFERROR(__xludf.DUMMYFUNCTION("""COMPUTED_VALUE"""),"簡筠霏")</f>
        <v>簡筠霏</v>
      </c>
      <c r="D12" s="16" t="str">
        <f>IFERROR(__xludf.DUMMYFUNCTION("""COMPUTED_VALUE"""),"108*****ail.tmps.tp.edu.tw")</f>
        <v>108*****ail.tmps.tp.edu.tw</v>
      </c>
      <c r="E12" s="17" t="str">
        <f>IFERROR(__xludf.DUMMYFUNCTION("""COMPUTED_VALUE"""),"臺北市中正區東門國民小學")</f>
        <v>臺北市中正區東門國民小學</v>
      </c>
      <c r="F12" s="14" t="str">
        <f>IFERROR(__xludf.DUMMYFUNCTION("""COMPUTED_VALUE"""),"四年級")</f>
        <v>四年級</v>
      </c>
      <c r="G12" s="14" t="str">
        <f>IFERROR(__xludf.DUMMYFUNCTION("""COMPUTED_VALUE"""),"獎狀")</f>
        <v>獎狀</v>
      </c>
      <c r="H12" s="8"/>
    </row>
    <row r="13">
      <c r="A13" s="12"/>
      <c r="B13" s="14">
        <f>IFERROR(__xludf.DUMMYFUNCTION("""COMPUTED_VALUE"""),605174.0)</f>
        <v>605174</v>
      </c>
      <c r="C13" s="14" t="str">
        <f>IFERROR(__xludf.DUMMYFUNCTION("""COMPUTED_VALUE"""),"吳昕濃")</f>
        <v>吳昕濃</v>
      </c>
      <c r="D13" s="16" t="str">
        <f>IFERROR(__xludf.DUMMYFUNCTION("""COMPUTED_VALUE"""),"107*****ail.tmps.tp.edu.tw")</f>
        <v>107*****ail.tmps.tp.edu.tw</v>
      </c>
      <c r="E13" s="17" t="str">
        <f>IFERROR(__xludf.DUMMYFUNCTION("""COMPUTED_VALUE"""),"臺北市中正區東門國民小學")</f>
        <v>臺北市中正區東門國民小學</v>
      </c>
      <c r="F13" s="14" t="str">
        <f>IFERROR(__xludf.DUMMYFUNCTION("""COMPUTED_VALUE"""),"五年級")</f>
        <v>五年級</v>
      </c>
      <c r="G13" s="14" t="str">
        <f>IFERROR(__xludf.DUMMYFUNCTION("""COMPUTED_VALUE"""),"獎狀")</f>
        <v>獎狀</v>
      </c>
      <c r="H13" s="8"/>
    </row>
    <row r="14">
      <c r="A14" s="12"/>
      <c r="B14" s="14">
        <f>IFERROR(__xludf.DUMMYFUNCTION("""COMPUTED_VALUE"""),547653.0)</f>
        <v>547653</v>
      </c>
      <c r="C14" s="14" t="str">
        <f>IFERROR(__xludf.DUMMYFUNCTION("""COMPUTED_VALUE"""),"陳芍衣")</f>
        <v>陳芍衣</v>
      </c>
      <c r="D14" s="16" t="str">
        <f>IFERROR(__xludf.DUMMYFUNCTION("""COMPUTED_VALUE"""),"106*****ail.tmps.tp.edu.tw")</f>
        <v>106*****ail.tmps.tp.edu.tw</v>
      </c>
      <c r="E14" s="17" t="str">
        <f>IFERROR(__xludf.DUMMYFUNCTION("""COMPUTED_VALUE"""),"臺北市中正區東門國民小學")</f>
        <v>臺北市中正區東門國民小學</v>
      </c>
      <c r="F14" s="14" t="str">
        <f>IFERROR(__xludf.DUMMYFUNCTION("""COMPUTED_VALUE"""),"六年級")</f>
        <v>六年級</v>
      </c>
      <c r="G14" s="14" t="str">
        <f>IFERROR(__xludf.DUMMYFUNCTION("""COMPUTED_VALUE"""),"獎狀")</f>
        <v>獎狀</v>
      </c>
      <c r="H14" s="8"/>
    </row>
    <row r="15">
      <c r="A15" s="12"/>
      <c r="B15" s="14">
        <f>IFERROR(__xludf.DUMMYFUNCTION("""COMPUTED_VALUE"""),888697.0)</f>
        <v>888697</v>
      </c>
      <c r="C15" s="14" t="str">
        <f>IFERROR(__xludf.DUMMYFUNCTION("""COMPUTED_VALUE"""),"張敬加")</f>
        <v>張敬加</v>
      </c>
      <c r="D15" s="16" t="str">
        <f>IFERROR(__xludf.DUMMYFUNCTION("""COMPUTED_VALUE"""),"nme*****16@mail.nmes.tp.edu.tw")</f>
        <v>nme*****16@mail.nmes.tp.edu.tw</v>
      </c>
      <c r="E15" s="17" t="str">
        <f>IFERROR(__xludf.DUMMYFUNCTION("""COMPUTED_VALUE"""),"臺北市中正區南門國民小學")</f>
        <v>臺北市中正區南門國民小學</v>
      </c>
      <c r="F15" s="14" t="str">
        <f>IFERROR(__xludf.DUMMYFUNCTION("""COMPUTED_VALUE"""),"四年級")</f>
        <v>四年級</v>
      </c>
      <c r="G15" s="14" t="str">
        <f>IFERROR(__xludf.DUMMYFUNCTION("""COMPUTED_VALUE"""),"獎狀")</f>
        <v>獎狀</v>
      </c>
      <c r="H15" s="8"/>
    </row>
    <row r="16">
      <c r="A16" s="12"/>
      <c r="B16" s="14">
        <f>IFERROR(__xludf.DUMMYFUNCTION("""COMPUTED_VALUE"""),940171.0)</f>
        <v>940171</v>
      </c>
      <c r="C16" s="14" t="str">
        <f>IFERROR(__xludf.DUMMYFUNCTION("""COMPUTED_VALUE"""),"范睿希")</f>
        <v>范睿希</v>
      </c>
      <c r="D16" s="16" t="str">
        <f>IFERROR(__xludf.DUMMYFUNCTION("""COMPUTED_VALUE"""),"nme*****01@mail.nmes.tp.edu.tw")</f>
        <v>nme*****01@mail.nmes.tp.edu.tw</v>
      </c>
      <c r="E16" s="17" t="str">
        <f>IFERROR(__xludf.DUMMYFUNCTION("""COMPUTED_VALUE"""),"臺北市中正區南門國民小學")</f>
        <v>臺北市中正區南門國民小學</v>
      </c>
      <c r="F16" s="14" t="str">
        <f>IFERROR(__xludf.DUMMYFUNCTION("""COMPUTED_VALUE"""),"五年級")</f>
        <v>五年級</v>
      </c>
      <c r="G16" s="14" t="str">
        <f>IFERROR(__xludf.DUMMYFUNCTION("""COMPUTED_VALUE"""),"獎狀")</f>
        <v>獎狀</v>
      </c>
      <c r="H16" s="8"/>
    </row>
    <row r="17">
      <c r="A17" s="12"/>
      <c r="B17" s="14">
        <f>IFERROR(__xludf.DUMMYFUNCTION("""COMPUTED_VALUE"""),940169.0)</f>
        <v>940169</v>
      </c>
      <c r="C17" s="14" t="str">
        <f>IFERROR(__xludf.DUMMYFUNCTION("""COMPUTED_VALUE"""),"張敬揚")</f>
        <v>張敬揚</v>
      </c>
      <c r="D17" s="16" t="str">
        <f>IFERROR(__xludf.DUMMYFUNCTION("""COMPUTED_VALUE"""),"nme*****23@mail.nmes.tp.edu.tw")</f>
        <v>nme*****23@mail.nmes.tp.edu.tw</v>
      </c>
      <c r="E17" s="17" t="str">
        <f>IFERROR(__xludf.DUMMYFUNCTION("""COMPUTED_VALUE"""),"臺北市中正區南門國民小學")</f>
        <v>臺北市中正區南門國民小學</v>
      </c>
      <c r="F17" s="14" t="str">
        <f>IFERROR(__xludf.DUMMYFUNCTION("""COMPUTED_VALUE"""),"五年級")</f>
        <v>五年級</v>
      </c>
      <c r="G17" s="14" t="str">
        <f>IFERROR(__xludf.DUMMYFUNCTION("""COMPUTED_VALUE"""),"獎狀")</f>
        <v>獎狀</v>
      </c>
      <c r="H17" s="8"/>
    </row>
    <row r="18">
      <c r="A18" s="12"/>
      <c r="B18" s="14">
        <f>IFERROR(__xludf.DUMMYFUNCTION("""COMPUTED_VALUE"""),869910.0)</f>
        <v>869910</v>
      </c>
      <c r="C18" s="14" t="str">
        <f>IFERROR(__xludf.DUMMYFUNCTION("""COMPUTED_VALUE"""),"顏永勤")</f>
        <v>顏永勤</v>
      </c>
      <c r="D18" s="16" t="str">
        <f>IFERROR(__xludf.DUMMYFUNCTION("""COMPUTED_VALUE"""),"nme*****39.tp@mail.edu.tw")</f>
        <v>nme*****39.tp@mail.edu.tw</v>
      </c>
      <c r="E18" s="17" t="str">
        <f>IFERROR(__xludf.DUMMYFUNCTION("""COMPUTED_VALUE"""),"臺北市中正區南門國民小學")</f>
        <v>臺北市中正區南門國民小學</v>
      </c>
      <c r="F18" s="14" t="str">
        <f>IFERROR(__xludf.DUMMYFUNCTION("""COMPUTED_VALUE"""),"六年級")</f>
        <v>六年級</v>
      </c>
      <c r="G18" s="14" t="str">
        <f>IFERROR(__xludf.DUMMYFUNCTION("""COMPUTED_VALUE"""),"獎狀")</f>
        <v>獎狀</v>
      </c>
      <c r="H18" s="8"/>
    </row>
    <row r="19">
      <c r="A19" s="12"/>
      <c r="B19" s="14">
        <f>IFERROR(__xludf.DUMMYFUNCTION("""COMPUTED_VALUE"""),243399.0)</f>
        <v>243399</v>
      </c>
      <c r="C19" s="14" t="str">
        <f>IFERROR(__xludf.DUMMYFUNCTION("""COMPUTED_VALUE"""),"楊仕葆")</f>
        <v>楊仕葆</v>
      </c>
      <c r="D19" s="16" t="str">
        <f>IFERROR(__xludf.DUMMYFUNCTION("""COMPUTED_VALUE"""),"dor*****03@gmail.com")</f>
        <v>dor*****03@gmail.com</v>
      </c>
      <c r="E19" s="17" t="str">
        <f>IFERROR(__xludf.DUMMYFUNCTION("""COMPUTED_VALUE"""),"臺北市中正區南門國民小學")</f>
        <v>臺北市中正區南門國民小學</v>
      </c>
      <c r="F19" s="14" t="str">
        <f>IFERROR(__xludf.DUMMYFUNCTION("""COMPUTED_VALUE"""),"六年級")</f>
        <v>六年級</v>
      </c>
      <c r="G19" s="14" t="str">
        <f>IFERROR(__xludf.DUMMYFUNCTION("""COMPUTED_VALUE"""),"●小禮物")</f>
        <v>●小禮物</v>
      </c>
      <c r="H19" s="8"/>
    </row>
    <row r="20">
      <c r="A20" s="12"/>
      <c r="B20" s="14">
        <f>IFERROR(__xludf.DUMMYFUNCTION("""COMPUTED_VALUE"""),1073881.0)</f>
        <v>1073881</v>
      </c>
      <c r="C20" s="14" t="str">
        <f>IFERROR(__xludf.DUMMYFUNCTION("""COMPUTED_VALUE"""),"吳仁惠")</f>
        <v>吳仁惠</v>
      </c>
      <c r="D20" s="16" t="str">
        <f>IFERROR(__xludf.DUMMYFUNCTION("""COMPUTED_VALUE"""),"zx1*****@ches.tp.edu.tw")</f>
        <v>zx1*****@ches.tp.edu.tw</v>
      </c>
      <c r="E20" s="17" t="str">
        <f>IFERROR(__xludf.DUMMYFUNCTION("""COMPUTED_VALUE"""),"臺北市中正區忠孝國民小學")</f>
        <v>臺北市中正區忠孝國民小學</v>
      </c>
      <c r="F20" s="14" t="str">
        <f>IFERROR(__xludf.DUMMYFUNCTION("""COMPUTED_VALUE"""),"三年級")</f>
        <v>三年級</v>
      </c>
      <c r="G20" s="14" t="str">
        <f>IFERROR(__xludf.DUMMYFUNCTION("""COMPUTED_VALUE"""),"●小禮物")</f>
        <v>●小禮物</v>
      </c>
      <c r="H20" s="8"/>
    </row>
    <row r="21">
      <c r="A21" s="12"/>
      <c r="B21" s="14">
        <f>IFERROR(__xludf.DUMMYFUNCTION("""COMPUTED_VALUE"""),1125404.0)</f>
        <v>1125404</v>
      </c>
      <c r="C21" s="14" t="str">
        <f>IFERROR(__xludf.DUMMYFUNCTION("""COMPUTED_VALUE"""),"陳家佳")</f>
        <v>陳家佳</v>
      </c>
      <c r="D21" s="16" t="str">
        <f>IFERROR(__xludf.DUMMYFUNCTION("""COMPUTED_VALUE"""),"s10*****st.esut.tp.edu.tw")</f>
        <v>s10*****st.esut.tp.edu.tw</v>
      </c>
      <c r="E21" s="17" t="str">
        <f>IFERROR(__xludf.DUMMYFUNCTION("""COMPUTED_VALUE"""),"臺北市立大學附設實驗國民小學")</f>
        <v>臺北市立大學附設實驗國民小學</v>
      </c>
      <c r="F21" s="14" t="str">
        <f>IFERROR(__xludf.DUMMYFUNCTION("""COMPUTED_VALUE"""),"四年級")</f>
        <v>四年級</v>
      </c>
      <c r="G21" s="14" t="str">
        <f>IFERROR(__xludf.DUMMYFUNCTION("""COMPUTED_VALUE"""),"●小禮物")</f>
        <v>●小禮物</v>
      </c>
      <c r="H21" s="8"/>
    </row>
    <row r="22">
      <c r="A22" s="12"/>
      <c r="B22" s="14">
        <f>IFERROR(__xludf.DUMMYFUNCTION("""COMPUTED_VALUE"""),961104.0)</f>
        <v>961104</v>
      </c>
      <c r="C22" s="14" t="str">
        <f>IFERROR(__xludf.DUMMYFUNCTION("""COMPUTED_VALUE"""),"王悅澂")</f>
        <v>王悅澂</v>
      </c>
      <c r="D22" s="16" t="str">
        <f>IFERROR(__xludf.DUMMYFUNCTION("""COMPUTED_VALUE"""),"bla*****k@gmail.com")</f>
        <v>bla*****k@gmail.com</v>
      </c>
      <c r="E22" s="17" t="str">
        <f>IFERROR(__xludf.DUMMYFUNCTION("""COMPUTED_VALUE"""),"臺北市中正區螢橋國民小學")</f>
        <v>臺北市中正區螢橋國民小學</v>
      </c>
      <c r="F22" s="14" t="str">
        <f>IFERROR(__xludf.DUMMYFUNCTION("""COMPUTED_VALUE"""),"四年級")</f>
        <v>四年級</v>
      </c>
      <c r="G22" s="14" t="str">
        <f>IFERROR(__xludf.DUMMYFUNCTION("""COMPUTED_VALUE"""),"★禮券$200")</f>
        <v>★禮券$200</v>
      </c>
      <c r="H22" s="8"/>
    </row>
    <row r="23">
      <c r="A23" s="12"/>
      <c r="B23" s="14">
        <f>IFERROR(__xludf.DUMMYFUNCTION("""COMPUTED_VALUE"""),717927.0)</f>
        <v>717927</v>
      </c>
      <c r="C23" s="14" t="str">
        <f>IFERROR(__xludf.DUMMYFUNCTION("""COMPUTED_VALUE"""),"蔡依伶")</f>
        <v>蔡依伶</v>
      </c>
      <c r="D23" s="16" t="str">
        <f>IFERROR(__xludf.DUMMYFUNCTION("""COMPUTED_VALUE"""),"108*****ces.tp.edu.tw")</f>
        <v>108*****ces.tp.edu.tw</v>
      </c>
      <c r="E23" s="17" t="str">
        <f>IFERROR(__xludf.DUMMYFUNCTION("""COMPUTED_VALUE"""),"臺北市中正區螢橋國民小學")</f>
        <v>臺北市中正區螢橋國民小學</v>
      </c>
      <c r="F23" s="14" t="str">
        <f>IFERROR(__xludf.DUMMYFUNCTION("""COMPUTED_VALUE"""),"四年級")</f>
        <v>四年級</v>
      </c>
      <c r="G23" s="14" t="str">
        <f>IFERROR(__xludf.DUMMYFUNCTION("""COMPUTED_VALUE"""),"獎狀")</f>
        <v>獎狀</v>
      </c>
      <c r="H23" s="8"/>
    </row>
    <row r="24">
      <c r="A24" s="12"/>
      <c r="B24" s="14">
        <f>IFERROR(__xludf.DUMMYFUNCTION("""COMPUTED_VALUE"""),722538.0)</f>
        <v>722538</v>
      </c>
      <c r="C24" s="14" t="str">
        <f>IFERROR(__xludf.DUMMYFUNCTION("""COMPUTED_VALUE"""),"王韞褆")</f>
        <v>王韞褆</v>
      </c>
      <c r="D24" s="16" t="str">
        <f>IFERROR(__xludf.DUMMYFUNCTION("""COMPUTED_VALUE"""),"107*****ces.tp.edu.tw")</f>
        <v>107*****ces.tp.edu.tw</v>
      </c>
      <c r="E24" s="17" t="str">
        <f>IFERROR(__xludf.DUMMYFUNCTION("""COMPUTED_VALUE"""),"臺北市中正區螢橋國民小學")</f>
        <v>臺北市中正區螢橋國民小學</v>
      </c>
      <c r="F24" s="14" t="str">
        <f>IFERROR(__xludf.DUMMYFUNCTION("""COMPUTED_VALUE"""),"五年級")</f>
        <v>五年級</v>
      </c>
      <c r="G24" s="14" t="str">
        <f>IFERROR(__xludf.DUMMYFUNCTION("""COMPUTED_VALUE"""),"獎狀")</f>
        <v>獎狀</v>
      </c>
      <c r="H24" s="8"/>
    </row>
    <row r="25">
      <c r="A25" s="12"/>
      <c r="B25" s="14">
        <f>IFERROR(__xludf.DUMMYFUNCTION("""COMPUTED_VALUE"""),946643.0)</f>
        <v>946643</v>
      </c>
      <c r="C25" s="14" t="str">
        <f>IFERROR(__xludf.DUMMYFUNCTION("""COMPUTED_VALUE"""),"郭紓瑜")</f>
        <v>郭紓瑜</v>
      </c>
      <c r="D25" s="16" t="str">
        <f>IFERROR(__xludf.DUMMYFUNCTION("""COMPUTED_VALUE"""),"109*****ail.sles.tp.edu.tw")</f>
        <v>109*****ail.sles.tp.edu.tw</v>
      </c>
      <c r="E25" s="17" t="str">
        <f>IFERROR(__xludf.DUMMYFUNCTION("""COMPUTED_VALUE"""),"臺北市大同區雙蓮國民小學")</f>
        <v>臺北市大同區雙蓮國民小學</v>
      </c>
      <c r="F25" s="14" t="str">
        <f>IFERROR(__xludf.DUMMYFUNCTION("""COMPUTED_VALUE"""),"三年級")</f>
        <v>三年級</v>
      </c>
      <c r="G25" s="14" t="str">
        <f>IFERROR(__xludf.DUMMYFUNCTION("""COMPUTED_VALUE"""),"●小禮物")</f>
        <v>●小禮物</v>
      </c>
      <c r="H25" s="8"/>
    </row>
    <row r="26">
      <c r="A26" s="12"/>
      <c r="B26" s="14">
        <f>IFERROR(__xludf.DUMMYFUNCTION("""COMPUTED_VALUE"""),1094567.0)</f>
        <v>1094567</v>
      </c>
      <c r="C26" s="14" t="str">
        <f>IFERROR(__xludf.DUMMYFUNCTION("""COMPUTED_VALUE"""),"林宜葆")</f>
        <v>林宜葆</v>
      </c>
      <c r="D26" s="16" t="str">
        <f>IFERROR(__xludf.DUMMYFUNCTION("""COMPUTED_VALUE"""),"sle*****68.tp@mail.edu.tw")</f>
        <v>sle*****68.tp@mail.edu.tw</v>
      </c>
      <c r="E26" s="17" t="str">
        <f>IFERROR(__xludf.DUMMYFUNCTION("""COMPUTED_VALUE"""),"臺北市大同區雙蓮國民小學")</f>
        <v>臺北市大同區雙蓮國民小學</v>
      </c>
      <c r="F26" s="14" t="str">
        <f>IFERROR(__xludf.DUMMYFUNCTION("""COMPUTED_VALUE"""),"三年級")</f>
        <v>三年級</v>
      </c>
      <c r="G26" s="14" t="str">
        <f>IFERROR(__xludf.DUMMYFUNCTION("""COMPUTED_VALUE"""),"●小禮物")</f>
        <v>●小禮物</v>
      </c>
      <c r="H26" s="8"/>
    </row>
    <row r="27">
      <c r="A27" s="12"/>
      <c r="B27" s="14">
        <f>IFERROR(__xludf.DUMMYFUNCTION("""COMPUTED_VALUE"""),1110974.0)</f>
        <v>1110974</v>
      </c>
      <c r="C27" s="14" t="str">
        <f>IFERROR(__xludf.DUMMYFUNCTION("""COMPUTED_VALUE"""),"陳思榆")</f>
        <v>陳思榆</v>
      </c>
      <c r="D27" s="16" t="str">
        <f>IFERROR(__xludf.DUMMYFUNCTION("""COMPUTED_VALUE"""),"109*****ail.sles.tp.edu.tw")</f>
        <v>109*****ail.sles.tp.edu.tw</v>
      </c>
      <c r="E27" s="17" t="str">
        <f>IFERROR(__xludf.DUMMYFUNCTION("""COMPUTED_VALUE"""),"臺北市大同區雙蓮國民小學")</f>
        <v>臺北市大同區雙蓮國民小學</v>
      </c>
      <c r="F27" s="14" t="str">
        <f>IFERROR(__xludf.DUMMYFUNCTION("""COMPUTED_VALUE"""),"三年級")</f>
        <v>三年級</v>
      </c>
      <c r="G27" s="14" t="str">
        <f>IFERROR(__xludf.DUMMYFUNCTION("""COMPUTED_VALUE"""),"獎狀")</f>
        <v>獎狀</v>
      </c>
      <c r="H27" s="8"/>
    </row>
    <row r="28">
      <c r="A28" s="12"/>
      <c r="B28" s="14">
        <f>IFERROR(__xludf.DUMMYFUNCTION("""COMPUTED_VALUE"""),834399.0)</f>
        <v>834399</v>
      </c>
      <c r="C28" s="14" t="str">
        <f>IFERROR(__xludf.DUMMYFUNCTION("""COMPUTED_VALUE"""),"李秭慧")</f>
        <v>李秭慧</v>
      </c>
      <c r="D28" s="16" t="str">
        <f>IFERROR(__xludf.DUMMYFUNCTION("""COMPUTED_VALUE"""),"108*****ail.sles.tp.edu.tw")</f>
        <v>108*****ail.sles.tp.edu.tw</v>
      </c>
      <c r="E28" s="17" t="str">
        <f>IFERROR(__xludf.DUMMYFUNCTION("""COMPUTED_VALUE"""),"臺北市大同區雙蓮國民小學")</f>
        <v>臺北市大同區雙蓮國民小學</v>
      </c>
      <c r="F28" s="14" t="str">
        <f>IFERROR(__xludf.DUMMYFUNCTION("""COMPUTED_VALUE"""),"四年級")</f>
        <v>四年級</v>
      </c>
      <c r="G28" s="14" t="str">
        <f>IFERROR(__xludf.DUMMYFUNCTION("""COMPUTED_VALUE"""),"獎狀")</f>
        <v>獎狀</v>
      </c>
      <c r="H28" s="8"/>
    </row>
    <row r="29">
      <c r="A29" s="12"/>
      <c r="B29" s="14">
        <f>IFERROR(__xludf.DUMMYFUNCTION("""COMPUTED_VALUE"""),834396.0)</f>
        <v>834396</v>
      </c>
      <c r="C29" s="14" t="str">
        <f>IFERROR(__xludf.DUMMYFUNCTION("""COMPUTED_VALUE"""),"柯欣辰")</f>
        <v>柯欣辰</v>
      </c>
      <c r="D29" s="16" t="str">
        <f>IFERROR(__xludf.DUMMYFUNCTION("""COMPUTED_VALUE"""),"108*****ail.sles.tp.edu.tw")</f>
        <v>108*****ail.sles.tp.edu.tw</v>
      </c>
      <c r="E29" s="17" t="str">
        <f>IFERROR(__xludf.DUMMYFUNCTION("""COMPUTED_VALUE"""),"臺北市大同區雙蓮國民小學")</f>
        <v>臺北市大同區雙蓮國民小學</v>
      </c>
      <c r="F29" s="14" t="str">
        <f>IFERROR(__xludf.DUMMYFUNCTION("""COMPUTED_VALUE"""),"四年級")</f>
        <v>四年級</v>
      </c>
      <c r="G29" s="14" t="str">
        <f>IFERROR(__xludf.DUMMYFUNCTION("""COMPUTED_VALUE"""),"獎狀")</f>
        <v>獎狀</v>
      </c>
      <c r="H29" s="8"/>
    </row>
    <row r="30">
      <c r="A30" s="12"/>
      <c r="B30" s="14">
        <f>IFERROR(__xludf.DUMMYFUNCTION("""COMPUTED_VALUE"""),953122.0)</f>
        <v>953122</v>
      </c>
      <c r="C30" s="14" t="str">
        <f>IFERROR(__xludf.DUMMYFUNCTION("""COMPUTED_VALUE"""),"洪歆渝")</f>
        <v>洪歆渝</v>
      </c>
      <c r="D30" s="16" t="str">
        <f>IFERROR(__xludf.DUMMYFUNCTION("""COMPUTED_VALUE"""),"106*****ail.sles.tp.edu.tw")</f>
        <v>106*****ail.sles.tp.edu.tw</v>
      </c>
      <c r="E30" s="17" t="str">
        <f>IFERROR(__xludf.DUMMYFUNCTION("""COMPUTED_VALUE"""),"臺北市大同區雙蓮國民小學")</f>
        <v>臺北市大同區雙蓮國民小學</v>
      </c>
      <c r="F30" s="14" t="str">
        <f>IFERROR(__xludf.DUMMYFUNCTION("""COMPUTED_VALUE"""),"六年級")</f>
        <v>六年級</v>
      </c>
      <c r="G30" s="14" t="str">
        <f>IFERROR(__xludf.DUMMYFUNCTION("""COMPUTED_VALUE"""),"●小禮物")</f>
        <v>●小禮物</v>
      </c>
      <c r="H30" s="8"/>
    </row>
    <row r="31">
      <c r="A31" s="12"/>
      <c r="B31" s="14">
        <f>IFERROR(__xludf.DUMMYFUNCTION("""COMPUTED_VALUE"""),958053.0)</f>
        <v>958053</v>
      </c>
      <c r="C31" s="14" t="str">
        <f>IFERROR(__xludf.DUMMYFUNCTION("""COMPUTED_VALUE"""),"鄭皓澤")</f>
        <v>鄭皓澤</v>
      </c>
      <c r="D31" s="16" t="str">
        <f>IFERROR(__xludf.DUMMYFUNCTION("""COMPUTED_VALUE"""),"106*****ail.sles.tp.edu.tw")</f>
        <v>106*****ail.sles.tp.edu.tw</v>
      </c>
      <c r="E31" s="17" t="str">
        <f>IFERROR(__xludf.DUMMYFUNCTION("""COMPUTED_VALUE"""),"臺北市大同區雙蓮國民小學")</f>
        <v>臺北市大同區雙蓮國民小學</v>
      </c>
      <c r="F31" s="14" t="str">
        <f>IFERROR(__xludf.DUMMYFUNCTION("""COMPUTED_VALUE"""),"六年級")</f>
        <v>六年級</v>
      </c>
      <c r="G31" s="14" t="str">
        <f>IFERROR(__xludf.DUMMYFUNCTION("""COMPUTED_VALUE"""),"●小禮物")</f>
        <v>●小禮物</v>
      </c>
      <c r="H31" s="8"/>
    </row>
    <row r="32">
      <c r="A32" s="12"/>
      <c r="B32" s="14">
        <f>IFERROR(__xludf.DUMMYFUNCTION("""COMPUTED_VALUE"""),948294.0)</f>
        <v>948294</v>
      </c>
      <c r="C32" s="14" t="str">
        <f>IFERROR(__xludf.DUMMYFUNCTION("""COMPUTED_VALUE"""),"江旭庭")</f>
        <v>江旭庭</v>
      </c>
      <c r="D32" s="16" t="str">
        <f>IFERROR(__xludf.DUMMYFUNCTION("""COMPUTED_VALUE"""),"106*****ail.sles.tp.edu.tw")</f>
        <v>106*****ail.sles.tp.edu.tw</v>
      </c>
      <c r="E32" s="17" t="str">
        <f>IFERROR(__xludf.DUMMYFUNCTION("""COMPUTED_VALUE"""),"臺北市大同區雙蓮國民小學")</f>
        <v>臺北市大同區雙蓮國民小學</v>
      </c>
      <c r="F32" s="14" t="str">
        <f>IFERROR(__xludf.DUMMYFUNCTION("""COMPUTED_VALUE"""),"六年級")</f>
        <v>六年級</v>
      </c>
      <c r="G32" s="14" t="str">
        <f>IFERROR(__xludf.DUMMYFUNCTION("""COMPUTED_VALUE"""),"獎狀")</f>
        <v>獎狀</v>
      </c>
      <c r="H32" s="8"/>
    </row>
    <row r="33">
      <c r="A33" s="12"/>
      <c r="B33" s="14">
        <f>IFERROR(__xludf.DUMMYFUNCTION("""COMPUTED_VALUE"""),948446.0)</f>
        <v>948446</v>
      </c>
      <c r="C33" s="14" t="str">
        <f>IFERROR(__xludf.DUMMYFUNCTION("""COMPUTED_VALUE"""),"李采蓉")</f>
        <v>李采蓉</v>
      </c>
      <c r="D33" s="16" t="str">
        <f>IFERROR(__xludf.DUMMYFUNCTION("""COMPUTED_VALUE"""),"106*****ail.sles.tp.edu.tw")</f>
        <v>106*****ail.sles.tp.edu.tw</v>
      </c>
      <c r="E33" s="17" t="str">
        <f>IFERROR(__xludf.DUMMYFUNCTION("""COMPUTED_VALUE"""),"臺北市大同區雙蓮國民小學")</f>
        <v>臺北市大同區雙蓮國民小學</v>
      </c>
      <c r="F33" s="14" t="str">
        <f>IFERROR(__xludf.DUMMYFUNCTION("""COMPUTED_VALUE"""),"六年級")</f>
        <v>六年級</v>
      </c>
      <c r="G33" s="14" t="str">
        <f>IFERROR(__xludf.DUMMYFUNCTION("""COMPUTED_VALUE"""),"獎狀")</f>
        <v>獎狀</v>
      </c>
      <c r="H33" s="8"/>
    </row>
    <row r="34">
      <c r="A34" s="12"/>
      <c r="B34" s="14">
        <f>IFERROR(__xludf.DUMMYFUNCTION("""COMPUTED_VALUE"""),951609.0)</f>
        <v>951609</v>
      </c>
      <c r="C34" s="14" t="str">
        <f>IFERROR(__xludf.DUMMYFUNCTION("""COMPUTED_VALUE"""),"林妍均")</f>
        <v>林妍均</v>
      </c>
      <c r="D34" s="16" t="str">
        <f>IFERROR(__xludf.DUMMYFUNCTION("""COMPUTED_VALUE"""),"106*****ail.sles.tp.edu.tw")</f>
        <v>106*****ail.sles.tp.edu.tw</v>
      </c>
      <c r="E34" s="17" t="str">
        <f>IFERROR(__xludf.DUMMYFUNCTION("""COMPUTED_VALUE"""),"臺北市大同區雙蓮國民小學")</f>
        <v>臺北市大同區雙蓮國民小學</v>
      </c>
      <c r="F34" s="14" t="str">
        <f>IFERROR(__xludf.DUMMYFUNCTION("""COMPUTED_VALUE"""),"六年級")</f>
        <v>六年級</v>
      </c>
      <c r="G34" s="14" t="str">
        <f>IFERROR(__xludf.DUMMYFUNCTION("""COMPUTED_VALUE"""),"獎狀")</f>
        <v>獎狀</v>
      </c>
      <c r="H34" s="8"/>
    </row>
    <row r="35">
      <c r="A35" s="12"/>
      <c r="B35" s="14">
        <f>IFERROR(__xludf.DUMMYFUNCTION("""COMPUTED_VALUE"""),948386.0)</f>
        <v>948386</v>
      </c>
      <c r="C35" s="14" t="str">
        <f>IFERROR(__xludf.DUMMYFUNCTION("""COMPUTED_VALUE"""),"林珊珊")</f>
        <v>林珊珊</v>
      </c>
      <c r="D35" s="16" t="str">
        <f>IFERROR(__xludf.DUMMYFUNCTION("""COMPUTED_VALUE"""),"106*****ail.sles.tp.edu.tw")</f>
        <v>106*****ail.sles.tp.edu.tw</v>
      </c>
      <c r="E35" s="17" t="str">
        <f>IFERROR(__xludf.DUMMYFUNCTION("""COMPUTED_VALUE"""),"臺北市大同區雙蓮國民小學")</f>
        <v>臺北市大同區雙蓮國民小學</v>
      </c>
      <c r="F35" s="14" t="str">
        <f>IFERROR(__xludf.DUMMYFUNCTION("""COMPUTED_VALUE"""),"六年級")</f>
        <v>六年級</v>
      </c>
      <c r="G35" s="14" t="str">
        <f>IFERROR(__xludf.DUMMYFUNCTION("""COMPUTED_VALUE"""),"獎狀")</f>
        <v>獎狀</v>
      </c>
      <c r="H35" s="8"/>
    </row>
    <row r="36">
      <c r="A36" s="12"/>
      <c r="B36" s="14">
        <f>IFERROR(__xludf.DUMMYFUNCTION("""COMPUTED_VALUE"""),947946.0)</f>
        <v>947946</v>
      </c>
      <c r="C36" s="14" t="str">
        <f>IFERROR(__xludf.DUMMYFUNCTION("""COMPUTED_VALUE"""),"康卉妤")</f>
        <v>康卉妤</v>
      </c>
      <c r="D36" s="16" t="str">
        <f>IFERROR(__xludf.DUMMYFUNCTION("""COMPUTED_VALUE"""),"106*****ail.sles.tp.edu.tw")</f>
        <v>106*****ail.sles.tp.edu.tw</v>
      </c>
      <c r="E36" s="17" t="str">
        <f>IFERROR(__xludf.DUMMYFUNCTION("""COMPUTED_VALUE"""),"臺北市大同區雙蓮國民小學")</f>
        <v>臺北市大同區雙蓮國民小學</v>
      </c>
      <c r="F36" s="14" t="str">
        <f>IFERROR(__xludf.DUMMYFUNCTION("""COMPUTED_VALUE"""),"六年級")</f>
        <v>六年級</v>
      </c>
      <c r="G36" s="14" t="str">
        <f>IFERROR(__xludf.DUMMYFUNCTION("""COMPUTED_VALUE"""),"獎狀")</f>
        <v>獎狀</v>
      </c>
      <c r="H36" s="8"/>
    </row>
    <row r="37">
      <c r="A37" s="12"/>
      <c r="B37" s="14">
        <f>IFERROR(__xludf.DUMMYFUNCTION("""COMPUTED_VALUE"""),951626.0)</f>
        <v>951626</v>
      </c>
      <c r="C37" s="14" t="str">
        <f>IFERROR(__xludf.DUMMYFUNCTION("""COMPUTED_VALUE"""),"陳柏叡")</f>
        <v>陳柏叡</v>
      </c>
      <c r="D37" s="16" t="str">
        <f>IFERROR(__xludf.DUMMYFUNCTION("""COMPUTED_VALUE"""),"106*****ail.sles.tp.edu.tw")</f>
        <v>106*****ail.sles.tp.edu.tw</v>
      </c>
      <c r="E37" s="17" t="str">
        <f>IFERROR(__xludf.DUMMYFUNCTION("""COMPUTED_VALUE"""),"臺北市大同區雙蓮國民小學")</f>
        <v>臺北市大同區雙蓮國民小學</v>
      </c>
      <c r="F37" s="14" t="str">
        <f>IFERROR(__xludf.DUMMYFUNCTION("""COMPUTED_VALUE"""),"六年級")</f>
        <v>六年級</v>
      </c>
      <c r="G37" s="14" t="str">
        <f>IFERROR(__xludf.DUMMYFUNCTION("""COMPUTED_VALUE"""),"獎狀")</f>
        <v>獎狀</v>
      </c>
      <c r="H37" s="8"/>
    </row>
    <row r="38">
      <c r="A38" s="12"/>
      <c r="B38" s="14">
        <f>IFERROR(__xludf.DUMMYFUNCTION("""COMPUTED_VALUE"""),697082.0)</f>
        <v>697082</v>
      </c>
      <c r="C38" s="14" t="str">
        <f>IFERROR(__xludf.DUMMYFUNCTION("""COMPUTED_VALUE"""),"陳家宥")</f>
        <v>陳家宥</v>
      </c>
      <c r="D38" s="16" t="str">
        <f>IFERROR(__xludf.DUMMYFUNCTION("""COMPUTED_VALUE"""),"106*****ail.sles.tp.edu.tw")</f>
        <v>106*****ail.sles.tp.edu.tw</v>
      </c>
      <c r="E38" s="17" t="str">
        <f>IFERROR(__xludf.DUMMYFUNCTION("""COMPUTED_VALUE"""),"臺北市大同區雙蓮國民小學")</f>
        <v>臺北市大同區雙蓮國民小學</v>
      </c>
      <c r="F38" s="14" t="str">
        <f>IFERROR(__xludf.DUMMYFUNCTION("""COMPUTED_VALUE"""),"六年級")</f>
        <v>六年級</v>
      </c>
      <c r="G38" s="14" t="str">
        <f>IFERROR(__xludf.DUMMYFUNCTION("""COMPUTED_VALUE"""),"獎狀")</f>
        <v>獎狀</v>
      </c>
      <c r="H38" s="8"/>
    </row>
    <row r="39">
      <c r="A39" s="12"/>
      <c r="B39" s="14">
        <f>IFERROR(__xludf.DUMMYFUNCTION("""COMPUTED_VALUE"""),948462.0)</f>
        <v>948462</v>
      </c>
      <c r="C39" s="14" t="str">
        <f>IFERROR(__xludf.DUMMYFUNCTION("""COMPUTED_VALUE"""),"黃滿峻")</f>
        <v>黃滿峻</v>
      </c>
      <c r="D39" s="16" t="str">
        <f>IFERROR(__xludf.DUMMYFUNCTION("""COMPUTED_VALUE"""),"106*****ail.sles.tp.edu.tw")</f>
        <v>106*****ail.sles.tp.edu.tw</v>
      </c>
      <c r="E39" s="17" t="str">
        <f>IFERROR(__xludf.DUMMYFUNCTION("""COMPUTED_VALUE"""),"臺北市大同區雙蓮國民小學")</f>
        <v>臺北市大同區雙蓮國民小學</v>
      </c>
      <c r="F39" s="14" t="str">
        <f>IFERROR(__xludf.DUMMYFUNCTION("""COMPUTED_VALUE"""),"六年級")</f>
        <v>六年級</v>
      </c>
      <c r="G39" s="14" t="str">
        <f>IFERROR(__xludf.DUMMYFUNCTION("""COMPUTED_VALUE"""),"獎狀")</f>
        <v>獎狀</v>
      </c>
      <c r="H39" s="8"/>
    </row>
    <row r="40">
      <c r="A40" s="12"/>
      <c r="B40" s="14">
        <f>IFERROR(__xludf.DUMMYFUNCTION("""COMPUTED_VALUE"""),948405.0)</f>
        <v>948405</v>
      </c>
      <c r="C40" s="14" t="str">
        <f>IFERROR(__xludf.DUMMYFUNCTION("""COMPUTED_VALUE"""),"葉芸彤")</f>
        <v>葉芸彤</v>
      </c>
      <c r="D40" s="16" t="str">
        <f>IFERROR(__xludf.DUMMYFUNCTION("""COMPUTED_VALUE"""),"106*****ail.sles.tp.edu.tw")</f>
        <v>106*****ail.sles.tp.edu.tw</v>
      </c>
      <c r="E40" s="17" t="str">
        <f>IFERROR(__xludf.DUMMYFUNCTION("""COMPUTED_VALUE"""),"臺北市大同區雙蓮國民小學")</f>
        <v>臺北市大同區雙蓮國民小學</v>
      </c>
      <c r="F40" s="14" t="str">
        <f>IFERROR(__xludf.DUMMYFUNCTION("""COMPUTED_VALUE"""),"六年級")</f>
        <v>六年級</v>
      </c>
      <c r="G40" s="14" t="str">
        <f>IFERROR(__xludf.DUMMYFUNCTION("""COMPUTED_VALUE"""),"獎狀")</f>
        <v>獎狀</v>
      </c>
      <c r="H40" s="8"/>
    </row>
    <row r="41">
      <c r="A41" s="12"/>
      <c r="B41" s="14">
        <f>IFERROR(__xludf.DUMMYFUNCTION("""COMPUTED_VALUE"""),957833.0)</f>
        <v>957833</v>
      </c>
      <c r="C41" s="14" t="str">
        <f>IFERROR(__xludf.DUMMYFUNCTION("""COMPUTED_VALUE"""),"廖祥焜")</f>
        <v>廖祥焜</v>
      </c>
      <c r="D41" s="16" t="str">
        <f>IFERROR(__xludf.DUMMYFUNCTION("""COMPUTED_VALUE"""),"106*****ail.sles.tp.edu.tw")</f>
        <v>106*****ail.sles.tp.edu.tw</v>
      </c>
      <c r="E41" s="17" t="str">
        <f>IFERROR(__xludf.DUMMYFUNCTION("""COMPUTED_VALUE"""),"臺北市大同區雙蓮國民小學")</f>
        <v>臺北市大同區雙蓮國民小學</v>
      </c>
      <c r="F41" s="14" t="str">
        <f>IFERROR(__xludf.DUMMYFUNCTION("""COMPUTED_VALUE"""),"六年級")</f>
        <v>六年級</v>
      </c>
      <c r="G41" s="14" t="str">
        <f>IFERROR(__xludf.DUMMYFUNCTION("""COMPUTED_VALUE"""),"獎狀")</f>
        <v>獎狀</v>
      </c>
      <c r="H41" s="8"/>
    </row>
    <row r="42">
      <c r="A42" s="12"/>
      <c r="B42" s="14">
        <f>IFERROR(__xludf.DUMMYFUNCTION("""COMPUTED_VALUE"""),954950.0)</f>
        <v>954950</v>
      </c>
      <c r="C42" s="14" t="str">
        <f>IFERROR(__xludf.DUMMYFUNCTION("""COMPUTED_VALUE"""),"鄭妤潔")</f>
        <v>鄭妤潔</v>
      </c>
      <c r="D42" s="16" t="str">
        <f>IFERROR(__xludf.DUMMYFUNCTION("""COMPUTED_VALUE"""),"106*****ail.sles.tp.edu.tw")</f>
        <v>106*****ail.sles.tp.edu.tw</v>
      </c>
      <c r="E42" s="17" t="str">
        <f>IFERROR(__xludf.DUMMYFUNCTION("""COMPUTED_VALUE"""),"臺北市大同區雙蓮國民小學")</f>
        <v>臺北市大同區雙蓮國民小學</v>
      </c>
      <c r="F42" s="14" t="str">
        <f>IFERROR(__xludf.DUMMYFUNCTION("""COMPUTED_VALUE"""),"六年級")</f>
        <v>六年級</v>
      </c>
      <c r="G42" s="14" t="str">
        <f>IFERROR(__xludf.DUMMYFUNCTION("""COMPUTED_VALUE"""),"獎狀")</f>
        <v>獎狀</v>
      </c>
      <c r="H42" s="8"/>
    </row>
    <row r="43">
      <c r="A43" s="12"/>
      <c r="B43" s="14">
        <f>IFERROR(__xludf.DUMMYFUNCTION("""COMPUTED_VALUE"""),958012.0)</f>
        <v>958012</v>
      </c>
      <c r="C43" s="14" t="str">
        <f>IFERROR(__xludf.DUMMYFUNCTION("""COMPUTED_VALUE"""),"賴姿穎")</f>
        <v>賴姿穎</v>
      </c>
      <c r="D43" s="16" t="str">
        <f>IFERROR(__xludf.DUMMYFUNCTION("""COMPUTED_VALUE"""),"106*****ail.sles.tp.edu.tw")</f>
        <v>106*****ail.sles.tp.edu.tw</v>
      </c>
      <c r="E43" s="17" t="str">
        <f>IFERROR(__xludf.DUMMYFUNCTION("""COMPUTED_VALUE"""),"臺北市大同區雙蓮國民小學")</f>
        <v>臺北市大同區雙蓮國民小學</v>
      </c>
      <c r="F43" s="14" t="str">
        <f>IFERROR(__xludf.DUMMYFUNCTION("""COMPUTED_VALUE"""),"六年級")</f>
        <v>六年級</v>
      </c>
      <c r="G43" s="14" t="str">
        <f>IFERROR(__xludf.DUMMYFUNCTION("""COMPUTED_VALUE"""),"獎狀")</f>
        <v>獎狀</v>
      </c>
      <c r="H43" s="8"/>
    </row>
    <row r="44">
      <c r="A44" s="12"/>
      <c r="B44" s="14">
        <f>IFERROR(__xludf.DUMMYFUNCTION("""COMPUTED_VALUE"""),952522.0)</f>
        <v>952522</v>
      </c>
      <c r="C44" s="14" t="str">
        <f>IFERROR(__xludf.DUMMYFUNCTION("""COMPUTED_VALUE"""),"盧鐿")</f>
        <v>盧鐿</v>
      </c>
      <c r="D44" s="16" t="str">
        <f>IFERROR(__xludf.DUMMYFUNCTION("""COMPUTED_VALUE"""),"106*****ail.sles.tp.edu.tw")</f>
        <v>106*****ail.sles.tp.edu.tw</v>
      </c>
      <c r="E44" s="17" t="str">
        <f>IFERROR(__xludf.DUMMYFUNCTION("""COMPUTED_VALUE"""),"臺北市大同區雙蓮國民小學")</f>
        <v>臺北市大同區雙蓮國民小學</v>
      </c>
      <c r="F44" s="14" t="str">
        <f>IFERROR(__xludf.DUMMYFUNCTION("""COMPUTED_VALUE"""),"六年級")</f>
        <v>六年級</v>
      </c>
      <c r="G44" s="14" t="str">
        <f>IFERROR(__xludf.DUMMYFUNCTION("""COMPUTED_VALUE"""),"●小禮物")</f>
        <v>●小禮物</v>
      </c>
      <c r="H44" s="8"/>
    </row>
    <row r="45">
      <c r="A45" s="12"/>
      <c r="B45" s="14">
        <f>IFERROR(__xludf.DUMMYFUNCTION("""COMPUTED_VALUE"""),952540.0)</f>
        <v>952540</v>
      </c>
      <c r="C45" s="14" t="str">
        <f>IFERROR(__xludf.DUMMYFUNCTION("""COMPUTED_VALUE"""),"何苡瑈")</f>
        <v>何苡瑈</v>
      </c>
      <c r="D45" s="16" t="str">
        <f>IFERROR(__xludf.DUMMYFUNCTION("""COMPUTED_VALUE"""),"106*****ail.sles.tp.edu.tw")</f>
        <v>106*****ail.sles.tp.edu.tw</v>
      </c>
      <c r="E45" s="17" t="str">
        <f>IFERROR(__xludf.DUMMYFUNCTION("""COMPUTED_VALUE"""),"臺北市大同區雙蓮國民小學")</f>
        <v>臺北市大同區雙蓮國民小學</v>
      </c>
      <c r="F45" s="14" t="str">
        <f>IFERROR(__xludf.DUMMYFUNCTION("""COMPUTED_VALUE"""),"六年級")</f>
        <v>六年級</v>
      </c>
      <c r="G45" s="14" t="str">
        <f>IFERROR(__xludf.DUMMYFUNCTION("""COMPUTED_VALUE"""),"獎狀")</f>
        <v>獎狀</v>
      </c>
      <c r="H45" s="8"/>
    </row>
    <row r="46">
      <c r="A46" s="12"/>
      <c r="B46" s="14">
        <f>IFERROR(__xludf.DUMMYFUNCTION("""COMPUTED_VALUE"""),948217.0)</f>
        <v>948217</v>
      </c>
      <c r="C46" s="14" t="str">
        <f>IFERROR(__xludf.DUMMYFUNCTION("""COMPUTED_VALUE"""),"林宏勳")</f>
        <v>林宏勳</v>
      </c>
      <c r="D46" s="16" t="str">
        <f>IFERROR(__xludf.DUMMYFUNCTION("""COMPUTED_VALUE"""),"106*****ail.sles.tp.edu.tw")</f>
        <v>106*****ail.sles.tp.edu.tw</v>
      </c>
      <c r="E46" s="17" t="str">
        <f>IFERROR(__xludf.DUMMYFUNCTION("""COMPUTED_VALUE"""),"臺北市大同區雙蓮國民小學")</f>
        <v>臺北市大同區雙蓮國民小學</v>
      </c>
      <c r="F46" s="14" t="str">
        <f>IFERROR(__xludf.DUMMYFUNCTION("""COMPUTED_VALUE"""),"六年級")</f>
        <v>六年級</v>
      </c>
      <c r="G46" s="14" t="str">
        <f>IFERROR(__xludf.DUMMYFUNCTION("""COMPUTED_VALUE"""),"獎狀")</f>
        <v>獎狀</v>
      </c>
      <c r="H46" s="8"/>
    </row>
    <row r="47">
      <c r="A47" s="12"/>
      <c r="B47" s="14">
        <f>IFERROR(__xludf.DUMMYFUNCTION("""COMPUTED_VALUE"""),965302.0)</f>
        <v>965302</v>
      </c>
      <c r="C47" s="14" t="str">
        <f>IFERROR(__xludf.DUMMYFUNCTION("""COMPUTED_VALUE"""),"高瑩")</f>
        <v>高瑩</v>
      </c>
      <c r="D47" s="16" t="str">
        <f>IFERROR(__xludf.DUMMYFUNCTION("""COMPUTED_VALUE"""),"106*****ail.sles.tp.edu.tw")</f>
        <v>106*****ail.sles.tp.edu.tw</v>
      </c>
      <c r="E47" s="17" t="str">
        <f>IFERROR(__xludf.DUMMYFUNCTION("""COMPUTED_VALUE"""),"臺北市大同區雙蓮國民小學")</f>
        <v>臺北市大同區雙蓮國民小學</v>
      </c>
      <c r="F47" s="14" t="str">
        <f>IFERROR(__xludf.DUMMYFUNCTION("""COMPUTED_VALUE"""),"六年級")</f>
        <v>六年級</v>
      </c>
      <c r="G47" s="14" t="str">
        <f>IFERROR(__xludf.DUMMYFUNCTION("""COMPUTED_VALUE"""),"獎狀")</f>
        <v>獎狀</v>
      </c>
      <c r="H47" s="8"/>
    </row>
    <row r="48">
      <c r="A48" s="12"/>
      <c r="B48" s="14">
        <f>IFERROR(__xludf.DUMMYFUNCTION("""COMPUTED_VALUE"""),948175.0)</f>
        <v>948175</v>
      </c>
      <c r="C48" s="14" t="str">
        <f>IFERROR(__xludf.DUMMYFUNCTION("""COMPUTED_VALUE"""),"陳羿帆")</f>
        <v>陳羿帆</v>
      </c>
      <c r="D48" s="16" t="str">
        <f>IFERROR(__xludf.DUMMYFUNCTION("""COMPUTED_VALUE"""),"106*****ail.sles.tp.edu.tw")</f>
        <v>106*****ail.sles.tp.edu.tw</v>
      </c>
      <c r="E48" s="17" t="str">
        <f>IFERROR(__xludf.DUMMYFUNCTION("""COMPUTED_VALUE"""),"臺北市大同區雙蓮國民小學")</f>
        <v>臺北市大同區雙蓮國民小學</v>
      </c>
      <c r="F48" s="14" t="str">
        <f>IFERROR(__xludf.DUMMYFUNCTION("""COMPUTED_VALUE"""),"六年級")</f>
        <v>六年級</v>
      </c>
      <c r="G48" s="14" t="str">
        <f>IFERROR(__xludf.DUMMYFUNCTION("""COMPUTED_VALUE"""),"獎狀")</f>
        <v>獎狀</v>
      </c>
      <c r="H48" s="8"/>
    </row>
    <row r="49">
      <c r="A49" s="12"/>
      <c r="B49" s="14">
        <f>IFERROR(__xludf.DUMMYFUNCTION("""COMPUTED_VALUE"""),952521.0)</f>
        <v>952521</v>
      </c>
      <c r="C49" s="14" t="str">
        <f>IFERROR(__xludf.DUMMYFUNCTION("""COMPUTED_VALUE"""),"黃子芮")</f>
        <v>黃子芮</v>
      </c>
      <c r="D49" s="16" t="str">
        <f>IFERROR(__xludf.DUMMYFUNCTION("""COMPUTED_VALUE"""),"106*****ail.sles.tp.edu.tw")</f>
        <v>106*****ail.sles.tp.edu.tw</v>
      </c>
      <c r="E49" s="17" t="str">
        <f>IFERROR(__xludf.DUMMYFUNCTION("""COMPUTED_VALUE"""),"臺北市大同區雙蓮國民小學")</f>
        <v>臺北市大同區雙蓮國民小學</v>
      </c>
      <c r="F49" s="14" t="str">
        <f>IFERROR(__xludf.DUMMYFUNCTION("""COMPUTED_VALUE"""),"六年級")</f>
        <v>六年級</v>
      </c>
      <c r="G49" s="14" t="str">
        <f>IFERROR(__xludf.DUMMYFUNCTION("""COMPUTED_VALUE"""),"獎狀")</f>
        <v>獎狀</v>
      </c>
      <c r="H49" s="8"/>
    </row>
    <row r="50">
      <c r="A50" s="12"/>
      <c r="B50" s="14">
        <f>IFERROR(__xludf.DUMMYFUNCTION("""COMPUTED_VALUE"""),948458.0)</f>
        <v>948458</v>
      </c>
      <c r="C50" s="14" t="str">
        <f>IFERROR(__xludf.DUMMYFUNCTION("""COMPUTED_VALUE"""),"楊主納")</f>
        <v>楊主納</v>
      </c>
      <c r="D50" s="16" t="str">
        <f>IFERROR(__xludf.DUMMYFUNCTION("""COMPUTED_VALUE"""),"106*****ail.sles.tp.edu.tw")</f>
        <v>106*****ail.sles.tp.edu.tw</v>
      </c>
      <c r="E50" s="17" t="str">
        <f>IFERROR(__xludf.DUMMYFUNCTION("""COMPUTED_VALUE"""),"臺北市大同區雙蓮國民小學")</f>
        <v>臺北市大同區雙蓮國民小學</v>
      </c>
      <c r="F50" s="14" t="str">
        <f>IFERROR(__xludf.DUMMYFUNCTION("""COMPUTED_VALUE"""),"六年級")</f>
        <v>六年級</v>
      </c>
      <c r="G50" s="14" t="str">
        <f>IFERROR(__xludf.DUMMYFUNCTION("""COMPUTED_VALUE"""),"獎狀")</f>
        <v>獎狀</v>
      </c>
      <c r="H50" s="8"/>
    </row>
    <row r="51">
      <c r="A51" s="12"/>
      <c r="B51" s="14">
        <f>IFERROR(__xludf.DUMMYFUNCTION("""COMPUTED_VALUE"""),1177410.0)</f>
        <v>1177410</v>
      </c>
      <c r="C51" s="14" t="str">
        <f>IFERROR(__xludf.DUMMYFUNCTION("""COMPUTED_VALUE"""),"侯昕璿")</f>
        <v>侯昕璿</v>
      </c>
      <c r="D51" s="16" t="str">
        <f>IFERROR(__xludf.DUMMYFUNCTION("""COMPUTED_VALUE"""),"106*****ail.sles.tp.edu.tw")</f>
        <v>106*****ail.sles.tp.edu.tw</v>
      </c>
      <c r="E51" s="17" t="str">
        <f>IFERROR(__xludf.DUMMYFUNCTION("""COMPUTED_VALUE"""),"臺北市大同區雙蓮國民小學")</f>
        <v>臺北市大同區雙蓮國民小學</v>
      </c>
      <c r="F51" s="14" t="str">
        <f>IFERROR(__xludf.DUMMYFUNCTION("""COMPUTED_VALUE"""),"六年級")</f>
        <v>六年級</v>
      </c>
      <c r="G51" s="14" t="str">
        <f>IFERROR(__xludf.DUMMYFUNCTION("""COMPUTED_VALUE"""),"●小禮物")</f>
        <v>●小禮物</v>
      </c>
      <c r="H51" s="8"/>
    </row>
    <row r="52">
      <c r="A52" s="12"/>
      <c r="B52" s="14">
        <f>IFERROR(__xludf.DUMMYFUNCTION("""COMPUTED_VALUE"""),907498.0)</f>
        <v>907498</v>
      </c>
      <c r="C52" s="14" t="str">
        <f>IFERROR(__xludf.DUMMYFUNCTION("""COMPUTED_VALUE"""),"張筱瞳")</f>
        <v>張筱瞳</v>
      </c>
      <c r="D52" s="16" t="str">
        <f>IFERROR(__xludf.DUMMYFUNCTION("""COMPUTED_VALUE"""),"106*****ail.sles.tp.edu.tw")</f>
        <v>106*****ail.sles.tp.edu.tw</v>
      </c>
      <c r="E52" s="17" t="str">
        <f>IFERROR(__xludf.DUMMYFUNCTION("""COMPUTED_VALUE"""),"臺北市大同區雙蓮國民小學")</f>
        <v>臺北市大同區雙蓮國民小學</v>
      </c>
      <c r="F52" s="14" t="str">
        <f>IFERROR(__xludf.DUMMYFUNCTION("""COMPUTED_VALUE"""),"六年級")</f>
        <v>六年級</v>
      </c>
      <c r="G52" s="14" t="str">
        <f>IFERROR(__xludf.DUMMYFUNCTION("""COMPUTED_VALUE"""),"●小禮物")</f>
        <v>●小禮物</v>
      </c>
      <c r="H52" s="8"/>
    </row>
    <row r="53">
      <c r="A53" s="12"/>
      <c r="B53" s="14">
        <f>IFERROR(__xludf.DUMMYFUNCTION("""COMPUTED_VALUE"""),958257.0)</f>
        <v>958257</v>
      </c>
      <c r="C53" s="14" t="str">
        <f>IFERROR(__xludf.DUMMYFUNCTION("""COMPUTED_VALUE"""),"呂廷宥")</f>
        <v>呂廷宥</v>
      </c>
      <c r="D53" s="16" t="str">
        <f>IFERROR(__xludf.DUMMYFUNCTION("""COMPUTED_VALUE"""),"106*****ail.sles.tp.edu.tw")</f>
        <v>106*****ail.sles.tp.edu.tw</v>
      </c>
      <c r="E53" s="17" t="str">
        <f>IFERROR(__xludf.DUMMYFUNCTION("""COMPUTED_VALUE"""),"臺北市大同區雙蓮國民小學")</f>
        <v>臺北市大同區雙蓮國民小學</v>
      </c>
      <c r="F53" s="14" t="str">
        <f>IFERROR(__xludf.DUMMYFUNCTION("""COMPUTED_VALUE"""),"六年級")</f>
        <v>六年級</v>
      </c>
      <c r="G53" s="14" t="str">
        <f>IFERROR(__xludf.DUMMYFUNCTION("""COMPUTED_VALUE"""),"獎狀")</f>
        <v>獎狀</v>
      </c>
      <c r="H53" s="8"/>
    </row>
    <row r="54">
      <c r="A54" s="12"/>
      <c r="B54" s="14">
        <f>IFERROR(__xludf.DUMMYFUNCTION("""COMPUTED_VALUE"""),958466.0)</f>
        <v>958466</v>
      </c>
      <c r="C54" s="14" t="str">
        <f>IFERROR(__xludf.DUMMYFUNCTION("""COMPUTED_VALUE"""),"江沂諺")</f>
        <v>江沂諺</v>
      </c>
      <c r="D54" s="16" t="str">
        <f>IFERROR(__xludf.DUMMYFUNCTION("""COMPUTED_VALUE"""),"106*****ail.sles.tp.edu.tw")</f>
        <v>106*****ail.sles.tp.edu.tw</v>
      </c>
      <c r="E54" s="17" t="str">
        <f>IFERROR(__xludf.DUMMYFUNCTION("""COMPUTED_VALUE"""),"臺北市大同區雙蓮國民小學")</f>
        <v>臺北市大同區雙蓮國民小學</v>
      </c>
      <c r="F54" s="14" t="str">
        <f>IFERROR(__xludf.DUMMYFUNCTION("""COMPUTED_VALUE"""),"六年級")</f>
        <v>六年級</v>
      </c>
      <c r="G54" s="14" t="str">
        <f>IFERROR(__xludf.DUMMYFUNCTION("""COMPUTED_VALUE"""),"●小禮物")</f>
        <v>●小禮物</v>
      </c>
      <c r="H54" s="8"/>
    </row>
    <row r="55">
      <c r="A55" s="12"/>
      <c r="B55" s="14">
        <f>IFERROR(__xludf.DUMMYFUNCTION("""COMPUTED_VALUE"""),948073.0)</f>
        <v>948073</v>
      </c>
      <c r="C55" s="14" t="str">
        <f>IFERROR(__xludf.DUMMYFUNCTION("""COMPUTED_VALUE"""),"宋珮琦")</f>
        <v>宋珮琦</v>
      </c>
      <c r="D55" s="16" t="str">
        <f>IFERROR(__xludf.DUMMYFUNCTION("""COMPUTED_VALUE"""),"106*****ail.sles.tp.edu.tw")</f>
        <v>106*****ail.sles.tp.edu.tw</v>
      </c>
      <c r="E55" s="17" t="str">
        <f>IFERROR(__xludf.DUMMYFUNCTION("""COMPUTED_VALUE"""),"臺北市大同區雙蓮國民小學")</f>
        <v>臺北市大同區雙蓮國民小學</v>
      </c>
      <c r="F55" s="14" t="str">
        <f>IFERROR(__xludf.DUMMYFUNCTION("""COMPUTED_VALUE"""),"六年級")</f>
        <v>六年級</v>
      </c>
      <c r="G55" s="14" t="str">
        <f>IFERROR(__xludf.DUMMYFUNCTION("""COMPUTED_VALUE"""),"●小禮物")</f>
        <v>●小禮物</v>
      </c>
      <c r="H55" s="8"/>
    </row>
    <row r="56">
      <c r="A56" s="12"/>
      <c r="B56" s="14">
        <f>IFERROR(__xludf.DUMMYFUNCTION("""COMPUTED_VALUE"""),948452.0)</f>
        <v>948452</v>
      </c>
      <c r="C56" s="14" t="str">
        <f>IFERROR(__xludf.DUMMYFUNCTION("""COMPUTED_VALUE"""),"柯至恩")</f>
        <v>柯至恩</v>
      </c>
      <c r="D56" s="16" t="str">
        <f>IFERROR(__xludf.DUMMYFUNCTION("""COMPUTED_VALUE"""),"106*****ail.sles.tp.edu.tw")</f>
        <v>106*****ail.sles.tp.edu.tw</v>
      </c>
      <c r="E56" s="17" t="str">
        <f>IFERROR(__xludf.DUMMYFUNCTION("""COMPUTED_VALUE"""),"臺北市大同區雙蓮國民小學")</f>
        <v>臺北市大同區雙蓮國民小學</v>
      </c>
      <c r="F56" s="14" t="str">
        <f>IFERROR(__xludf.DUMMYFUNCTION("""COMPUTED_VALUE"""),"六年級")</f>
        <v>六年級</v>
      </c>
      <c r="G56" s="14" t="str">
        <f>IFERROR(__xludf.DUMMYFUNCTION("""COMPUTED_VALUE"""),"●小禮物")</f>
        <v>●小禮物</v>
      </c>
      <c r="H56" s="8"/>
    </row>
    <row r="57">
      <c r="A57" s="12"/>
      <c r="B57" s="14">
        <f>IFERROR(__xludf.DUMMYFUNCTION("""COMPUTED_VALUE"""),958513.0)</f>
        <v>958513</v>
      </c>
      <c r="C57" s="14" t="str">
        <f>IFERROR(__xludf.DUMMYFUNCTION("""COMPUTED_VALUE"""),"陳昱安")</f>
        <v>陳昱安</v>
      </c>
      <c r="D57" s="16" t="str">
        <f>IFERROR(__xludf.DUMMYFUNCTION("""COMPUTED_VALUE"""),"106*****ail.sles.tp.edu.tw")</f>
        <v>106*****ail.sles.tp.edu.tw</v>
      </c>
      <c r="E57" s="17" t="str">
        <f>IFERROR(__xludf.DUMMYFUNCTION("""COMPUTED_VALUE"""),"臺北市大同區雙蓮國民小學")</f>
        <v>臺北市大同區雙蓮國民小學</v>
      </c>
      <c r="F57" s="14" t="str">
        <f>IFERROR(__xludf.DUMMYFUNCTION("""COMPUTED_VALUE"""),"六年級")</f>
        <v>六年級</v>
      </c>
      <c r="G57" s="14" t="str">
        <f>IFERROR(__xludf.DUMMYFUNCTION("""COMPUTED_VALUE"""),"●小禮物")</f>
        <v>●小禮物</v>
      </c>
      <c r="H57" s="8"/>
    </row>
    <row r="58">
      <c r="A58" s="12"/>
      <c r="B58" s="14">
        <f>IFERROR(__xludf.DUMMYFUNCTION("""COMPUTED_VALUE"""),948476.0)</f>
        <v>948476</v>
      </c>
      <c r="C58" s="14" t="str">
        <f>IFERROR(__xludf.DUMMYFUNCTION("""COMPUTED_VALUE"""),"游秉諺")</f>
        <v>游秉諺</v>
      </c>
      <c r="D58" s="16" t="str">
        <f>IFERROR(__xludf.DUMMYFUNCTION("""COMPUTED_VALUE"""),"106*****ail.sles.tp.edu.tw")</f>
        <v>106*****ail.sles.tp.edu.tw</v>
      </c>
      <c r="E58" s="17" t="str">
        <f>IFERROR(__xludf.DUMMYFUNCTION("""COMPUTED_VALUE"""),"臺北市大同區雙蓮國民小學")</f>
        <v>臺北市大同區雙蓮國民小學</v>
      </c>
      <c r="F58" s="14" t="str">
        <f>IFERROR(__xludf.DUMMYFUNCTION("""COMPUTED_VALUE"""),"六年級")</f>
        <v>六年級</v>
      </c>
      <c r="G58" s="14" t="str">
        <f>IFERROR(__xludf.DUMMYFUNCTION("""COMPUTED_VALUE"""),"●小禮物")</f>
        <v>●小禮物</v>
      </c>
      <c r="H58" s="8"/>
    </row>
    <row r="59">
      <c r="A59" s="12"/>
      <c r="B59" s="14">
        <f>IFERROR(__xludf.DUMMYFUNCTION("""COMPUTED_VALUE"""),958360.0)</f>
        <v>958360</v>
      </c>
      <c r="C59" s="14" t="str">
        <f>IFERROR(__xludf.DUMMYFUNCTION("""COMPUTED_VALUE"""),"余幸沄")</f>
        <v>余幸沄</v>
      </c>
      <c r="D59" s="16" t="str">
        <f>IFERROR(__xludf.DUMMYFUNCTION("""COMPUTED_VALUE"""),"106*****ail.sles.tp.edu.tw")</f>
        <v>106*****ail.sles.tp.edu.tw</v>
      </c>
      <c r="E59" s="17" t="str">
        <f>IFERROR(__xludf.DUMMYFUNCTION("""COMPUTED_VALUE"""),"臺北市大同區雙蓮國民小學")</f>
        <v>臺北市大同區雙蓮國民小學</v>
      </c>
      <c r="F59" s="14" t="str">
        <f>IFERROR(__xludf.DUMMYFUNCTION("""COMPUTED_VALUE"""),"六年級")</f>
        <v>六年級</v>
      </c>
      <c r="G59" s="14" t="str">
        <f>IFERROR(__xludf.DUMMYFUNCTION("""COMPUTED_VALUE"""),"獎狀")</f>
        <v>獎狀</v>
      </c>
      <c r="H59" s="8"/>
    </row>
    <row r="60">
      <c r="A60" s="12"/>
      <c r="B60" s="14">
        <f>IFERROR(__xludf.DUMMYFUNCTION("""COMPUTED_VALUE"""),958422.0)</f>
        <v>958422</v>
      </c>
      <c r="C60" s="14" t="str">
        <f>IFERROR(__xludf.DUMMYFUNCTION("""COMPUTED_VALUE"""),"楊沛珵")</f>
        <v>楊沛珵</v>
      </c>
      <c r="D60" s="16" t="str">
        <f>IFERROR(__xludf.DUMMYFUNCTION("""COMPUTED_VALUE"""),"106*****ail.sles.tp.edu.tw")</f>
        <v>106*****ail.sles.tp.edu.tw</v>
      </c>
      <c r="E60" s="17" t="str">
        <f>IFERROR(__xludf.DUMMYFUNCTION("""COMPUTED_VALUE"""),"臺北市大同區雙蓮國民小學")</f>
        <v>臺北市大同區雙蓮國民小學</v>
      </c>
      <c r="F60" s="14" t="str">
        <f>IFERROR(__xludf.DUMMYFUNCTION("""COMPUTED_VALUE"""),"六年級")</f>
        <v>六年級</v>
      </c>
      <c r="G60" s="14" t="str">
        <f>IFERROR(__xludf.DUMMYFUNCTION("""COMPUTED_VALUE"""),"獎狀")</f>
        <v>獎狀</v>
      </c>
      <c r="H60" s="8"/>
    </row>
    <row r="61">
      <c r="A61" s="12"/>
      <c r="B61" s="14">
        <f>IFERROR(__xludf.DUMMYFUNCTION("""COMPUTED_VALUE"""),958522.0)</f>
        <v>958522</v>
      </c>
      <c r="C61" s="14" t="str">
        <f>IFERROR(__xludf.DUMMYFUNCTION("""COMPUTED_VALUE"""),"嚴竣")</f>
        <v>嚴竣</v>
      </c>
      <c r="D61" s="16" t="str">
        <f>IFERROR(__xludf.DUMMYFUNCTION("""COMPUTED_VALUE"""),"106*****ail.sles.tp.edu.tw")</f>
        <v>106*****ail.sles.tp.edu.tw</v>
      </c>
      <c r="E61" s="17" t="str">
        <f>IFERROR(__xludf.DUMMYFUNCTION("""COMPUTED_VALUE"""),"臺北市大同區雙蓮國民小學")</f>
        <v>臺北市大同區雙蓮國民小學</v>
      </c>
      <c r="F61" s="14" t="str">
        <f>IFERROR(__xludf.DUMMYFUNCTION("""COMPUTED_VALUE"""),"六年級")</f>
        <v>六年級</v>
      </c>
      <c r="G61" s="14" t="str">
        <f>IFERROR(__xludf.DUMMYFUNCTION("""COMPUTED_VALUE"""),"獎狀")</f>
        <v>獎狀</v>
      </c>
      <c r="H61" s="8"/>
    </row>
    <row r="62">
      <c r="A62" s="12"/>
      <c r="B62" s="14">
        <f>IFERROR(__xludf.DUMMYFUNCTION("""COMPUTED_VALUE"""),948255.0)</f>
        <v>948255</v>
      </c>
      <c r="C62" s="14" t="str">
        <f>IFERROR(__xludf.DUMMYFUNCTION("""COMPUTED_VALUE"""),"李承展")</f>
        <v>李承展</v>
      </c>
      <c r="D62" s="16" t="str">
        <f>IFERROR(__xludf.DUMMYFUNCTION("""COMPUTED_VALUE"""),"106*****ail.sles.tp.edu.tw")</f>
        <v>106*****ail.sles.tp.edu.tw</v>
      </c>
      <c r="E62" s="17" t="str">
        <f>IFERROR(__xludf.DUMMYFUNCTION("""COMPUTED_VALUE"""),"臺北市大同區雙蓮國民小學")</f>
        <v>臺北市大同區雙蓮國民小學</v>
      </c>
      <c r="F62" s="14" t="str">
        <f>IFERROR(__xludf.DUMMYFUNCTION("""COMPUTED_VALUE"""),"六年級")</f>
        <v>六年級</v>
      </c>
      <c r="G62" s="14" t="str">
        <f>IFERROR(__xludf.DUMMYFUNCTION("""COMPUTED_VALUE"""),"●小禮物")</f>
        <v>●小禮物</v>
      </c>
      <c r="H62" s="8"/>
    </row>
    <row r="63">
      <c r="A63" s="12"/>
      <c r="B63" s="14">
        <f>IFERROR(__xludf.DUMMYFUNCTION("""COMPUTED_VALUE"""),557316.0)</f>
        <v>557316</v>
      </c>
      <c r="C63" s="14" t="str">
        <f>IFERROR(__xludf.DUMMYFUNCTION("""COMPUTED_VALUE"""),"康晉綸")</f>
        <v>康晉綸</v>
      </c>
      <c r="D63" s="16" t="str">
        <f>IFERROR(__xludf.DUMMYFUNCTION("""COMPUTED_VALUE"""),"106*****ail.sles.tp.edu.tw")</f>
        <v>106*****ail.sles.tp.edu.tw</v>
      </c>
      <c r="E63" s="17" t="str">
        <f>IFERROR(__xludf.DUMMYFUNCTION("""COMPUTED_VALUE"""),"臺北市大同區雙蓮國民小學")</f>
        <v>臺北市大同區雙蓮國民小學</v>
      </c>
      <c r="F63" s="14" t="str">
        <f>IFERROR(__xludf.DUMMYFUNCTION("""COMPUTED_VALUE"""),"六年級")</f>
        <v>六年級</v>
      </c>
      <c r="G63" s="14" t="str">
        <f>IFERROR(__xludf.DUMMYFUNCTION("""COMPUTED_VALUE"""),"●小禮物")</f>
        <v>●小禮物</v>
      </c>
      <c r="H63" s="8"/>
    </row>
    <row r="64">
      <c r="A64" s="12"/>
      <c r="B64" s="14">
        <f>IFERROR(__xludf.DUMMYFUNCTION("""COMPUTED_VALUE"""),952160.0)</f>
        <v>952160</v>
      </c>
      <c r="C64" s="14" t="str">
        <f>IFERROR(__xludf.DUMMYFUNCTION("""COMPUTED_VALUE"""),"彭瀞萱")</f>
        <v>彭瀞萱</v>
      </c>
      <c r="D64" s="16" t="str">
        <f>IFERROR(__xludf.DUMMYFUNCTION("""COMPUTED_VALUE"""),"106*****ail.sles.tp.edu.tw")</f>
        <v>106*****ail.sles.tp.edu.tw</v>
      </c>
      <c r="E64" s="17" t="str">
        <f>IFERROR(__xludf.DUMMYFUNCTION("""COMPUTED_VALUE"""),"臺北市大同區雙蓮國民小學")</f>
        <v>臺北市大同區雙蓮國民小學</v>
      </c>
      <c r="F64" s="14" t="str">
        <f>IFERROR(__xludf.DUMMYFUNCTION("""COMPUTED_VALUE"""),"六年級")</f>
        <v>六年級</v>
      </c>
      <c r="G64" s="14" t="str">
        <f>IFERROR(__xludf.DUMMYFUNCTION("""COMPUTED_VALUE"""),"●小禮物")</f>
        <v>●小禮物</v>
      </c>
      <c r="H64" s="8"/>
    </row>
    <row r="65">
      <c r="A65" s="12"/>
      <c r="B65" s="14">
        <f>IFERROR(__xludf.DUMMYFUNCTION("""COMPUTED_VALUE"""),952188.0)</f>
        <v>952188</v>
      </c>
      <c r="C65" s="14" t="str">
        <f>IFERROR(__xludf.DUMMYFUNCTION("""COMPUTED_VALUE"""),"黃羿崴")</f>
        <v>黃羿崴</v>
      </c>
      <c r="D65" s="16" t="str">
        <f>IFERROR(__xludf.DUMMYFUNCTION("""COMPUTED_VALUE"""),"106*****ail.sles.tp.edu.tw")</f>
        <v>106*****ail.sles.tp.edu.tw</v>
      </c>
      <c r="E65" s="17" t="str">
        <f>IFERROR(__xludf.DUMMYFUNCTION("""COMPUTED_VALUE"""),"臺北市大同區雙蓮國民小學")</f>
        <v>臺北市大同區雙蓮國民小學</v>
      </c>
      <c r="F65" s="14" t="str">
        <f>IFERROR(__xludf.DUMMYFUNCTION("""COMPUTED_VALUE"""),"六年級")</f>
        <v>六年級</v>
      </c>
      <c r="G65" s="14" t="str">
        <f>IFERROR(__xludf.DUMMYFUNCTION("""COMPUTED_VALUE"""),"●小禮物")</f>
        <v>●小禮物</v>
      </c>
      <c r="H65" s="8"/>
    </row>
    <row r="66">
      <c r="A66" s="12"/>
      <c r="B66" s="14">
        <f>IFERROR(__xludf.DUMMYFUNCTION("""COMPUTED_VALUE"""),977428.0)</f>
        <v>977428</v>
      </c>
      <c r="C66" s="14" t="str">
        <f>IFERROR(__xludf.DUMMYFUNCTION("""COMPUTED_VALUE"""),"鄭善予")</f>
        <v>鄭善予</v>
      </c>
      <c r="D66" s="16" t="str">
        <f>IFERROR(__xludf.DUMMYFUNCTION("""COMPUTED_VALUE"""),"106*****ail.sles.tp.edu.tw")</f>
        <v>106*****ail.sles.tp.edu.tw</v>
      </c>
      <c r="E66" s="17" t="str">
        <f>IFERROR(__xludf.DUMMYFUNCTION("""COMPUTED_VALUE"""),"臺北市大同區雙蓮國民小學")</f>
        <v>臺北市大同區雙蓮國民小學</v>
      </c>
      <c r="F66" s="14" t="str">
        <f>IFERROR(__xludf.DUMMYFUNCTION("""COMPUTED_VALUE"""),"六年級")</f>
        <v>六年級</v>
      </c>
      <c r="G66" s="14" t="str">
        <f>IFERROR(__xludf.DUMMYFUNCTION("""COMPUTED_VALUE"""),"★禮券$200")</f>
        <v>★禮券$200</v>
      </c>
      <c r="H66" s="8"/>
    </row>
    <row r="67">
      <c r="A67" s="12"/>
      <c r="B67" s="14">
        <f>IFERROR(__xludf.DUMMYFUNCTION("""COMPUTED_VALUE"""),948307.0)</f>
        <v>948307</v>
      </c>
      <c r="C67" s="14" t="str">
        <f>IFERROR(__xludf.DUMMYFUNCTION("""COMPUTED_VALUE"""),"吳欣芸")</f>
        <v>吳欣芸</v>
      </c>
      <c r="D67" s="16" t="str">
        <f>IFERROR(__xludf.DUMMYFUNCTION("""COMPUTED_VALUE"""),"106*****ail.sles.tp.edu.tw")</f>
        <v>106*****ail.sles.tp.edu.tw</v>
      </c>
      <c r="E67" s="17" t="str">
        <f>IFERROR(__xludf.DUMMYFUNCTION("""COMPUTED_VALUE"""),"臺北市大同區雙蓮國民小學")</f>
        <v>臺北市大同區雙蓮國民小學</v>
      </c>
      <c r="F67" s="14" t="str">
        <f>IFERROR(__xludf.DUMMYFUNCTION("""COMPUTED_VALUE"""),"六年級")</f>
        <v>六年級</v>
      </c>
      <c r="G67" s="14" t="str">
        <f>IFERROR(__xludf.DUMMYFUNCTION("""COMPUTED_VALUE"""),"獎狀")</f>
        <v>獎狀</v>
      </c>
      <c r="H67" s="8"/>
    </row>
    <row r="68">
      <c r="A68" s="12"/>
      <c r="B68" s="14">
        <f>IFERROR(__xludf.DUMMYFUNCTION("""COMPUTED_VALUE"""),948352.0)</f>
        <v>948352</v>
      </c>
      <c r="C68" s="14" t="str">
        <f>IFERROR(__xludf.DUMMYFUNCTION("""COMPUTED_VALUE"""),"林盟裕")</f>
        <v>林盟裕</v>
      </c>
      <c r="D68" s="16" t="str">
        <f>IFERROR(__xludf.DUMMYFUNCTION("""COMPUTED_VALUE"""),"106*****ail.sles.tp.edu.tw")</f>
        <v>106*****ail.sles.tp.edu.tw</v>
      </c>
      <c r="E68" s="17" t="str">
        <f>IFERROR(__xludf.DUMMYFUNCTION("""COMPUTED_VALUE"""),"臺北市大同區雙蓮國民小學")</f>
        <v>臺北市大同區雙蓮國民小學</v>
      </c>
      <c r="F68" s="14" t="str">
        <f>IFERROR(__xludf.DUMMYFUNCTION("""COMPUTED_VALUE"""),"六年級")</f>
        <v>六年級</v>
      </c>
      <c r="G68" s="14" t="str">
        <f>IFERROR(__xludf.DUMMYFUNCTION("""COMPUTED_VALUE"""),"獎狀")</f>
        <v>獎狀</v>
      </c>
      <c r="H68" s="8"/>
    </row>
    <row r="69">
      <c r="A69" s="12"/>
      <c r="B69" s="14">
        <f>IFERROR(__xludf.DUMMYFUNCTION("""COMPUTED_VALUE"""),952195.0)</f>
        <v>952195</v>
      </c>
      <c r="C69" s="14" t="str">
        <f>IFERROR(__xludf.DUMMYFUNCTION("""COMPUTED_VALUE"""),"洪舒涵")</f>
        <v>洪舒涵</v>
      </c>
      <c r="D69" s="16" t="str">
        <f>IFERROR(__xludf.DUMMYFUNCTION("""COMPUTED_VALUE"""),"106*****ail.sles.tp.edu.tw")</f>
        <v>106*****ail.sles.tp.edu.tw</v>
      </c>
      <c r="E69" s="17" t="str">
        <f>IFERROR(__xludf.DUMMYFUNCTION("""COMPUTED_VALUE"""),"臺北市大同區雙蓮國民小學")</f>
        <v>臺北市大同區雙蓮國民小學</v>
      </c>
      <c r="F69" s="14" t="str">
        <f>IFERROR(__xludf.DUMMYFUNCTION("""COMPUTED_VALUE"""),"六年級")</f>
        <v>六年級</v>
      </c>
      <c r="G69" s="14" t="str">
        <f>IFERROR(__xludf.DUMMYFUNCTION("""COMPUTED_VALUE"""),"獎狀")</f>
        <v>獎狀</v>
      </c>
      <c r="H69" s="8"/>
    </row>
    <row r="70">
      <c r="A70" s="12"/>
      <c r="B70" s="14">
        <f>IFERROR(__xludf.DUMMYFUNCTION("""COMPUTED_VALUE"""),952172.0)</f>
        <v>952172</v>
      </c>
      <c r="C70" s="14" t="str">
        <f>IFERROR(__xludf.DUMMYFUNCTION("""COMPUTED_VALUE"""),"陳琪潔")</f>
        <v>陳琪潔</v>
      </c>
      <c r="D70" s="16" t="str">
        <f>IFERROR(__xludf.DUMMYFUNCTION("""COMPUTED_VALUE"""),"106*****ail.sles.tp.edu.tw")</f>
        <v>106*****ail.sles.tp.edu.tw</v>
      </c>
      <c r="E70" s="17" t="str">
        <f>IFERROR(__xludf.DUMMYFUNCTION("""COMPUTED_VALUE"""),"臺北市大同區雙蓮國民小學")</f>
        <v>臺北市大同區雙蓮國民小學</v>
      </c>
      <c r="F70" s="14" t="str">
        <f>IFERROR(__xludf.DUMMYFUNCTION("""COMPUTED_VALUE"""),"六年級")</f>
        <v>六年級</v>
      </c>
      <c r="G70" s="14" t="str">
        <f>IFERROR(__xludf.DUMMYFUNCTION("""COMPUTED_VALUE"""),"獎狀")</f>
        <v>獎狀</v>
      </c>
      <c r="H70" s="8"/>
    </row>
    <row r="71">
      <c r="A71" s="12"/>
      <c r="B71" s="14">
        <f>IFERROR(__xludf.DUMMYFUNCTION("""COMPUTED_VALUE"""),684848.0)</f>
        <v>684848</v>
      </c>
      <c r="C71" s="14" t="str">
        <f>IFERROR(__xludf.DUMMYFUNCTION("""COMPUTED_VALUE"""),"黃靖涵")</f>
        <v>黃靖涵</v>
      </c>
      <c r="D71" s="16" t="str">
        <f>IFERROR(__xludf.DUMMYFUNCTION("""COMPUTED_VALUE"""),"106*****ail.sles.tp.edu.tw")</f>
        <v>106*****ail.sles.tp.edu.tw</v>
      </c>
      <c r="E71" s="17" t="str">
        <f>IFERROR(__xludf.DUMMYFUNCTION("""COMPUTED_VALUE"""),"臺北市大同區雙蓮國民小學")</f>
        <v>臺北市大同區雙蓮國民小學</v>
      </c>
      <c r="F71" s="14" t="str">
        <f>IFERROR(__xludf.DUMMYFUNCTION("""COMPUTED_VALUE"""),"六年級")</f>
        <v>六年級</v>
      </c>
      <c r="G71" s="14" t="str">
        <f>IFERROR(__xludf.DUMMYFUNCTION("""COMPUTED_VALUE"""),"獎狀")</f>
        <v>獎狀</v>
      </c>
      <c r="H71" s="8"/>
    </row>
    <row r="72">
      <c r="A72" s="12"/>
      <c r="B72" s="14">
        <f>IFERROR(__xludf.DUMMYFUNCTION("""COMPUTED_VALUE"""),219936.0)</f>
        <v>219936</v>
      </c>
      <c r="C72" s="14" t="str">
        <f>IFERROR(__xludf.DUMMYFUNCTION("""COMPUTED_VALUE"""),"鍾雯竹")</f>
        <v>鍾雯竹</v>
      </c>
      <c r="D72" s="16" t="str">
        <f>IFERROR(__xludf.DUMMYFUNCTION("""COMPUTED_VALUE"""),"jul*****30@gmail.com")</f>
        <v>jul*****30@gmail.com</v>
      </c>
      <c r="E72" s="17" t="str">
        <f>IFERROR(__xludf.DUMMYFUNCTION("""COMPUTED_VALUE"""),"臺北市大同區雙蓮國民小學")</f>
        <v>臺北市大同區雙蓮國民小學</v>
      </c>
      <c r="F72" s="14" t="str">
        <f>IFERROR(__xludf.DUMMYFUNCTION("""COMPUTED_VALUE"""),"六年級")</f>
        <v>六年級</v>
      </c>
      <c r="G72" s="14" t="str">
        <f>IFERROR(__xludf.DUMMYFUNCTION("""COMPUTED_VALUE"""),"獎狀")</f>
        <v>獎狀</v>
      </c>
      <c r="H72" s="8"/>
    </row>
    <row r="73">
      <c r="A73" s="12"/>
      <c r="B73" s="14">
        <f>IFERROR(__xludf.DUMMYFUNCTION("""COMPUTED_VALUE"""),959787.0)</f>
        <v>959787</v>
      </c>
      <c r="C73" s="14" t="str">
        <f>IFERROR(__xludf.DUMMYFUNCTION("""COMPUTED_VALUE"""),"林祐廷")</f>
        <v>林祐廷</v>
      </c>
      <c r="D73" s="16" t="str">
        <f>IFERROR(__xludf.DUMMYFUNCTION("""COMPUTED_VALUE"""),"geo*****nicecream@gmail.com")</f>
        <v>geo*****nicecream@gmail.com</v>
      </c>
      <c r="E73" s="17" t="str">
        <f>IFERROR(__xludf.DUMMYFUNCTION("""COMPUTED_VALUE"""),"臺北市大同區延平國民小學")</f>
        <v>臺北市大同區延平國民小學</v>
      </c>
      <c r="F73" s="14" t="str">
        <f>IFERROR(__xludf.DUMMYFUNCTION("""COMPUTED_VALUE"""),"三年級")</f>
        <v>三年級</v>
      </c>
      <c r="G73" s="14" t="str">
        <f>IFERROR(__xludf.DUMMYFUNCTION("""COMPUTED_VALUE"""),"獎狀")</f>
        <v>獎狀</v>
      </c>
      <c r="H73" s="8"/>
    </row>
    <row r="74">
      <c r="A74" s="12"/>
      <c r="B74" s="14">
        <f>IFERROR(__xludf.DUMMYFUNCTION("""COMPUTED_VALUE"""),956208.0)</f>
        <v>956208</v>
      </c>
      <c r="C74" s="14" t="str">
        <f>IFERROR(__xludf.DUMMYFUNCTION("""COMPUTED_VALUE"""),"林子晴")</f>
        <v>林子晴</v>
      </c>
      <c r="D74" s="16" t="str">
        <f>IFERROR(__xludf.DUMMYFUNCTION("""COMPUTED_VALUE"""),"sun*****icecream@gmail.com")</f>
        <v>sun*****icecream@gmail.com</v>
      </c>
      <c r="E74" s="17" t="str">
        <f>IFERROR(__xludf.DUMMYFUNCTION("""COMPUTED_VALUE"""),"臺北市大同區延平國民小學")</f>
        <v>臺北市大同區延平國民小學</v>
      </c>
      <c r="F74" s="14" t="str">
        <f>IFERROR(__xludf.DUMMYFUNCTION("""COMPUTED_VALUE"""),"四年級")</f>
        <v>四年級</v>
      </c>
      <c r="G74" s="14" t="str">
        <f>IFERROR(__xludf.DUMMYFUNCTION("""COMPUTED_VALUE"""),"獎狀")</f>
        <v>獎狀</v>
      </c>
      <c r="H74" s="8"/>
    </row>
    <row r="75">
      <c r="A75" s="12"/>
      <c r="B75" s="14">
        <f>IFERROR(__xludf.DUMMYFUNCTION("""COMPUTED_VALUE"""),469247.0)</f>
        <v>469247</v>
      </c>
      <c r="C75" s="14" t="str">
        <f>IFERROR(__xludf.DUMMYFUNCTION("""COMPUTED_VALUE"""),"施欽耀")</f>
        <v>施欽耀</v>
      </c>
      <c r="D75" s="16" t="str">
        <f>IFERROR(__xludf.DUMMYFUNCTION("""COMPUTED_VALUE"""),"106*****lps.tp.edu.tw")</f>
        <v>106*****lps.tp.edu.tw</v>
      </c>
      <c r="E75" s="17" t="str">
        <f>IFERROR(__xludf.DUMMYFUNCTION("""COMPUTED_VALUE"""),"臺北市大同區大龍國民小學")</f>
        <v>臺北市大同區大龍國民小學</v>
      </c>
      <c r="F75" s="14" t="str">
        <f>IFERROR(__xludf.DUMMYFUNCTION("""COMPUTED_VALUE"""),"六年級")</f>
        <v>六年級</v>
      </c>
      <c r="G75" s="14" t="str">
        <f>IFERROR(__xludf.DUMMYFUNCTION("""COMPUTED_VALUE"""),"●小禮物")</f>
        <v>●小禮物</v>
      </c>
      <c r="H75" s="8"/>
    </row>
    <row r="76">
      <c r="A76" s="12"/>
      <c r="B76" s="14">
        <f>IFERROR(__xludf.DUMMYFUNCTION("""COMPUTED_VALUE"""),469237.0)</f>
        <v>469237</v>
      </c>
      <c r="C76" s="14" t="str">
        <f>IFERROR(__xludf.DUMMYFUNCTION("""COMPUTED_VALUE"""),"林忻靜")</f>
        <v>林忻靜</v>
      </c>
      <c r="D76" s="16" t="str">
        <f>IFERROR(__xludf.DUMMYFUNCTION("""COMPUTED_VALUE"""),"106*****lps.tp.edu.tw")</f>
        <v>106*****lps.tp.edu.tw</v>
      </c>
      <c r="E76" s="17" t="str">
        <f>IFERROR(__xludf.DUMMYFUNCTION("""COMPUTED_VALUE"""),"臺北市大同區大龍國民小學")</f>
        <v>臺北市大同區大龍國民小學</v>
      </c>
      <c r="F76" s="14" t="str">
        <f>IFERROR(__xludf.DUMMYFUNCTION("""COMPUTED_VALUE"""),"六年級")</f>
        <v>六年級</v>
      </c>
      <c r="G76" s="14" t="str">
        <f>IFERROR(__xludf.DUMMYFUNCTION("""COMPUTED_VALUE"""),"獎狀")</f>
        <v>獎狀</v>
      </c>
      <c r="H76" s="8"/>
    </row>
    <row r="77">
      <c r="A77" s="12"/>
      <c r="B77" s="14">
        <f>IFERROR(__xludf.DUMMYFUNCTION("""COMPUTED_VALUE"""),919996.0)</f>
        <v>919996</v>
      </c>
      <c r="C77" s="14" t="str">
        <f>IFERROR(__xludf.DUMMYFUNCTION("""COMPUTED_VALUE"""),"陳奕勳")</f>
        <v>陳奕勳</v>
      </c>
      <c r="D77" s="16" t="str">
        <f>IFERROR(__xludf.DUMMYFUNCTION("""COMPUTED_VALUE"""),"107*****pes.tp.edu.tw")</f>
        <v>107*****pes.tp.edu.tw</v>
      </c>
      <c r="E77" s="17" t="str">
        <f>IFERROR(__xludf.DUMMYFUNCTION("""COMPUTED_VALUE"""),"臺北市大同區太平國民小學")</f>
        <v>臺北市大同區太平國民小學</v>
      </c>
      <c r="F77" s="14" t="str">
        <f>IFERROR(__xludf.DUMMYFUNCTION("""COMPUTED_VALUE"""),"五年級")</f>
        <v>五年級</v>
      </c>
      <c r="G77" s="14" t="str">
        <f>IFERROR(__xludf.DUMMYFUNCTION("""COMPUTED_VALUE"""),"獎狀")</f>
        <v>獎狀</v>
      </c>
      <c r="H77" s="8"/>
    </row>
    <row r="78">
      <c r="A78" s="12"/>
      <c r="B78" s="14">
        <f>IFERROR(__xludf.DUMMYFUNCTION("""COMPUTED_VALUE"""),670126.0)</f>
        <v>670126</v>
      </c>
      <c r="C78" s="14" t="str">
        <f>IFERROR(__xludf.DUMMYFUNCTION("""COMPUTED_VALUE"""),"汪詠茹")</f>
        <v>汪詠茹</v>
      </c>
      <c r="D78" s="16" t="str">
        <f>IFERROR(__xludf.DUMMYFUNCTION("""COMPUTED_VALUE"""),"rur*****g168@mail.edu.tw")</f>
        <v>rur*****g168@mail.edu.tw</v>
      </c>
      <c r="E78" s="17" t="str">
        <f>IFERROR(__xludf.DUMMYFUNCTION("""COMPUTED_VALUE"""),"臺北市大同區太平國民小學")</f>
        <v>臺北市大同區太平國民小學</v>
      </c>
      <c r="F78" s="14" t="str">
        <f>IFERROR(__xludf.DUMMYFUNCTION("""COMPUTED_VALUE"""),"六年級")</f>
        <v>六年級</v>
      </c>
      <c r="G78" s="14" t="str">
        <f>IFERROR(__xludf.DUMMYFUNCTION("""COMPUTED_VALUE"""),"★禮券$200")</f>
        <v>★禮券$200</v>
      </c>
      <c r="H78" s="8"/>
    </row>
    <row r="79">
      <c r="A79" s="12"/>
      <c r="B79" s="14">
        <f>IFERROR(__xludf.DUMMYFUNCTION("""COMPUTED_VALUE"""),639857.0)</f>
        <v>639857</v>
      </c>
      <c r="C79" s="14" t="str">
        <f>IFERROR(__xludf.DUMMYFUNCTION("""COMPUTED_VALUE"""),"丁子紜")</f>
        <v>丁子紜</v>
      </c>
      <c r="D79" s="16" t="str">
        <f>IFERROR(__xludf.DUMMYFUNCTION("""COMPUTED_VALUE"""),"s10*****ylps.tp.edu.tw")</f>
        <v>s10*****ylps.tp.edu.tw</v>
      </c>
      <c r="E79" s="17" t="str">
        <f>IFERROR(__xludf.DUMMYFUNCTION("""COMPUTED_VALUE"""),"臺北市大同區永樂國民小學")</f>
        <v>臺北市大同區永樂國民小學</v>
      </c>
      <c r="F79" s="14" t="str">
        <f>IFERROR(__xludf.DUMMYFUNCTION("""COMPUTED_VALUE"""),"五年級")</f>
        <v>五年級</v>
      </c>
      <c r="G79" s="14" t="str">
        <f>IFERROR(__xludf.DUMMYFUNCTION("""COMPUTED_VALUE"""),"●小禮物")</f>
        <v>●小禮物</v>
      </c>
      <c r="H79" s="8"/>
    </row>
    <row r="80">
      <c r="A80" s="12"/>
      <c r="B80" s="14">
        <f>IFERROR(__xludf.DUMMYFUNCTION("""COMPUTED_VALUE"""),1114765.0)</f>
        <v>1114765</v>
      </c>
      <c r="C80" s="14" t="str">
        <f>IFERROR(__xludf.DUMMYFUNCTION("""COMPUTED_VALUE"""),"張瑞芯")</f>
        <v>張瑞芯</v>
      </c>
      <c r="D80" s="16" t="str">
        <f>IFERROR(__xludf.DUMMYFUNCTION("""COMPUTED_VALUE"""),"108*****hps.tp.edu.tw")</f>
        <v>108*****hps.tp.edu.tw</v>
      </c>
      <c r="E80" s="17" t="str">
        <f>IFERROR(__xludf.DUMMYFUNCTION("""COMPUTED_VALUE"""),"臺北市大同區日新國民小學")</f>
        <v>臺北市大同區日新國民小學</v>
      </c>
      <c r="F80" s="14" t="str">
        <f>IFERROR(__xludf.DUMMYFUNCTION("""COMPUTED_VALUE"""),"四年級")</f>
        <v>四年級</v>
      </c>
      <c r="G80" s="14" t="str">
        <f>IFERROR(__xludf.DUMMYFUNCTION("""COMPUTED_VALUE"""),"獎狀")</f>
        <v>獎狀</v>
      </c>
      <c r="H80" s="8"/>
    </row>
    <row r="81">
      <c r="A81" s="12"/>
      <c r="B81" s="14">
        <f>IFERROR(__xludf.DUMMYFUNCTION("""COMPUTED_VALUE"""),1015326.0)</f>
        <v>1015326</v>
      </c>
      <c r="C81" s="14" t="str">
        <f>IFERROR(__xludf.DUMMYFUNCTION("""COMPUTED_VALUE"""),"林利謙")</f>
        <v>林利謙</v>
      </c>
      <c r="D81" s="16" t="str">
        <f>IFERROR(__xludf.DUMMYFUNCTION("""COMPUTED_VALUE"""),"ken*****n101@gmail.com")</f>
        <v>ken*****n101@gmail.com</v>
      </c>
      <c r="E81" s="17" t="str">
        <f>IFERROR(__xludf.DUMMYFUNCTION("""COMPUTED_VALUE"""),"臺北市大同區日新國民小學")</f>
        <v>臺北市大同區日新國民小學</v>
      </c>
      <c r="F81" s="14" t="str">
        <f>IFERROR(__xludf.DUMMYFUNCTION("""COMPUTED_VALUE"""),"五年級")</f>
        <v>五年級</v>
      </c>
      <c r="G81" s="14" t="str">
        <f>IFERROR(__xludf.DUMMYFUNCTION("""COMPUTED_VALUE"""),"●小禮物")</f>
        <v>●小禮物</v>
      </c>
      <c r="H81" s="8"/>
    </row>
    <row r="82">
      <c r="A82" s="12"/>
      <c r="B82" s="14">
        <f>IFERROR(__xludf.DUMMYFUNCTION("""COMPUTED_VALUE"""),443900.0)</f>
        <v>443900</v>
      </c>
      <c r="C82" s="14" t="str">
        <f>IFERROR(__xludf.DUMMYFUNCTION("""COMPUTED_VALUE"""),"宋嵐緒")</f>
        <v>宋嵐緒</v>
      </c>
      <c r="D82" s="16" t="str">
        <f>IFERROR(__xludf.DUMMYFUNCTION("""COMPUTED_VALUE"""),"nas*****928@gmail.com")</f>
        <v>nas*****928@gmail.com</v>
      </c>
      <c r="E82" s="17" t="str">
        <f>IFERROR(__xludf.DUMMYFUNCTION("""COMPUTED_VALUE"""),"臺北市大同區日新國民小學")</f>
        <v>臺北市大同區日新國民小學</v>
      </c>
      <c r="F82" s="14" t="str">
        <f>IFERROR(__xludf.DUMMYFUNCTION("""COMPUTED_VALUE"""),"六年級")</f>
        <v>六年級</v>
      </c>
      <c r="G82" s="14" t="str">
        <f>IFERROR(__xludf.DUMMYFUNCTION("""COMPUTED_VALUE"""),"獎狀")</f>
        <v>獎狀</v>
      </c>
      <c r="H82" s="8"/>
    </row>
    <row r="83">
      <c r="A83" s="12"/>
      <c r="B83" s="14">
        <f>IFERROR(__xludf.DUMMYFUNCTION("""COMPUTED_VALUE"""),1120630.0)</f>
        <v>1120630</v>
      </c>
      <c r="C83" s="14" t="str">
        <f>IFERROR(__xludf.DUMMYFUNCTION("""COMPUTED_VALUE"""),"簡子欽")</f>
        <v>簡子欽</v>
      </c>
      <c r="D83" s="16" t="str">
        <f>IFERROR(__xludf.DUMMYFUNCTION("""COMPUTED_VALUE"""),"red*****@gmail.com")</f>
        <v>red*****@gmail.com</v>
      </c>
      <c r="E83" s="17" t="str">
        <f>IFERROR(__xludf.DUMMYFUNCTION("""COMPUTED_VALUE"""),"臺北市大同區蓬萊國民小學")</f>
        <v>臺北市大同區蓬萊國民小學</v>
      </c>
      <c r="F83" s="14" t="str">
        <f>IFERROR(__xludf.DUMMYFUNCTION("""COMPUTED_VALUE"""),"三年級")</f>
        <v>三年級</v>
      </c>
      <c r="G83" s="14" t="str">
        <f>IFERROR(__xludf.DUMMYFUNCTION("""COMPUTED_VALUE"""),"●小禮物")</f>
        <v>●小禮物</v>
      </c>
      <c r="H83" s="8"/>
    </row>
    <row r="84">
      <c r="A84" s="12"/>
      <c r="B84" s="14">
        <f>IFERROR(__xludf.DUMMYFUNCTION("""COMPUTED_VALUE"""),998575.0)</f>
        <v>998575</v>
      </c>
      <c r="C84" s="14" t="str">
        <f>IFERROR(__xludf.DUMMYFUNCTION("""COMPUTED_VALUE"""),"施子昕")</f>
        <v>施子昕</v>
      </c>
      <c r="D84" s="16" t="str">
        <f>IFERROR(__xludf.DUMMYFUNCTION("""COMPUTED_VALUE"""),"apf*****@gmail.com")</f>
        <v>apf*****@gmail.com</v>
      </c>
      <c r="E84" s="17" t="str">
        <f>IFERROR(__xludf.DUMMYFUNCTION("""COMPUTED_VALUE"""),"臺北市大同區蓬萊國民小學")</f>
        <v>臺北市大同區蓬萊國民小學</v>
      </c>
      <c r="F84" s="14" t="str">
        <f>IFERROR(__xludf.DUMMYFUNCTION("""COMPUTED_VALUE"""),"五年級")</f>
        <v>五年級</v>
      </c>
      <c r="G84" s="14" t="str">
        <f>IFERROR(__xludf.DUMMYFUNCTION("""COMPUTED_VALUE"""),"獎狀")</f>
        <v>獎狀</v>
      </c>
      <c r="H84" s="8"/>
    </row>
    <row r="85">
      <c r="A85" s="12"/>
      <c r="B85" s="14">
        <f>IFERROR(__xludf.DUMMYFUNCTION("""COMPUTED_VALUE"""),559360.0)</f>
        <v>559360</v>
      </c>
      <c r="C85" s="14" t="str">
        <f>IFERROR(__xludf.DUMMYFUNCTION("""COMPUTED_VALUE"""),"郭星妍")</f>
        <v>郭星妍</v>
      </c>
      <c r="D85" s="16" t="str">
        <f>IFERROR(__xludf.DUMMYFUNCTION("""COMPUTED_VALUE"""),"107*****jps.tp.edu.tw")</f>
        <v>107*****jps.tp.edu.tw</v>
      </c>
      <c r="E85" s="17" t="str">
        <f>IFERROR(__xludf.DUMMYFUNCTION("""COMPUTED_VALUE"""),"臺北市大同區大橋國民小學")</f>
        <v>臺北市大同區大橋國民小學</v>
      </c>
      <c r="F85" s="14" t="str">
        <f>IFERROR(__xludf.DUMMYFUNCTION("""COMPUTED_VALUE"""),"五年級")</f>
        <v>五年級</v>
      </c>
      <c r="G85" s="14" t="str">
        <f>IFERROR(__xludf.DUMMYFUNCTION("""COMPUTED_VALUE"""),"●小禮物")</f>
        <v>●小禮物</v>
      </c>
      <c r="H85" s="8"/>
    </row>
    <row r="86">
      <c r="A86" s="12"/>
      <c r="B86" s="14">
        <f>IFERROR(__xludf.DUMMYFUNCTION("""COMPUTED_VALUE"""),540540.0)</f>
        <v>540540</v>
      </c>
      <c r="C86" s="14" t="str">
        <f>IFERROR(__xludf.DUMMYFUNCTION("""COMPUTED_VALUE"""),"葉合婷")</f>
        <v>葉合婷</v>
      </c>
      <c r="D86" s="16" t="str">
        <f>IFERROR(__xludf.DUMMYFUNCTION("""COMPUTED_VALUE"""),"tjp*****42@mail.edu.tw")</f>
        <v>tjp*****42@mail.edu.tw</v>
      </c>
      <c r="E86" s="17" t="str">
        <f>IFERROR(__xludf.DUMMYFUNCTION("""COMPUTED_VALUE"""),"臺北市大同區大橋國民小學")</f>
        <v>臺北市大同區大橋國民小學</v>
      </c>
      <c r="F86" s="14" t="str">
        <f>IFERROR(__xludf.DUMMYFUNCTION("""COMPUTED_VALUE"""),"六年級")</f>
        <v>六年級</v>
      </c>
      <c r="G86" s="14" t="str">
        <f>IFERROR(__xludf.DUMMYFUNCTION("""COMPUTED_VALUE"""),"獎狀")</f>
        <v>獎狀</v>
      </c>
      <c r="H86" s="8"/>
    </row>
    <row r="87">
      <c r="A87" s="12"/>
      <c r="B87" s="14">
        <f>IFERROR(__xludf.DUMMYFUNCTION("""COMPUTED_VALUE"""),1089261.0)</f>
        <v>1089261</v>
      </c>
      <c r="C87" s="14" t="str">
        <f>IFERROR(__xludf.DUMMYFUNCTION("""COMPUTED_VALUE"""),"林胤宇")</f>
        <v>林胤宇</v>
      </c>
      <c r="D87" s="16" t="str">
        <f>IFERROR(__xludf.DUMMYFUNCTION("""COMPUTED_VALUE"""),"st1*****@ttps.tp.edu.tw")</f>
        <v>st1*****@ttps.tp.edu.tw</v>
      </c>
      <c r="E87" s="17" t="str">
        <f>IFERROR(__xludf.DUMMYFUNCTION("""COMPUTED_VALUE"""),"臺北市大同區大同國民小學")</f>
        <v>臺北市大同區大同國民小學</v>
      </c>
      <c r="F87" s="14" t="str">
        <f>IFERROR(__xludf.DUMMYFUNCTION("""COMPUTED_VALUE"""),"四年級")</f>
        <v>四年級</v>
      </c>
      <c r="G87" s="14" t="str">
        <f>IFERROR(__xludf.DUMMYFUNCTION("""COMPUTED_VALUE"""),"獎狀")</f>
        <v>獎狀</v>
      </c>
      <c r="H87" s="8"/>
    </row>
    <row r="88">
      <c r="A88" s="12"/>
      <c r="B88" s="14">
        <f>IFERROR(__xludf.DUMMYFUNCTION("""COMPUTED_VALUE"""),1208539.0)</f>
        <v>1208539</v>
      </c>
      <c r="C88" s="14" t="str">
        <f>IFERROR(__xludf.DUMMYFUNCTION("""COMPUTED_VALUE"""),"翁紹騰")</f>
        <v>翁紹騰</v>
      </c>
      <c r="D88" s="16" t="str">
        <f>IFERROR(__xludf.DUMMYFUNCTION("""COMPUTED_VALUE"""),"st1*****@ttps.tp.edu.tw")</f>
        <v>st1*****@ttps.tp.edu.tw</v>
      </c>
      <c r="E88" s="17" t="str">
        <f>IFERROR(__xludf.DUMMYFUNCTION("""COMPUTED_VALUE"""),"臺北市大同區大同國民小學")</f>
        <v>臺北市大同區大同國民小學</v>
      </c>
      <c r="F88" s="14" t="str">
        <f>IFERROR(__xludf.DUMMYFUNCTION("""COMPUTED_VALUE"""),"四年級")</f>
        <v>四年級</v>
      </c>
      <c r="G88" s="14" t="str">
        <f>IFERROR(__xludf.DUMMYFUNCTION("""COMPUTED_VALUE"""),"獎狀")</f>
        <v>獎狀</v>
      </c>
      <c r="H88" s="8"/>
    </row>
    <row r="89">
      <c r="A89" s="12"/>
      <c r="B89" s="14">
        <f>IFERROR(__xludf.DUMMYFUNCTION("""COMPUTED_VALUE"""),955446.0)</f>
        <v>955446</v>
      </c>
      <c r="C89" s="14" t="str">
        <f>IFERROR(__xludf.DUMMYFUNCTION("""COMPUTED_VALUE"""),"張尹睎")</f>
        <v>張尹睎</v>
      </c>
      <c r="D89" s="16" t="str">
        <f>IFERROR(__xludf.DUMMYFUNCTION("""COMPUTED_VALUE"""),"cha*****siang@gmail.com")</f>
        <v>cha*****siang@gmail.com</v>
      </c>
      <c r="E89" s="17" t="str">
        <f>IFERROR(__xludf.DUMMYFUNCTION("""COMPUTED_VALUE"""),"臺北市大同區大同國民小學")</f>
        <v>臺北市大同區大同國民小學</v>
      </c>
      <c r="F89" s="14" t="str">
        <f>IFERROR(__xludf.DUMMYFUNCTION("""COMPUTED_VALUE"""),"四年級")</f>
        <v>四年級</v>
      </c>
      <c r="G89" s="14" t="str">
        <f>IFERROR(__xludf.DUMMYFUNCTION("""COMPUTED_VALUE"""),"獎狀")</f>
        <v>獎狀</v>
      </c>
      <c r="H89" s="8"/>
    </row>
    <row r="90">
      <c r="A90" s="12"/>
      <c r="B90" s="14">
        <f>IFERROR(__xludf.DUMMYFUNCTION("""COMPUTED_VALUE"""),782646.0)</f>
        <v>782646</v>
      </c>
      <c r="C90" s="14" t="str">
        <f>IFERROR(__xludf.DUMMYFUNCTION("""COMPUTED_VALUE"""),"林品靚")</f>
        <v>林品靚</v>
      </c>
      <c r="D90" s="16" t="str">
        <f>IFERROR(__xludf.DUMMYFUNCTION("""COMPUTED_VALUE"""),"rog*****804@gmail.com")</f>
        <v>rog*****804@gmail.com</v>
      </c>
      <c r="E90" s="17" t="str">
        <f>IFERROR(__xludf.DUMMYFUNCTION("""COMPUTED_VALUE"""),"臺北市大同區大同國民小學")</f>
        <v>臺北市大同區大同國民小學</v>
      </c>
      <c r="F90" s="14" t="str">
        <f>IFERROR(__xludf.DUMMYFUNCTION("""COMPUTED_VALUE"""),"五年級")</f>
        <v>五年級</v>
      </c>
      <c r="G90" s="14" t="str">
        <f>IFERROR(__xludf.DUMMYFUNCTION("""COMPUTED_VALUE"""),"●小禮物")</f>
        <v>●小禮物</v>
      </c>
      <c r="H90" s="8"/>
    </row>
    <row r="91">
      <c r="A91" s="12"/>
      <c r="B91" s="14">
        <f>IFERROR(__xludf.DUMMYFUNCTION("""COMPUTED_VALUE"""),939427.0)</f>
        <v>939427</v>
      </c>
      <c r="C91" s="14" t="str">
        <f>IFERROR(__xludf.DUMMYFUNCTION("""COMPUTED_VALUE"""),"邱睿穎")</f>
        <v>邱睿穎</v>
      </c>
      <c r="D91" s="16" t="str">
        <f>IFERROR(__xludf.DUMMYFUNCTION("""COMPUTED_VALUE"""),"wei*****3@gmail.com")</f>
        <v>wei*****3@gmail.com</v>
      </c>
      <c r="E91" s="17" t="str">
        <f>IFERROR(__xludf.DUMMYFUNCTION("""COMPUTED_VALUE"""),"臺北市中山區中正國民小學")</f>
        <v>臺北市中山區中正國民小學</v>
      </c>
      <c r="F91" s="14" t="str">
        <f>IFERROR(__xludf.DUMMYFUNCTION("""COMPUTED_VALUE"""),"四年級")</f>
        <v>四年級</v>
      </c>
      <c r="G91" s="14" t="str">
        <f>IFERROR(__xludf.DUMMYFUNCTION("""COMPUTED_VALUE"""),"獎狀")</f>
        <v>獎狀</v>
      </c>
      <c r="H91" s="8"/>
    </row>
    <row r="92">
      <c r="A92" s="12"/>
      <c r="B92" s="14">
        <f>IFERROR(__xludf.DUMMYFUNCTION("""COMPUTED_VALUE"""),1118704.0)</f>
        <v>1118704</v>
      </c>
      <c r="C92" s="14" t="str">
        <f>IFERROR(__xludf.DUMMYFUNCTION("""COMPUTED_VALUE"""),"張芷婕")</f>
        <v>張芷婕</v>
      </c>
      <c r="D92" s="16" t="str">
        <f>IFERROR(__xludf.DUMMYFUNCTION("""COMPUTED_VALUE"""),"s10*****std.jjes.tp.edu.tw")</f>
        <v>s10*****std.jjes.tp.edu.tw</v>
      </c>
      <c r="E92" s="17" t="str">
        <f>IFERROR(__xludf.DUMMYFUNCTION("""COMPUTED_VALUE"""),"臺北市中山區中正國民小學")</f>
        <v>臺北市中山區中正國民小學</v>
      </c>
      <c r="F92" s="14" t="str">
        <f>IFERROR(__xludf.DUMMYFUNCTION("""COMPUTED_VALUE"""),"四年級")</f>
        <v>四年級</v>
      </c>
      <c r="G92" s="14" t="str">
        <f>IFERROR(__xludf.DUMMYFUNCTION("""COMPUTED_VALUE"""),"●小禮物")</f>
        <v>●小禮物</v>
      </c>
      <c r="H92" s="8"/>
    </row>
    <row r="93">
      <c r="A93" s="12"/>
      <c r="B93" s="14">
        <f>IFERROR(__xludf.DUMMYFUNCTION("""COMPUTED_VALUE"""),278715.0)</f>
        <v>278715</v>
      </c>
      <c r="C93" s="14" t="str">
        <f>IFERROR(__xludf.DUMMYFUNCTION("""COMPUTED_VALUE"""),"練芯恬")</f>
        <v>練芯恬</v>
      </c>
      <c r="D93" s="16" t="str">
        <f>IFERROR(__xludf.DUMMYFUNCTION("""COMPUTED_VALUE"""),"tie*****0221@mail.edu.tw")</f>
        <v>tie*****0221@mail.edu.tw</v>
      </c>
      <c r="E93" s="17" t="str">
        <f>IFERROR(__xludf.DUMMYFUNCTION("""COMPUTED_VALUE"""),"臺北市中山區中正國民小學")</f>
        <v>臺北市中山區中正國民小學</v>
      </c>
      <c r="F93" s="14" t="str">
        <f>IFERROR(__xludf.DUMMYFUNCTION("""COMPUTED_VALUE"""),"四年級")</f>
        <v>四年級</v>
      </c>
      <c r="G93" s="14" t="str">
        <f>IFERROR(__xludf.DUMMYFUNCTION("""COMPUTED_VALUE"""),"獎狀")</f>
        <v>獎狀</v>
      </c>
      <c r="H93" s="8"/>
    </row>
    <row r="94">
      <c r="A94" s="12"/>
      <c r="B94" s="14">
        <f>IFERROR(__xludf.DUMMYFUNCTION("""COMPUTED_VALUE"""),862641.0)</f>
        <v>862641</v>
      </c>
      <c r="C94" s="14" t="str">
        <f>IFERROR(__xludf.DUMMYFUNCTION("""COMPUTED_VALUE"""),"潘亭叡")</f>
        <v>潘亭叡</v>
      </c>
      <c r="D94" s="16" t="str">
        <f>IFERROR(__xludf.DUMMYFUNCTION("""COMPUTED_VALUE"""),"s10*****std.jjes.tp.edu.tw")</f>
        <v>s10*****std.jjes.tp.edu.tw</v>
      </c>
      <c r="E94" s="17" t="str">
        <f>IFERROR(__xludf.DUMMYFUNCTION("""COMPUTED_VALUE"""),"臺北市中山區中正國民小學")</f>
        <v>臺北市中山區中正國民小學</v>
      </c>
      <c r="F94" s="14" t="str">
        <f>IFERROR(__xludf.DUMMYFUNCTION("""COMPUTED_VALUE"""),"六年級")</f>
        <v>六年級</v>
      </c>
      <c r="G94" s="14" t="str">
        <f>IFERROR(__xludf.DUMMYFUNCTION("""COMPUTED_VALUE"""),"●小禮物")</f>
        <v>●小禮物</v>
      </c>
      <c r="H94" s="8"/>
    </row>
    <row r="95">
      <c r="A95" s="12"/>
      <c r="B95" s="14">
        <f>IFERROR(__xludf.DUMMYFUNCTION("""COMPUTED_VALUE"""),1118697.0)</f>
        <v>1118697</v>
      </c>
      <c r="C95" s="14" t="str">
        <f>IFERROR(__xludf.DUMMYFUNCTION("""COMPUTED_VALUE"""),"張羽彤")</f>
        <v>張羽彤</v>
      </c>
      <c r="D95" s="16" t="str">
        <f>IFERROR(__xludf.DUMMYFUNCTION("""COMPUTED_VALUE"""),"s10*****std.jjes.tp.edu.tw")</f>
        <v>s10*****std.jjes.tp.edu.tw</v>
      </c>
      <c r="E95" s="17" t="str">
        <f>IFERROR(__xludf.DUMMYFUNCTION("""COMPUTED_VALUE"""),"臺北市中山區中正國民小學")</f>
        <v>臺北市中山區中正國民小學</v>
      </c>
      <c r="F95" s="14" t="str">
        <f>IFERROR(__xludf.DUMMYFUNCTION("""COMPUTED_VALUE"""),"六年級")</f>
        <v>六年級</v>
      </c>
      <c r="G95" s="14" t="str">
        <f>IFERROR(__xludf.DUMMYFUNCTION("""COMPUTED_VALUE"""),"獎狀")</f>
        <v>獎狀</v>
      </c>
      <c r="H95" s="8"/>
    </row>
    <row r="96">
      <c r="A96" s="12"/>
      <c r="B96" s="14">
        <f>IFERROR(__xludf.DUMMYFUNCTION("""COMPUTED_VALUE"""),580125.0)</f>
        <v>580125</v>
      </c>
      <c r="C96" s="14" t="str">
        <f>IFERROR(__xludf.DUMMYFUNCTION("""COMPUTED_VALUE"""),"陳柏妤")</f>
        <v>陳柏妤</v>
      </c>
      <c r="D96" s="16" t="str">
        <f>IFERROR(__xludf.DUMMYFUNCTION("""COMPUTED_VALUE"""),"van*****91012@gmail.com")</f>
        <v>van*****91012@gmail.com</v>
      </c>
      <c r="E96" s="17" t="str">
        <f>IFERROR(__xludf.DUMMYFUNCTION("""COMPUTED_VALUE"""),"臺北市中山區長春國民小學")</f>
        <v>臺北市中山區長春國民小學</v>
      </c>
      <c r="F96" s="14" t="str">
        <f>IFERROR(__xludf.DUMMYFUNCTION("""COMPUTED_VALUE"""),"四年級")</f>
        <v>四年級</v>
      </c>
      <c r="G96" s="14" t="str">
        <f>IFERROR(__xludf.DUMMYFUNCTION("""COMPUTED_VALUE"""),"●小禮物")</f>
        <v>●小禮物</v>
      </c>
      <c r="H96" s="8"/>
    </row>
    <row r="97">
      <c r="A97" s="12"/>
      <c r="B97" s="14">
        <f>IFERROR(__xludf.DUMMYFUNCTION("""COMPUTED_VALUE"""),1178522.0)</f>
        <v>1178522</v>
      </c>
      <c r="C97" s="14" t="str">
        <f>IFERROR(__xludf.DUMMYFUNCTION("""COMPUTED_VALUE"""),"余非霏")</f>
        <v>余非霏</v>
      </c>
      <c r="D97" s="16" t="str">
        <f>IFERROR(__xludf.DUMMYFUNCTION("""COMPUTED_VALUE"""),"clp*****50.tp@mail.edu.tw")</f>
        <v>clp*****50.tp@mail.edu.tw</v>
      </c>
      <c r="E97" s="17" t="str">
        <f>IFERROR(__xludf.DUMMYFUNCTION("""COMPUTED_VALUE"""),"臺北市中山區吉林國民小學")</f>
        <v>臺北市中山區吉林國民小學</v>
      </c>
      <c r="F97" s="14" t="str">
        <f>IFERROR(__xludf.DUMMYFUNCTION("""COMPUTED_VALUE"""),"五年級")</f>
        <v>五年級</v>
      </c>
      <c r="G97" s="14" t="str">
        <f>IFERROR(__xludf.DUMMYFUNCTION("""COMPUTED_VALUE"""),"●小禮物")</f>
        <v>●小禮物</v>
      </c>
      <c r="H97" s="8"/>
    </row>
    <row r="98">
      <c r="A98" s="12"/>
      <c r="B98" s="14">
        <f>IFERROR(__xludf.DUMMYFUNCTION("""COMPUTED_VALUE"""),870273.0)</f>
        <v>870273</v>
      </c>
      <c r="C98" s="14" t="str">
        <f>IFERROR(__xludf.DUMMYFUNCTION("""COMPUTED_VALUE"""),"呂胤嘉")</f>
        <v>呂胤嘉</v>
      </c>
      <c r="D98" s="16" t="str">
        <f>IFERROR(__xludf.DUMMYFUNCTION("""COMPUTED_VALUE"""),"clp*****67.tp@mail.edu.tw")</f>
        <v>clp*****67.tp@mail.edu.tw</v>
      </c>
      <c r="E98" s="17" t="str">
        <f>IFERROR(__xludf.DUMMYFUNCTION("""COMPUTED_VALUE"""),"臺北市中山區吉林國民小學")</f>
        <v>臺北市中山區吉林國民小學</v>
      </c>
      <c r="F98" s="14" t="str">
        <f>IFERROR(__xludf.DUMMYFUNCTION("""COMPUTED_VALUE"""),"五年級")</f>
        <v>五年級</v>
      </c>
      <c r="G98" s="14" t="str">
        <f>IFERROR(__xludf.DUMMYFUNCTION("""COMPUTED_VALUE"""),"●小禮物")</f>
        <v>●小禮物</v>
      </c>
      <c r="H98" s="8"/>
    </row>
    <row r="99">
      <c r="A99" s="12"/>
      <c r="B99" s="14">
        <f>IFERROR(__xludf.DUMMYFUNCTION("""COMPUTED_VALUE"""),1184137.0)</f>
        <v>1184137</v>
      </c>
      <c r="C99" s="14" t="str">
        <f>IFERROR(__xludf.DUMMYFUNCTION("""COMPUTED_VALUE"""),"宋采妮")</f>
        <v>宋采妮</v>
      </c>
      <c r="D99" s="16" t="str">
        <f>IFERROR(__xludf.DUMMYFUNCTION("""COMPUTED_VALUE"""),"clp*****54.tp@mail.edu.tw")</f>
        <v>clp*****54.tp@mail.edu.tw</v>
      </c>
      <c r="E99" s="17" t="str">
        <f>IFERROR(__xludf.DUMMYFUNCTION("""COMPUTED_VALUE"""),"臺北市中山區吉林國民小學")</f>
        <v>臺北市中山區吉林國民小學</v>
      </c>
      <c r="F99" s="14" t="str">
        <f>IFERROR(__xludf.DUMMYFUNCTION("""COMPUTED_VALUE"""),"五年級")</f>
        <v>五年級</v>
      </c>
      <c r="G99" s="14" t="str">
        <f>IFERROR(__xludf.DUMMYFUNCTION("""COMPUTED_VALUE"""),"●小禮物")</f>
        <v>●小禮物</v>
      </c>
      <c r="H99" s="8"/>
    </row>
    <row r="100">
      <c r="A100" s="12"/>
      <c r="B100" s="14">
        <f>IFERROR(__xludf.DUMMYFUNCTION("""COMPUTED_VALUE"""),1177931.0)</f>
        <v>1177931</v>
      </c>
      <c r="C100" s="14" t="str">
        <f>IFERROR(__xludf.DUMMYFUNCTION("""COMPUTED_VALUE"""),"李承翰")</f>
        <v>李承翰</v>
      </c>
      <c r="D100" s="16" t="str">
        <f>IFERROR(__xludf.DUMMYFUNCTION("""COMPUTED_VALUE"""),"clp*****30.tp@mail.edu.tw")</f>
        <v>clp*****30.tp@mail.edu.tw</v>
      </c>
      <c r="E100" s="17" t="str">
        <f>IFERROR(__xludf.DUMMYFUNCTION("""COMPUTED_VALUE"""),"臺北市中山區吉林國民小學")</f>
        <v>臺北市中山區吉林國民小學</v>
      </c>
      <c r="F100" s="14" t="str">
        <f>IFERROR(__xludf.DUMMYFUNCTION("""COMPUTED_VALUE"""),"五年級")</f>
        <v>五年級</v>
      </c>
      <c r="G100" s="14" t="str">
        <f>IFERROR(__xludf.DUMMYFUNCTION("""COMPUTED_VALUE"""),"●小禮物")</f>
        <v>●小禮物</v>
      </c>
      <c r="H100" s="8"/>
    </row>
    <row r="101">
      <c r="A101" s="12"/>
      <c r="B101" s="14">
        <f>IFERROR(__xludf.DUMMYFUNCTION("""COMPUTED_VALUE"""),1177702.0)</f>
        <v>1177702</v>
      </c>
      <c r="C101" s="14" t="str">
        <f>IFERROR(__xludf.DUMMYFUNCTION("""COMPUTED_VALUE"""),"林子倫")</f>
        <v>林子倫</v>
      </c>
      <c r="D101" s="16" t="str">
        <f>IFERROR(__xludf.DUMMYFUNCTION("""COMPUTED_VALUE"""),"clp*****85.tp@mail.edu.tw")</f>
        <v>clp*****85.tp@mail.edu.tw</v>
      </c>
      <c r="E101" s="17" t="str">
        <f>IFERROR(__xludf.DUMMYFUNCTION("""COMPUTED_VALUE"""),"臺北市中山區吉林國民小學")</f>
        <v>臺北市中山區吉林國民小學</v>
      </c>
      <c r="F101" s="14" t="str">
        <f>IFERROR(__xludf.DUMMYFUNCTION("""COMPUTED_VALUE"""),"五年級")</f>
        <v>五年級</v>
      </c>
      <c r="G101" s="14" t="str">
        <f>IFERROR(__xludf.DUMMYFUNCTION("""COMPUTED_VALUE"""),"●小禮物")</f>
        <v>●小禮物</v>
      </c>
      <c r="H101" s="8"/>
    </row>
    <row r="102">
      <c r="A102" s="12"/>
      <c r="B102" s="14">
        <f>IFERROR(__xludf.DUMMYFUNCTION("""COMPUTED_VALUE"""),548312.0)</f>
        <v>548312</v>
      </c>
      <c r="C102" s="14" t="str">
        <f>IFERROR(__xludf.DUMMYFUNCTION("""COMPUTED_VALUE"""),"林秉良")</f>
        <v>林秉良</v>
      </c>
      <c r="D102" s="16" t="str">
        <f>IFERROR(__xludf.DUMMYFUNCTION("""COMPUTED_VALUE"""),"jas*****1111@mail.edu.tw")</f>
        <v>jas*****1111@mail.edu.tw</v>
      </c>
      <c r="E102" s="17" t="str">
        <f>IFERROR(__xludf.DUMMYFUNCTION("""COMPUTED_VALUE"""),"臺北市中山區吉林國民小學")</f>
        <v>臺北市中山區吉林國民小學</v>
      </c>
      <c r="F102" s="14" t="str">
        <f>IFERROR(__xludf.DUMMYFUNCTION("""COMPUTED_VALUE"""),"五年級")</f>
        <v>五年級</v>
      </c>
      <c r="G102" s="14" t="str">
        <f>IFERROR(__xludf.DUMMYFUNCTION("""COMPUTED_VALUE"""),"●小禮物")</f>
        <v>●小禮物</v>
      </c>
      <c r="H102" s="8"/>
    </row>
    <row r="103">
      <c r="A103" s="12"/>
      <c r="B103" s="14">
        <f>IFERROR(__xludf.DUMMYFUNCTION("""COMPUTED_VALUE"""),1016186.0)</f>
        <v>1016186</v>
      </c>
      <c r="C103" s="14" t="str">
        <f>IFERROR(__xludf.DUMMYFUNCTION("""COMPUTED_VALUE"""),"張祐甄")</f>
        <v>張祐甄</v>
      </c>
      <c r="D103" s="16" t="str">
        <f>IFERROR(__xludf.DUMMYFUNCTION("""COMPUTED_VALUE"""),"clp*****08.tp@mail.edu.tw")</f>
        <v>clp*****08.tp@mail.edu.tw</v>
      </c>
      <c r="E103" s="17" t="str">
        <f>IFERROR(__xludf.DUMMYFUNCTION("""COMPUTED_VALUE"""),"臺北市中山區吉林國民小學")</f>
        <v>臺北市中山區吉林國民小學</v>
      </c>
      <c r="F103" s="14" t="str">
        <f>IFERROR(__xludf.DUMMYFUNCTION("""COMPUTED_VALUE"""),"五年級")</f>
        <v>五年級</v>
      </c>
      <c r="G103" s="14" t="str">
        <f>IFERROR(__xludf.DUMMYFUNCTION("""COMPUTED_VALUE"""),"●小禮物")</f>
        <v>●小禮物</v>
      </c>
      <c r="H103" s="8"/>
    </row>
    <row r="104">
      <c r="A104" s="12"/>
      <c r="B104" s="14">
        <f>IFERROR(__xludf.DUMMYFUNCTION("""COMPUTED_VALUE"""),1178578.0)</f>
        <v>1178578</v>
      </c>
      <c r="C104" s="14" t="str">
        <f>IFERROR(__xludf.DUMMYFUNCTION("""COMPUTED_VALUE"""),"黃筠晞")</f>
        <v>黃筠晞</v>
      </c>
      <c r="D104" s="16" t="str">
        <f>IFERROR(__xludf.DUMMYFUNCTION("""COMPUTED_VALUE"""),"clp*****84.tp@mail.edu.tw")</f>
        <v>clp*****84.tp@mail.edu.tw</v>
      </c>
      <c r="E104" s="17" t="str">
        <f>IFERROR(__xludf.DUMMYFUNCTION("""COMPUTED_VALUE"""),"臺北市中山區吉林國民小學")</f>
        <v>臺北市中山區吉林國民小學</v>
      </c>
      <c r="F104" s="14" t="str">
        <f>IFERROR(__xludf.DUMMYFUNCTION("""COMPUTED_VALUE"""),"五年級")</f>
        <v>五年級</v>
      </c>
      <c r="G104" s="14" t="str">
        <f>IFERROR(__xludf.DUMMYFUNCTION("""COMPUTED_VALUE"""),"●小禮物")</f>
        <v>●小禮物</v>
      </c>
      <c r="H104" s="8"/>
    </row>
    <row r="105">
      <c r="A105" s="12"/>
      <c r="B105" s="14">
        <f>IFERROR(__xludf.DUMMYFUNCTION("""COMPUTED_VALUE"""),869492.0)</f>
        <v>869492</v>
      </c>
      <c r="C105" s="14" t="str">
        <f>IFERROR(__xludf.DUMMYFUNCTION("""COMPUTED_VALUE"""),"詹晏丞")</f>
        <v>詹晏丞</v>
      </c>
      <c r="D105" s="16" t="str">
        <f>IFERROR(__xludf.DUMMYFUNCTION("""COMPUTED_VALUE"""),"clp*****84.tp@mail.edu.tw")</f>
        <v>clp*****84.tp@mail.edu.tw</v>
      </c>
      <c r="E105" s="17" t="str">
        <f>IFERROR(__xludf.DUMMYFUNCTION("""COMPUTED_VALUE"""),"臺北市中山區吉林國民小學")</f>
        <v>臺北市中山區吉林國民小學</v>
      </c>
      <c r="F105" s="14" t="str">
        <f>IFERROR(__xludf.DUMMYFUNCTION("""COMPUTED_VALUE"""),"五年級")</f>
        <v>五年級</v>
      </c>
      <c r="G105" s="14" t="str">
        <f>IFERROR(__xludf.DUMMYFUNCTION("""COMPUTED_VALUE"""),"●小禮物")</f>
        <v>●小禮物</v>
      </c>
      <c r="H105" s="8"/>
    </row>
    <row r="106">
      <c r="A106" s="12"/>
      <c r="B106" s="14">
        <f>IFERROR(__xludf.DUMMYFUNCTION("""COMPUTED_VALUE"""),1178573.0)</f>
        <v>1178573</v>
      </c>
      <c r="C106" s="14" t="str">
        <f>IFERROR(__xludf.DUMMYFUNCTION("""COMPUTED_VALUE"""),"謝知佑")</f>
        <v>謝知佑</v>
      </c>
      <c r="D106" s="16" t="str">
        <f>IFERROR(__xludf.DUMMYFUNCTION("""COMPUTED_VALUE"""),"clp*****18.tp@mail.edu.tw")</f>
        <v>clp*****18.tp@mail.edu.tw</v>
      </c>
      <c r="E106" s="17" t="str">
        <f>IFERROR(__xludf.DUMMYFUNCTION("""COMPUTED_VALUE"""),"臺北市中山區吉林國民小學")</f>
        <v>臺北市中山區吉林國民小學</v>
      </c>
      <c r="F106" s="14" t="str">
        <f>IFERROR(__xludf.DUMMYFUNCTION("""COMPUTED_VALUE"""),"五年級")</f>
        <v>五年級</v>
      </c>
      <c r="G106" s="14" t="str">
        <f>IFERROR(__xludf.DUMMYFUNCTION("""COMPUTED_VALUE"""),"●小禮物")</f>
        <v>●小禮物</v>
      </c>
      <c r="H106" s="8"/>
    </row>
    <row r="107">
      <c r="A107" s="12"/>
      <c r="B107" s="14">
        <f>IFERROR(__xludf.DUMMYFUNCTION("""COMPUTED_VALUE"""),896968.0)</f>
        <v>896968</v>
      </c>
      <c r="C107" s="14" t="str">
        <f>IFERROR(__xludf.DUMMYFUNCTION("""COMPUTED_VALUE"""),"羅晨希")</f>
        <v>羅晨希</v>
      </c>
      <c r="D107" s="16" t="str">
        <f>IFERROR(__xludf.DUMMYFUNCTION("""COMPUTED_VALUE"""),"clp*****54.tp@mail.edu.tw")</f>
        <v>clp*****54.tp@mail.edu.tw</v>
      </c>
      <c r="E107" s="17" t="str">
        <f>IFERROR(__xludf.DUMMYFUNCTION("""COMPUTED_VALUE"""),"臺北市中山區吉林國民小學")</f>
        <v>臺北市中山區吉林國民小學</v>
      </c>
      <c r="F107" s="14" t="str">
        <f>IFERROR(__xludf.DUMMYFUNCTION("""COMPUTED_VALUE"""),"五年級")</f>
        <v>五年級</v>
      </c>
      <c r="G107" s="14" t="str">
        <f>IFERROR(__xludf.DUMMYFUNCTION("""COMPUTED_VALUE"""),"●小禮物")</f>
        <v>●小禮物</v>
      </c>
      <c r="H107" s="8"/>
    </row>
    <row r="108">
      <c r="A108" s="12"/>
      <c r="B108" s="14">
        <f>IFERROR(__xludf.DUMMYFUNCTION("""COMPUTED_VALUE"""),1178628.0)</f>
        <v>1178628</v>
      </c>
      <c r="C108" s="14" t="str">
        <f>IFERROR(__xludf.DUMMYFUNCTION("""COMPUTED_VALUE"""),"呂紹甫")</f>
        <v>呂紹甫</v>
      </c>
      <c r="D108" s="16" t="str">
        <f>IFERROR(__xludf.DUMMYFUNCTION("""COMPUTED_VALUE"""),"clp*****99.tp@mail.edu.tw")</f>
        <v>clp*****99.tp@mail.edu.tw</v>
      </c>
      <c r="E108" s="17" t="str">
        <f>IFERROR(__xludf.DUMMYFUNCTION("""COMPUTED_VALUE"""),"臺北市中山區吉林國民小學")</f>
        <v>臺北市中山區吉林國民小學</v>
      </c>
      <c r="F108" s="14" t="str">
        <f>IFERROR(__xludf.DUMMYFUNCTION("""COMPUTED_VALUE"""),"五年級")</f>
        <v>五年級</v>
      </c>
      <c r="G108" s="14" t="str">
        <f>IFERROR(__xludf.DUMMYFUNCTION("""COMPUTED_VALUE"""),"★禮券$200")</f>
        <v>★禮券$200</v>
      </c>
      <c r="H108" s="8"/>
    </row>
    <row r="109">
      <c r="A109" s="12"/>
      <c r="B109" s="14">
        <f>IFERROR(__xludf.DUMMYFUNCTION("""COMPUTED_VALUE"""),878123.0)</f>
        <v>878123</v>
      </c>
      <c r="C109" s="14" t="str">
        <f>IFERROR(__xludf.DUMMYFUNCTION("""COMPUTED_VALUE"""),"朱晨瑄")</f>
        <v>朱晨瑄</v>
      </c>
      <c r="D109" s="16" t="str">
        <f>IFERROR(__xludf.DUMMYFUNCTION("""COMPUTED_VALUE"""),"clp*****83.tp@mail.edu.tw")</f>
        <v>clp*****83.tp@mail.edu.tw</v>
      </c>
      <c r="E109" s="17" t="str">
        <f>IFERROR(__xludf.DUMMYFUNCTION("""COMPUTED_VALUE"""),"臺北市中山區吉林國民小學")</f>
        <v>臺北市中山區吉林國民小學</v>
      </c>
      <c r="F109" s="14" t="str">
        <f>IFERROR(__xludf.DUMMYFUNCTION("""COMPUTED_VALUE"""),"五年級")</f>
        <v>五年級</v>
      </c>
      <c r="G109" s="14" t="str">
        <f>IFERROR(__xludf.DUMMYFUNCTION("""COMPUTED_VALUE"""),"獎狀")</f>
        <v>獎狀</v>
      </c>
      <c r="H109" s="8"/>
    </row>
    <row r="110">
      <c r="A110" s="12"/>
      <c r="B110" s="14">
        <f>IFERROR(__xludf.DUMMYFUNCTION("""COMPUTED_VALUE"""),1177735.0)</f>
        <v>1177735</v>
      </c>
      <c r="C110" s="14" t="str">
        <f>IFERROR(__xludf.DUMMYFUNCTION("""COMPUTED_VALUE"""),"汪子豪")</f>
        <v>汪子豪</v>
      </c>
      <c r="D110" s="16" t="str">
        <f>IFERROR(__xludf.DUMMYFUNCTION("""COMPUTED_VALUE"""),"clp*****30@mail.edu.tw")</f>
        <v>clp*****30@mail.edu.tw</v>
      </c>
      <c r="E110" s="17" t="str">
        <f>IFERROR(__xludf.DUMMYFUNCTION("""COMPUTED_VALUE"""),"臺北市中山區吉林國民小學")</f>
        <v>臺北市中山區吉林國民小學</v>
      </c>
      <c r="F110" s="14" t="str">
        <f>IFERROR(__xludf.DUMMYFUNCTION("""COMPUTED_VALUE"""),"五年級")</f>
        <v>五年級</v>
      </c>
      <c r="G110" s="14" t="str">
        <f>IFERROR(__xludf.DUMMYFUNCTION("""COMPUTED_VALUE"""),"獎狀")</f>
        <v>獎狀</v>
      </c>
      <c r="H110" s="8"/>
    </row>
    <row r="111">
      <c r="A111" s="12"/>
      <c r="B111" s="14">
        <f>IFERROR(__xludf.DUMMYFUNCTION("""COMPUTED_VALUE"""),1177992.0)</f>
        <v>1177992</v>
      </c>
      <c r="C111" s="14" t="str">
        <f>IFERROR(__xludf.DUMMYFUNCTION("""COMPUTED_VALUE"""),"周芷瑄")</f>
        <v>周芷瑄</v>
      </c>
      <c r="D111" s="16" t="str">
        <f>IFERROR(__xludf.DUMMYFUNCTION("""COMPUTED_VALUE"""),"clp*****19.tp@mail.edu.tw")</f>
        <v>clp*****19.tp@mail.edu.tw</v>
      </c>
      <c r="E111" s="17" t="str">
        <f>IFERROR(__xludf.DUMMYFUNCTION("""COMPUTED_VALUE"""),"臺北市中山區吉林國民小學")</f>
        <v>臺北市中山區吉林國民小學</v>
      </c>
      <c r="F111" s="14" t="str">
        <f>IFERROR(__xludf.DUMMYFUNCTION("""COMPUTED_VALUE"""),"五年級")</f>
        <v>五年級</v>
      </c>
      <c r="G111" s="14" t="str">
        <f>IFERROR(__xludf.DUMMYFUNCTION("""COMPUTED_VALUE"""),"獎狀")</f>
        <v>獎狀</v>
      </c>
      <c r="H111" s="8"/>
    </row>
    <row r="112">
      <c r="A112" s="12"/>
      <c r="B112" s="14">
        <f>IFERROR(__xludf.DUMMYFUNCTION("""COMPUTED_VALUE"""),1178851.0)</f>
        <v>1178851</v>
      </c>
      <c r="C112" s="14" t="str">
        <f>IFERROR(__xludf.DUMMYFUNCTION("""COMPUTED_VALUE"""),"高呈諺")</f>
        <v>高呈諺</v>
      </c>
      <c r="D112" s="16" t="str">
        <f>IFERROR(__xludf.DUMMYFUNCTION("""COMPUTED_VALUE"""),"yan*****28.tp@mail.edu.tw")</f>
        <v>yan*****28.tp@mail.edu.tw</v>
      </c>
      <c r="E112" s="17" t="str">
        <f>IFERROR(__xludf.DUMMYFUNCTION("""COMPUTED_VALUE"""),"臺北市中山區吉林國民小學")</f>
        <v>臺北市中山區吉林國民小學</v>
      </c>
      <c r="F112" s="14" t="str">
        <f>IFERROR(__xludf.DUMMYFUNCTION("""COMPUTED_VALUE"""),"五年級")</f>
        <v>五年級</v>
      </c>
      <c r="G112" s="14" t="str">
        <f>IFERROR(__xludf.DUMMYFUNCTION("""COMPUTED_VALUE"""),"獎狀")</f>
        <v>獎狀</v>
      </c>
      <c r="H112" s="8"/>
    </row>
    <row r="113">
      <c r="A113" s="12"/>
      <c r="B113" s="14">
        <f>IFERROR(__xludf.DUMMYFUNCTION("""COMPUTED_VALUE"""),869318.0)</f>
        <v>869318</v>
      </c>
      <c r="C113" s="14" t="str">
        <f>IFERROR(__xludf.DUMMYFUNCTION("""COMPUTED_VALUE"""),"許官詣")</f>
        <v>許官詣</v>
      </c>
      <c r="D113" s="16" t="str">
        <f>IFERROR(__xludf.DUMMYFUNCTION("""COMPUTED_VALUE"""),"clp*****09.tp@mail.edu.tw")</f>
        <v>clp*****09.tp@mail.edu.tw</v>
      </c>
      <c r="E113" s="17" t="str">
        <f>IFERROR(__xludf.DUMMYFUNCTION("""COMPUTED_VALUE"""),"臺北市中山區吉林國民小學")</f>
        <v>臺北市中山區吉林國民小學</v>
      </c>
      <c r="F113" s="14" t="str">
        <f>IFERROR(__xludf.DUMMYFUNCTION("""COMPUTED_VALUE"""),"五年級")</f>
        <v>五年級</v>
      </c>
      <c r="G113" s="14" t="str">
        <f>IFERROR(__xludf.DUMMYFUNCTION("""COMPUTED_VALUE"""),"獎狀")</f>
        <v>獎狀</v>
      </c>
      <c r="H113" s="8"/>
    </row>
    <row r="114">
      <c r="A114" s="12"/>
      <c r="B114" s="14">
        <f>IFERROR(__xludf.DUMMYFUNCTION("""COMPUTED_VALUE"""),1178746.0)</f>
        <v>1178746</v>
      </c>
      <c r="C114" s="14" t="str">
        <f>IFERROR(__xludf.DUMMYFUNCTION("""COMPUTED_VALUE"""),"許宸曦")</f>
        <v>許宸曦</v>
      </c>
      <c r="D114" s="16" t="str">
        <f>IFERROR(__xludf.DUMMYFUNCTION("""COMPUTED_VALUE"""),"clp*****01.tp@mail.edu.tw")</f>
        <v>clp*****01.tp@mail.edu.tw</v>
      </c>
      <c r="E114" s="17" t="str">
        <f>IFERROR(__xludf.DUMMYFUNCTION("""COMPUTED_VALUE"""),"臺北市中山區吉林國民小學")</f>
        <v>臺北市中山區吉林國民小學</v>
      </c>
      <c r="F114" s="14" t="str">
        <f>IFERROR(__xludf.DUMMYFUNCTION("""COMPUTED_VALUE"""),"五年級")</f>
        <v>五年級</v>
      </c>
      <c r="G114" s="14" t="str">
        <f>IFERROR(__xludf.DUMMYFUNCTION("""COMPUTED_VALUE"""),"獎狀")</f>
        <v>獎狀</v>
      </c>
      <c r="H114" s="8"/>
    </row>
    <row r="115">
      <c r="A115" s="12"/>
      <c r="B115" s="14">
        <f>IFERROR(__xludf.DUMMYFUNCTION("""COMPUTED_VALUE"""),1006345.0)</f>
        <v>1006345</v>
      </c>
      <c r="C115" s="14" t="str">
        <f>IFERROR(__xludf.DUMMYFUNCTION("""COMPUTED_VALUE"""),"楊昕豫")</f>
        <v>楊昕豫</v>
      </c>
      <c r="D115" s="16" t="str">
        <f>IFERROR(__xludf.DUMMYFUNCTION("""COMPUTED_VALUE"""),"clp*****77.tp@mail.edu.tw")</f>
        <v>clp*****77.tp@mail.edu.tw</v>
      </c>
      <c r="E115" s="17" t="str">
        <f>IFERROR(__xludf.DUMMYFUNCTION("""COMPUTED_VALUE"""),"臺北市中山區吉林國民小學")</f>
        <v>臺北市中山區吉林國民小學</v>
      </c>
      <c r="F115" s="14" t="str">
        <f>IFERROR(__xludf.DUMMYFUNCTION("""COMPUTED_VALUE"""),"五年級")</f>
        <v>五年級</v>
      </c>
      <c r="G115" s="14" t="str">
        <f>IFERROR(__xludf.DUMMYFUNCTION("""COMPUTED_VALUE"""),"獎狀")</f>
        <v>獎狀</v>
      </c>
      <c r="H115" s="8"/>
    </row>
    <row r="116">
      <c r="A116" s="12"/>
      <c r="B116" s="14">
        <f>IFERROR(__xludf.DUMMYFUNCTION("""COMPUTED_VALUE"""),1179228.0)</f>
        <v>1179228</v>
      </c>
      <c r="C116" s="14" t="str">
        <f>IFERROR(__xludf.DUMMYFUNCTION("""COMPUTED_VALUE"""),"楊富淯")</f>
        <v>楊富淯</v>
      </c>
      <c r="D116" s="16" t="str">
        <f>IFERROR(__xludf.DUMMYFUNCTION("""COMPUTED_VALUE"""),"clp*****32.tp@mail.edu.tw")</f>
        <v>clp*****32.tp@mail.edu.tw</v>
      </c>
      <c r="E116" s="17" t="str">
        <f>IFERROR(__xludf.DUMMYFUNCTION("""COMPUTED_VALUE"""),"臺北市中山區吉林國民小學")</f>
        <v>臺北市中山區吉林國民小學</v>
      </c>
      <c r="F116" s="14" t="str">
        <f>IFERROR(__xludf.DUMMYFUNCTION("""COMPUTED_VALUE"""),"五年級")</f>
        <v>五年級</v>
      </c>
      <c r="G116" s="14" t="str">
        <f>IFERROR(__xludf.DUMMYFUNCTION("""COMPUTED_VALUE"""),"獎狀")</f>
        <v>獎狀</v>
      </c>
      <c r="H116" s="8"/>
    </row>
    <row r="117">
      <c r="A117" s="12"/>
      <c r="B117" s="14">
        <f>IFERROR(__xludf.DUMMYFUNCTION("""COMPUTED_VALUE"""),1177955.0)</f>
        <v>1177955</v>
      </c>
      <c r="C117" s="14" t="str">
        <f>IFERROR(__xludf.DUMMYFUNCTION("""COMPUTED_VALUE"""),"蔡暐涵")</f>
        <v>蔡暐涵</v>
      </c>
      <c r="D117" s="16" t="str">
        <f>IFERROR(__xludf.DUMMYFUNCTION("""COMPUTED_VALUE"""),"clp*****68.ship@mail.edu.tw")</f>
        <v>clp*****68.ship@mail.edu.tw</v>
      </c>
      <c r="E117" s="17" t="str">
        <f>IFERROR(__xludf.DUMMYFUNCTION("""COMPUTED_VALUE"""),"臺北市中山區吉林國民小學")</f>
        <v>臺北市中山區吉林國民小學</v>
      </c>
      <c r="F117" s="14" t="str">
        <f>IFERROR(__xludf.DUMMYFUNCTION("""COMPUTED_VALUE"""),"五年級")</f>
        <v>五年級</v>
      </c>
      <c r="G117" s="14" t="str">
        <f>IFERROR(__xludf.DUMMYFUNCTION("""COMPUTED_VALUE"""),"獎狀")</f>
        <v>獎狀</v>
      </c>
      <c r="H117" s="8"/>
    </row>
    <row r="118">
      <c r="A118" s="12"/>
      <c r="B118" s="14">
        <f>IFERROR(__xludf.DUMMYFUNCTION("""COMPUTED_VALUE"""),1023061.0)</f>
        <v>1023061</v>
      </c>
      <c r="C118" s="14" t="str">
        <f>IFERROR(__xludf.DUMMYFUNCTION("""COMPUTED_VALUE"""),"鄭暄潔")</f>
        <v>鄭暄潔</v>
      </c>
      <c r="D118" s="16" t="str">
        <f>IFERROR(__xludf.DUMMYFUNCTION("""COMPUTED_VALUE"""),"clp*****67.tp@mail.edu.tw")</f>
        <v>clp*****67.tp@mail.edu.tw</v>
      </c>
      <c r="E118" s="17" t="str">
        <f>IFERROR(__xludf.DUMMYFUNCTION("""COMPUTED_VALUE"""),"臺北市中山區吉林國民小學")</f>
        <v>臺北市中山區吉林國民小學</v>
      </c>
      <c r="F118" s="14" t="str">
        <f>IFERROR(__xludf.DUMMYFUNCTION("""COMPUTED_VALUE"""),"五年級")</f>
        <v>五年級</v>
      </c>
      <c r="G118" s="14" t="str">
        <f>IFERROR(__xludf.DUMMYFUNCTION("""COMPUTED_VALUE"""),"獎狀")</f>
        <v>獎狀</v>
      </c>
      <c r="H118" s="8"/>
    </row>
    <row r="119">
      <c r="A119" s="12"/>
      <c r="B119" s="14">
        <f>IFERROR(__xludf.DUMMYFUNCTION("""COMPUTED_VALUE"""),1006336.0)</f>
        <v>1006336</v>
      </c>
      <c r="C119" s="14" t="str">
        <f>IFERROR(__xludf.DUMMYFUNCTION("""COMPUTED_VALUE"""),"簡承睿")</f>
        <v>簡承睿</v>
      </c>
      <c r="D119" s="16" t="str">
        <f>IFERROR(__xludf.DUMMYFUNCTION("""COMPUTED_VALUE"""),"rya*****4@mail.edu.tw")</f>
        <v>rya*****4@mail.edu.tw</v>
      </c>
      <c r="E119" s="17" t="str">
        <f>IFERROR(__xludf.DUMMYFUNCTION("""COMPUTED_VALUE"""),"臺北市中山區吉林國民小學")</f>
        <v>臺北市中山區吉林國民小學</v>
      </c>
      <c r="F119" s="14" t="str">
        <f>IFERROR(__xludf.DUMMYFUNCTION("""COMPUTED_VALUE"""),"五年級")</f>
        <v>五年級</v>
      </c>
      <c r="G119" s="14" t="str">
        <f>IFERROR(__xludf.DUMMYFUNCTION("""COMPUTED_VALUE"""),"獎狀")</f>
        <v>獎狀</v>
      </c>
      <c r="H119" s="8"/>
    </row>
    <row r="120">
      <c r="A120" s="12"/>
      <c r="B120" s="14">
        <f>IFERROR(__xludf.DUMMYFUNCTION("""COMPUTED_VALUE"""),1178861.0)</f>
        <v>1178861</v>
      </c>
      <c r="C120" s="14" t="str">
        <f>IFERROR(__xludf.DUMMYFUNCTION("""COMPUTED_VALUE"""),"蘇柏碩")</f>
        <v>蘇柏碩</v>
      </c>
      <c r="D120" s="16" t="str">
        <f>IFERROR(__xludf.DUMMYFUNCTION("""COMPUTED_VALUE"""),"clp*****92.tp@mail.edu.tw")</f>
        <v>clp*****92.tp@mail.edu.tw</v>
      </c>
      <c r="E120" s="17" t="str">
        <f>IFERROR(__xludf.DUMMYFUNCTION("""COMPUTED_VALUE"""),"臺北市中山區吉林國民小學")</f>
        <v>臺北市中山區吉林國民小學</v>
      </c>
      <c r="F120" s="14" t="str">
        <f>IFERROR(__xludf.DUMMYFUNCTION("""COMPUTED_VALUE"""),"五年級")</f>
        <v>五年級</v>
      </c>
      <c r="G120" s="14" t="str">
        <f>IFERROR(__xludf.DUMMYFUNCTION("""COMPUTED_VALUE"""),"獎狀")</f>
        <v>獎狀</v>
      </c>
      <c r="H120" s="8"/>
    </row>
    <row r="121">
      <c r="A121" s="12"/>
      <c r="B121" s="14">
        <f>IFERROR(__xludf.DUMMYFUNCTION("""COMPUTED_VALUE"""),1094477.0)</f>
        <v>1094477</v>
      </c>
      <c r="C121" s="14" t="str">
        <f>IFERROR(__xludf.DUMMYFUNCTION("""COMPUTED_VALUE"""),"陳凱楨")</f>
        <v>陳凱楨</v>
      </c>
      <c r="D121" s="16" t="str">
        <f>IFERROR(__xludf.DUMMYFUNCTION("""COMPUTED_VALUE"""),"bli*****728@gmail.com")</f>
        <v>bli*****728@gmail.com</v>
      </c>
      <c r="E121" s="17" t="str">
        <f>IFERROR(__xludf.DUMMYFUNCTION("""COMPUTED_VALUE"""),"臺北市中山區永安國民小學")</f>
        <v>臺北市中山區永安國民小學</v>
      </c>
      <c r="F121" s="14" t="str">
        <f>IFERROR(__xludf.DUMMYFUNCTION("""COMPUTED_VALUE"""),"五年級")</f>
        <v>五年級</v>
      </c>
      <c r="G121" s="14" t="str">
        <f>IFERROR(__xludf.DUMMYFUNCTION("""COMPUTED_VALUE"""),"獎狀")</f>
        <v>獎狀</v>
      </c>
      <c r="H121" s="8"/>
    </row>
    <row r="122">
      <c r="A122" s="12"/>
      <c r="B122" s="14">
        <f>IFERROR(__xludf.DUMMYFUNCTION("""COMPUTED_VALUE"""),427721.0)</f>
        <v>427721</v>
      </c>
      <c r="C122" s="14" t="str">
        <f>IFERROR(__xludf.DUMMYFUNCTION("""COMPUTED_VALUE"""),"徐寧孜")</f>
        <v>徐寧孜</v>
      </c>
      <c r="D122" s="16" t="str">
        <f>IFERROR(__xludf.DUMMYFUNCTION("""COMPUTED_VALUE"""),"yae*****071@mail.edu.tw")</f>
        <v>yae*****071@mail.edu.tw</v>
      </c>
      <c r="E122" s="17" t="str">
        <f>IFERROR(__xludf.DUMMYFUNCTION("""COMPUTED_VALUE"""),"臺北市中山區永安國民小學")</f>
        <v>臺北市中山區永安國民小學</v>
      </c>
      <c r="F122" s="14" t="str">
        <f>IFERROR(__xludf.DUMMYFUNCTION("""COMPUTED_VALUE"""),"六年級")</f>
        <v>六年級</v>
      </c>
      <c r="G122" s="14" t="str">
        <f>IFERROR(__xludf.DUMMYFUNCTION("""COMPUTED_VALUE"""),"獎狀")</f>
        <v>獎狀</v>
      </c>
      <c r="H122" s="8"/>
    </row>
    <row r="123">
      <c r="A123" s="12"/>
      <c r="B123" s="14">
        <f>IFERROR(__xludf.DUMMYFUNCTION("""COMPUTED_VALUE"""),1196641.0)</f>
        <v>1196641</v>
      </c>
      <c r="C123" s="14" t="str">
        <f>IFERROR(__xludf.DUMMYFUNCTION("""COMPUTED_VALUE"""),"蔡易宸")</f>
        <v>蔡易宸</v>
      </c>
      <c r="D123" s="16" t="str">
        <f>IFERROR(__xludf.DUMMYFUNCTION("""COMPUTED_VALUE"""),"yae*****179@mail.edu.tw")</f>
        <v>yae*****179@mail.edu.tw</v>
      </c>
      <c r="E123" s="17" t="str">
        <f>IFERROR(__xludf.DUMMYFUNCTION("""COMPUTED_VALUE"""),"臺北市中山區永安國民小學")</f>
        <v>臺北市中山區永安國民小學</v>
      </c>
      <c r="F123" s="14" t="str">
        <f>IFERROR(__xludf.DUMMYFUNCTION("""COMPUTED_VALUE"""),"六年級")</f>
        <v>六年級</v>
      </c>
      <c r="G123" s="14" t="str">
        <f>IFERROR(__xludf.DUMMYFUNCTION("""COMPUTED_VALUE"""),"●小禮物")</f>
        <v>●小禮物</v>
      </c>
      <c r="H123" s="8"/>
    </row>
    <row r="124">
      <c r="A124" s="12"/>
      <c r="B124" s="14">
        <f>IFERROR(__xludf.DUMMYFUNCTION("""COMPUTED_VALUE"""),1180879.0)</f>
        <v>1180879</v>
      </c>
      <c r="C124" s="14" t="str">
        <f>IFERROR(__xludf.DUMMYFUNCTION("""COMPUTED_VALUE"""),"李俞臻")</f>
        <v>李俞臻</v>
      </c>
      <c r="D124" s="16" t="str">
        <f>IFERROR(__xludf.DUMMYFUNCTION("""COMPUTED_VALUE"""),"yae*****070@mail.edu.tw")</f>
        <v>yae*****070@mail.edu.tw</v>
      </c>
      <c r="E124" s="17" t="str">
        <f>IFERROR(__xludf.DUMMYFUNCTION("""COMPUTED_VALUE"""),"臺北市中山區永安國民小學")</f>
        <v>臺北市中山區永安國民小學</v>
      </c>
      <c r="F124" s="14" t="str">
        <f>IFERROR(__xludf.DUMMYFUNCTION("""COMPUTED_VALUE"""),"六年級")</f>
        <v>六年級</v>
      </c>
      <c r="G124" s="14" t="str">
        <f>IFERROR(__xludf.DUMMYFUNCTION("""COMPUTED_VALUE"""),"獎狀")</f>
        <v>獎狀</v>
      </c>
      <c r="H124" s="8"/>
    </row>
    <row r="125">
      <c r="A125" s="12"/>
      <c r="B125" s="14">
        <f>IFERROR(__xludf.DUMMYFUNCTION("""COMPUTED_VALUE"""),855075.0)</f>
        <v>855075</v>
      </c>
      <c r="C125" s="14" t="str">
        <f>IFERROR(__xludf.DUMMYFUNCTION("""COMPUTED_VALUE"""),"卓奕綸")</f>
        <v>卓奕綸</v>
      </c>
      <c r="D125" s="16" t="str">
        <f>IFERROR(__xludf.DUMMYFUNCTION("""COMPUTED_VALUE"""),"all*****0511@gmail.com")</f>
        <v>all*****0511@gmail.com</v>
      </c>
      <c r="E125" s="17" t="str">
        <f>IFERROR(__xludf.DUMMYFUNCTION("""COMPUTED_VALUE"""),"臺北市中山區中山國民小學")</f>
        <v>臺北市中山區中山國民小學</v>
      </c>
      <c r="F125" s="14" t="str">
        <f>IFERROR(__xludf.DUMMYFUNCTION("""COMPUTED_VALUE"""),"五年級")</f>
        <v>五年級</v>
      </c>
      <c r="G125" s="14" t="str">
        <f>IFERROR(__xludf.DUMMYFUNCTION("""COMPUTED_VALUE"""),"●小禮物")</f>
        <v>●小禮物</v>
      </c>
      <c r="H125" s="8"/>
    </row>
    <row r="126">
      <c r="A126" s="12"/>
      <c r="B126" s="14">
        <f>IFERROR(__xludf.DUMMYFUNCTION("""COMPUTED_VALUE"""),709462.0)</f>
        <v>709462</v>
      </c>
      <c r="C126" s="14" t="str">
        <f>IFERROR(__xludf.DUMMYFUNCTION("""COMPUTED_VALUE"""),"陳柏百")</f>
        <v>陳柏百</v>
      </c>
      <c r="D126" s="16" t="str">
        <f>IFERROR(__xludf.DUMMYFUNCTION("""COMPUTED_VALUE"""),"107*****sps.tp.edu.tw")</f>
        <v>107*****sps.tp.edu.tw</v>
      </c>
      <c r="E126" s="17" t="str">
        <f>IFERROR(__xludf.DUMMYFUNCTION("""COMPUTED_VALUE"""),"臺北市中山區中山國民小學")</f>
        <v>臺北市中山區中山國民小學</v>
      </c>
      <c r="F126" s="14" t="str">
        <f>IFERROR(__xludf.DUMMYFUNCTION("""COMPUTED_VALUE"""),"五年級")</f>
        <v>五年級</v>
      </c>
      <c r="G126" s="14" t="str">
        <f>IFERROR(__xludf.DUMMYFUNCTION("""COMPUTED_VALUE"""),"獎狀")</f>
        <v>獎狀</v>
      </c>
      <c r="H126" s="8"/>
    </row>
    <row r="127">
      <c r="A127" s="12"/>
      <c r="B127" s="14">
        <f>IFERROR(__xludf.DUMMYFUNCTION("""COMPUTED_VALUE"""),1018978.0)</f>
        <v>1018978</v>
      </c>
      <c r="C127" s="14" t="str">
        <f>IFERROR(__xludf.DUMMYFUNCTION("""COMPUTED_VALUE"""),"張妙音")</f>
        <v>張妙音</v>
      </c>
      <c r="D127" s="16" t="str">
        <f>IFERROR(__xludf.DUMMYFUNCTION("""COMPUTED_VALUE"""),"wse*****85.tp@mail.edu.tw")</f>
        <v>wse*****85.tp@mail.edu.tw</v>
      </c>
      <c r="E127" s="17" t="str">
        <f>IFERROR(__xludf.DUMMYFUNCTION("""COMPUTED_VALUE"""),"臺北市中山區懷生國民小學")</f>
        <v>臺北市中山區懷生國民小學</v>
      </c>
      <c r="F127" s="14" t="str">
        <f>IFERROR(__xludf.DUMMYFUNCTION("""COMPUTED_VALUE"""),"四年級")</f>
        <v>四年級</v>
      </c>
      <c r="G127" s="14" t="str">
        <f>IFERROR(__xludf.DUMMYFUNCTION("""COMPUTED_VALUE"""),"★禮券$200")</f>
        <v>★禮券$200</v>
      </c>
      <c r="H127" s="8"/>
    </row>
    <row r="128">
      <c r="A128" s="12"/>
      <c r="B128" s="14">
        <f>IFERROR(__xludf.DUMMYFUNCTION("""COMPUTED_VALUE"""),589105.0)</f>
        <v>589105</v>
      </c>
      <c r="C128" s="14" t="str">
        <f>IFERROR(__xludf.DUMMYFUNCTION("""COMPUTED_VALUE"""),"鍾允昊")</f>
        <v>鍾允昊</v>
      </c>
      <c r="D128" s="16" t="str">
        <f>IFERROR(__xludf.DUMMYFUNCTION("""COMPUTED_VALUE"""),"ahu*****0@mail.edu.tw")</f>
        <v>ahu*****0@mail.edu.tw</v>
      </c>
      <c r="E128" s="17" t="str">
        <f>IFERROR(__xludf.DUMMYFUNCTION("""COMPUTED_VALUE"""),"臺北市中山區懷生國民小學")</f>
        <v>臺北市中山區懷生國民小學</v>
      </c>
      <c r="F128" s="14" t="str">
        <f>IFERROR(__xludf.DUMMYFUNCTION("""COMPUTED_VALUE"""),"六年級")</f>
        <v>六年級</v>
      </c>
      <c r="G128" s="14" t="str">
        <f>IFERROR(__xludf.DUMMYFUNCTION("""COMPUTED_VALUE"""),"●小禮物")</f>
        <v>●小禮物</v>
      </c>
      <c r="H128" s="8"/>
    </row>
    <row r="129">
      <c r="A129" s="12"/>
      <c r="B129" s="14">
        <f>IFERROR(__xludf.DUMMYFUNCTION("""COMPUTED_VALUE"""),1114708.0)</f>
        <v>1114708</v>
      </c>
      <c r="C129" s="14" t="str">
        <f>IFERROR(__xludf.DUMMYFUNCTION("""COMPUTED_VALUE"""),"張瑋倫")</f>
        <v>張瑋倫</v>
      </c>
      <c r="D129" s="16" t="str">
        <f>IFERROR(__xludf.DUMMYFUNCTION("""COMPUTED_VALUE"""),"109*****aps.tp.edu.tw")</f>
        <v>109*****aps.tp.edu.tw</v>
      </c>
      <c r="E129" s="17" t="str">
        <f>IFERROR(__xludf.DUMMYFUNCTION("""COMPUTED_VALUE"""),"臺北市中山區長安國民小學")</f>
        <v>臺北市中山區長安國民小學</v>
      </c>
      <c r="F129" s="14" t="str">
        <f>IFERROR(__xludf.DUMMYFUNCTION("""COMPUTED_VALUE"""),"三年級")</f>
        <v>三年級</v>
      </c>
      <c r="G129" s="14" t="str">
        <f>IFERROR(__xludf.DUMMYFUNCTION("""COMPUTED_VALUE"""),"獎狀")</f>
        <v>獎狀</v>
      </c>
      <c r="H129" s="8"/>
    </row>
    <row r="130">
      <c r="A130" s="12"/>
      <c r="B130" s="14">
        <f>IFERROR(__xludf.DUMMYFUNCTION("""COMPUTED_VALUE"""),442492.0)</f>
        <v>442492</v>
      </c>
      <c r="C130" s="14" t="str">
        <f>IFERROR(__xludf.DUMMYFUNCTION("""COMPUTED_VALUE"""),"張沛潔")</f>
        <v>張沛潔</v>
      </c>
      <c r="D130" s="16" t="str">
        <f>IFERROR(__xludf.DUMMYFUNCTION("""COMPUTED_VALUE"""),"106*****aps.tp.edu.tw")</f>
        <v>106*****aps.tp.edu.tw</v>
      </c>
      <c r="E130" s="17" t="str">
        <f>IFERROR(__xludf.DUMMYFUNCTION("""COMPUTED_VALUE"""),"臺北市中山區長安國民小學")</f>
        <v>臺北市中山區長安國民小學</v>
      </c>
      <c r="F130" s="14" t="str">
        <f>IFERROR(__xludf.DUMMYFUNCTION("""COMPUTED_VALUE"""),"六年級")</f>
        <v>六年級</v>
      </c>
      <c r="G130" s="14" t="str">
        <f>IFERROR(__xludf.DUMMYFUNCTION("""COMPUTED_VALUE"""),"●小禮物")</f>
        <v>●小禮物</v>
      </c>
      <c r="H130" s="8"/>
    </row>
    <row r="131">
      <c r="A131" s="12"/>
      <c r="B131" s="14">
        <f>IFERROR(__xludf.DUMMYFUNCTION("""COMPUTED_VALUE"""),974867.0)</f>
        <v>974867</v>
      </c>
      <c r="C131" s="14" t="str">
        <f>IFERROR(__xludf.DUMMYFUNCTION("""COMPUTED_VALUE"""),"周品希")</f>
        <v>周品希</v>
      </c>
      <c r="D131" s="16" t="str">
        <f>IFERROR(__xludf.DUMMYFUNCTION("""COMPUTED_VALUE"""),"107*****hps.tp.edu.tw")</f>
        <v>107*****hps.tp.edu.tw</v>
      </c>
      <c r="E131" s="17" t="str">
        <f>IFERROR(__xludf.DUMMYFUNCTION("""COMPUTED_VALUE"""),"臺北市松山區敦化國民小學")</f>
        <v>臺北市松山區敦化國民小學</v>
      </c>
      <c r="F131" s="14" t="str">
        <f>IFERROR(__xludf.DUMMYFUNCTION("""COMPUTED_VALUE"""),"五年級")</f>
        <v>五年級</v>
      </c>
      <c r="G131" s="14" t="str">
        <f>IFERROR(__xludf.DUMMYFUNCTION("""COMPUTED_VALUE"""),"獎狀")</f>
        <v>獎狀</v>
      </c>
      <c r="H131" s="8"/>
    </row>
    <row r="132">
      <c r="A132" s="12"/>
      <c r="B132" s="14">
        <f>IFERROR(__xludf.DUMMYFUNCTION("""COMPUTED_VALUE"""),423443.0)</f>
        <v>423443</v>
      </c>
      <c r="C132" s="14" t="str">
        <f>IFERROR(__xludf.DUMMYFUNCTION("""COMPUTED_VALUE"""),"顏宏熹")</f>
        <v>顏宏熹</v>
      </c>
      <c r="D132" s="16" t="str">
        <f>IFERROR(__xludf.DUMMYFUNCTION("""COMPUTED_VALUE"""),"106*****ups.tp.edu.tw")</f>
        <v>106*****ups.tp.edu.tw</v>
      </c>
      <c r="E132" s="17" t="str">
        <f>IFERROR(__xludf.DUMMYFUNCTION("""COMPUTED_VALUE"""),"臺北市松山區西松國民小學")</f>
        <v>臺北市松山區西松國民小學</v>
      </c>
      <c r="F132" s="14" t="str">
        <f>IFERROR(__xludf.DUMMYFUNCTION("""COMPUTED_VALUE"""),"六年級")</f>
        <v>六年級</v>
      </c>
      <c r="G132" s="14" t="str">
        <f>IFERROR(__xludf.DUMMYFUNCTION("""COMPUTED_VALUE"""),"●小禮物")</f>
        <v>●小禮物</v>
      </c>
      <c r="H132" s="8"/>
    </row>
    <row r="133">
      <c r="A133" s="12"/>
      <c r="B133" s="14">
        <f>IFERROR(__xludf.DUMMYFUNCTION("""COMPUTED_VALUE"""),948382.0)</f>
        <v>948382</v>
      </c>
      <c r="C133" s="14" t="str">
        <f>IFERROR(__xludf.DUMMYFUNCTION("""COMPUTED_VALUE"""),"劉林愷")</f>
        <v>劉林愷</v>
      </c>
      <c r="D133" s="16" t="str">
        <f>IFERROR(__xludf.DUMMYFUNCTION("""COMPUTED_VALUE"""),"108*****o.msps.tp.edu.tw")</f>
        <v>108*****o.msps.tp.edu.tw</v>
      </c>
      <c r="E133" s="17" t="str">
        <f>IFERROR(__xludf.DUMMYFUNCTION("""COMPUTED_VALUE"""),"臺北市松山區民生國民小學")</f>
        <v>臺北市松山區民生國民小學</v>
      </c>
      <c r="F133" s="14" t="str">
        <f>IFERROR(__xludf.DUMMYFUNCTION("""COMPUTED_VALUE"""),"四年級")</f>
        <v>四年級</v>
      </c>
      <c r="G133" s="14" t="str">
        <f>IFERROR(__xludf.DUMMYFUNCTION("""COMPUTED_VALUE"""),"獎狀")</f>
        <v>獎狀</v>
      </c>
      <c r="H133" s="8"/>
    </row>
    <row r="134">
      <c r="A134" s="12"/>
      <c r="B134" s="14">
        <f>IFERROR(__xludf.DUMMYFUNCTION("""COMPUTED_VALUE"""),836925.0)</f>
        <v>836925</v>
      </c>
      <c r="C134" s="14" t="str">
        <f>IFERROR(__xludf.DUMMYFUNCTION("""COMPUTED_VALUE"""),"吳迦恩")</f>
        <v>吳迦恩</v>
      </c>
      <c r="D134" s="16" t="str">
        <f>IFERROR(__xludf.DUMMYFUNCTION("""COMPUTED_VALUE"""),"200*****@yahoo.com.tw")</f>
        <v>200*****@yahoo.com.tw</v>
      </c>
      <c r="E134" s="17" t="str">
        <f>IFERROR(__xludf.DUMMYFUNCTION("""COMPUTED_VALUE"""),"臺北市松山區民生國民小學")</f>
        <v>臺北市松山區民生國民小學</v>
      </c>
      <c r="F134" s="14" t="str">
        <f>IFERROR(__xludf.DUMMYFUNCTION("""COMPUTED_VALUE"""),"四年級")</f>
        <v>四年級</v>
      </c>
      <c r="G134" s="14" t="str">
        <f>IFERROR(__xludf.DUMMYFUNCTION("""COMPUTED_VALUE"""),"獎狀")</f>
        <v>獎狀</v>
      </c>
      <c r="H134" s="8"/>
    </row>
    <row r="135">
      <c r="A135" s="12"/>
      <c r="B135" s="14">
        <f>IFERROR(__xludf.DUMMYFUNCTION("""COMPUTED_VALUE"""),714496.0)</f>
        <v>714496</v>
      </c>
      <c r="C135" s="14" t="str">
        <f>IFERROR(__xludf.DUMMYFUNCTION("""COMPUTED_VALUE"""),"王繪寧")</f>
        <v>王繪寧</v>
      </c>
      <c r="D135" s="16" t="str">
        <f>IFERROR(__xludf.DUMMYFUNCTION("""COMPUTED_VALUE"""),"109*****t.fhjh.tp.edu.tw")</f>
        <v>109*****t.fhjh.tp.edu.tw</v>
      </c>
      <c r="E135" s="17" t="str">
        <f>IFERROR(__xludf.DUMMYFUNCTION("""COMPUTED_VALUE"""),"臺北市私立復興實驗高級中學附設小學部")</f>
        <v>臺北市私立復興實驗高級中學附設小學部</v>
      </c>
      <c r="F135" s="14" t="str">
        <f>IFERROR(__xludf.DUMMYFUNCTION("""COMPUTED_VALUE"""),"三年級")</f>
        <v>三年級</v>
      </c>
      <c r="G135" s="14" t="str">
        <f>IFERROR(__xludf.DUMMYFUNCTION("""COMPUTED_VALUE"""),"●小禮物")</f>
        <v>●小禮物</v>
      </c>
      <c r="H135" s="8"/>
    </row>
    <row r="136">
      <c r="A136" s="12"/>
      <c r="B136" s="14">
        <f>IFERROR(__xludf.DUMMYFUNCTION("""COMPUTED_VALUE"""),1155712.0)</f>
        <v>1155712</v>
      </c>
      <c r="C136" s="14" t="str">
        <f>IFERROR(__xludf.DUMMYFUNCTION("""COMPUTED_VALUE"""),"劉邦萱")</f>
        <v>劉邦萱</v>
      </c>
      <c r="D136" s="16" t="str">
        <f>IFERROR(__xludf.DUMMYFUNCTION("""COMPUTED_VALUE"""),"108*****t.fhjh.tp.edu.tw")</f>
        <v>108*****t.fhjh.tp.edu.tw</v>
      </c>
      <c r="E136" s="17" t="str">
        <f>IFERROR(__xludf.DUMMYFUNCTION("""COMPUTED_VALUE"""),"臺北市私立復興實驗高級中學附設小學部")</f>
        <v>臺北市私立復興實驗高級中學附設小學部</v>
      </c>
      <c r="F136" s="14" t="str">
        <f>IFERROR(__xludf.DUMMYFUNCTION("""COMPUTED_VALUE"""),"四年級")</f>
        <v>四年級</v>
      </c>
      <c r="G136" s="14" t="str">
        <f>IFERROR(__xludf.DUMMYFUNCTION("""COMPUTED_VALUE"""),"●小禮物")</f>
        <v>●小禮物</v>
      </c>
      <c r="H136" s="8"/>
    </row>
    <row r="137">
      <c r="A137" s="12"/>
      <c r="B137" s="14">
        <f>IFERROR(__xludf.DUMMYFUNCTION("""COMPUTED_VALUE"""),1027455.0)</f>
        <v>1027455</v>
      </c>
      <c r="C137" s="14" t="str">
        <f>IFERROR(__xludf.DUMMYFUNCTION("""COMPUTED_VALUE"""),"姜惟心")</f>
        <v>姜惟心</v>
      </c>
      <c r="D137" s="16" t="str">
        <f>IFERROR(__xludf.DUMMYFUNCTION("""COMPUTED_VALUE"""),"107*****tu.jnps.tp.edu.tw")</f>
        <v>107*****tu.jnps.tp.edu.tw</v>
      </c>
      <c r="E137" s="17" t="str">
        <f>IFERROR(__xludf.DUMMYFUNCTION("""COMPUTED_VALUE"""),"臺北市私立復興實驗高級中學附設小學部")</f>
        <v>臺北市私立復興實驗高級中學附設小學部</v>
      </c>
      <c r="F137" s="14" t="str">
        <f>IFERROR(__xludf.DUMMYFUNCTION("""COMPUTED_VALUE"""),"五年級")</f>
        <v>五年級</v>
      </c>
      <c r="G137" s="14" t="str">
        <f>IFERROR(__xludf.DUMMYFUNCTION("""COMPUTED_VALUE"""),"獎狀")</f>
        <v>獎狀</v>
      </c>
      <c r="H137" s="8"/>
    </row>
    <row r="138">
      <c r="A138" s="12"/>
      <c r="B138" s="14">
        <f>IFERROR(__xludf.DUMMYFUNCTION("""COMPUTED_VALUE"""),444208.0)</f>
        <v>444208</v>
      </c>
      <c r="C138" s="14" t="str">
        <f>IFERROR(__xludf.DUMMYFUNCTION("""COMPUTED_VALUE"""),"王睿謙")</f>
        <v>王睿謙</v>
      </c>
      <c r="D138" s="16" t="str">
        <f>IFERROR(__xludf.DUMMYFUNCTION("""COMPUTED_VALUE"""),"106*****t.fhjh.tp.edu.tw")</f>
        <v>106*****t.fhjh.tp.edu.tw</v>
      </c>
      <c r="E138" s="17" t="str">
        <f>IFERROR(__xludf.DUMMYFUNCTION("""COMPUTED_VALUE"""),"臺北市私立復興實驗高級中學附設小學部")</f>
        <v>臺北市私立復興實驗高級中學附設小學部</v>
      </c>
      <c r="F138" s="14" t="str">
        <f>IFERROR(__xludf.DUMMYFUNCTION("""COMPUTED_VALUE"""),"六年級")</f>
        <v>六年級</v>
      </c>
      <c r="G138" s="14" t="str">
        <f>IFERROR(__xludf.DUMMYFUNCTION("""COMPUTED_VALUE"""),"●小禮物")</f>
        <v>●小禮物</v>
      </c>
      <c r="H138" s="8"/>
    </row>
    <row r="139">
      <c r="A139" s="12"/>
      <c r="B139" s="14">
        <f>IFERROR(__xludf.DUMMYFUNCTION("""COMPUTED_VALUE"""),1044371.0)</f>
        <v>1044371</v>
      </c>
      <c r="C139" s="14" t="str">
        <f>IFERROR(__xludf.DUMMYFUNCTION("""COMPUTED_VALUE"""),"許尹馨")</f>
        <v>許尹馨</v>
      </c>
      <c r="D139" s="16" t="str">
        <f>IFERROR(__xludf.DUMMYFUNCTION("""COMPUTED_VALUE"""),"ali*****u@mail.edu.tw")</f>
        <v>ali*****u@mail.edu.tw</v>
      </c>
      <c r="E139" s="17" t="str">
        <f>IFERROR(__xludf.DUMMYFUNCTION("""COMPUTED_VALUE"""),"臺北市大安區古亭國民小學")</f>
        <v>臺北市大安區古亭國民小學</v>
      </c>
      <c r="F139" s="14" t="str">
        <f>IFERROR(__xludf.DUMMYFUNCTION("""COMPUTED_VALUE"""),"四年級")</f>
        <v>四年級</v>
      </c>
      <c r="G139" s="14" t="str">
        <f>IFERROR(__xludf.DUMMYFUNCTION("""COMPUTED_VALUE"""),"●小禮物")</f>
        <v>●小禮物</v>
      </c>
      <c r="H139" s="8"/>
    </row>
    <row r="140">
      <c r="A140" s="18"/>
      <c r="B140" s="14">
        <f>IFERROR(__xludf.DUMMYFUNCTION("""COMPUTED_VALUE"""),301751.0)</f>
        <v>301751</v>
      </c>
      <c r="C140" s="14" t="str">
        <f>IFERROR(__xludf.DUMMYFUNCTION("""COMPUTED_VALUE"""),"黃奕勳")</f>
        <v>黃奕勳</v>
      </c>
      <c r="D140" s="16" t="str">
        <f>IFERROR(__xludf.DUMMYFUNCTION("""COMPUTED_VALUE"""),"yan*****86@gmail.com")</f>
        <v>yan*****86@gmail.com</v>
      </c>
      <c r="E140" s="17" t="str">
        <f>IFERROR(__xludf.DUMMYFUNCTION("""COMPUTED_VALUE"""),"臺北市大安區古亭國民小學")</f>
        <v>臺北市大安區古亭國民小學</v>
      </c>
      <c r="F140" s="14" t="str">
        <f>IFERROR(__xludf.DUMMYFUNCTION("""COMPUTED_VALUE"""),"五年級")</f>
        <v>五年級</v>
      </c>
      <c r="G140" s="14" t="str">
        <f>IFERROR(__xludf.DUMMYFUNCTION("""COMPUTED_VALUE"""),"獎狀")</f>
        <v>獎狀</v>
      </c>
      <c r="H140" s="8"/>
    </row>
    <row r="141">
      <c r="A141" s="18"/>
      <c r="B141" s="14">
        <f>IFERROR(__xludf.DUMMYFUNCTION("""COMPUTED_VALUE"""),1103703.0)</f>
        <v>1103703</v>
      </c>
      <c r="C141" s="14" t="str">
        <f>IFERROR(__xludf.DUMMYFUNCTION("""COMPUTED_VALUE"""),"林于涵")</f>
        <v>林于涵</v>
      </c>
      <c r="D141" s="16" t="str">
        <f>IFERROR(__xludf.DUMMYFUNCTION("""COMPUTED_VALUE"""),"107*****tes.tp.edu.tw")</f>
        <v>107*****tes.tp.edu.tw</v>
      </c>
      <c r="E141" s="17" t="str">
        <f>IFERROR(__xludf.DUMMYFUNCTION("""COMPUTED_VALUE"""),"臺北市大安區古亭國民小學")</f>
        <v>臺北市大安區古亭國民小學</v>
      </c>
      <c r="F141" s="14" t="str">
        <f>IFERROR(__xludf.DUMMYFUNCTION("""COMPUTED_VALUE"""),"五年級")</f>
        <v>五年級</v>
      </c>
      <c r="G141" s="14" t="str">
        <f>IFERROR(__xludf.DUMMYFUNCTION("""COMPUTED_VALUE"""),"●小禮物")</f>
        <v>●小禮物</v>
      </c>
      <c r="H141" s="8"/>
    </row>
    <row r="142">
      <c r="A142" s="18"/>
      <c r="B142" s="14">
        <f>IFERROR(__xludf.DUMMYFUNCTION("""COMPUTED_VALUE"""),423736.0)</f>
        <v>423736</v>
      </c>
      <c r="C142" s="14" t="str">
        <f>IFERROR(__xludf.DUMMYFUNCTION("""COMPUTED_VALUE"""),"邱威升")</f>
        <v>邱威升</v>
      </c>
      <c r="D142" s="16" t="str">
        <f>IFERROR(__xludf.DUMMYFUNCTION("""COMPUTED_VALUE"""),"gte*****08.tp@mail.edu.tw")</f>
        <v>gte*****08.tp@mail.edu.tw</v>
      </c>
      <c r="E142" s="17" t="str">
        <f>IFERROR(__xludf.DUMMYFUNCTION("""COMPUTED_VALUE"""),"臺北市大安區古亭國民小學")</f>
        <v>臺北市大安區古亭國民小學</v>
      </c>
      <c r="F142" s="14" t="str">
        <f>IFERROR(__xludf.DUMMYFUNCTION("""COMPUTED_VALUE"""),"五年級")</f>
        <v>五年級</v>
      </c>
      <c r="G142" s="14" t="str">
        <f>IFERROR(__xludf.DUMMYFUNCTION("""COMPUTED_VALUE"""),"●小禮物")</f>
        <v>●小禮物</v>
      </c>
      <c r="H142" s="8"/>
    </row>
    <row r="143">
      <c r="A143" s="18"/>
      <c r="B143" s="14">
        <f>IFERROR(__xludf.DUMMYFUNCTION("""COMPUTED_VALUE"""),1113153.0)</f>
        <v>1113153</v>
      </c>
      <c r="C143" s="14" t="str">
        <f>IFERROR(__xludf.DUMMYFUNCTION("""COMPUTED_VALUE"""),"李宣霓")</f>
        <v>李宣霓</v>
      </c>
      <c r="D143" s="16" t="str">
        <f>IFERROR(__xludf.DUMMYFUNCTION("""COMPUTED_VALUE"""),"max*****@hotmail.com")</f>
        <v>max*****@hotmail.com</v>
      </c>
      <c r="E143" s="17" t="str">
        <f>IFERROR(__xludf.DUMMYFUNCTION("""COMPUTED_VALUE"""),"臺北市大安區幸安國民小學")</f>
        <v>臺北市大安區幸安國民小學</v>
      </c>
      <c r="F143" s="14" t="str">
        <f>IFERROR(__xludf.DUMMYFUNCTION("""COMPUTED_VALUE"""),"三年級")</f>
        <v>三年級</v>
      </c>
      <c r="G143" s="14" t="str">
        <f>IFERROR(__xludf.DUMMYFUNCTION("""COMPUTED_VALUE"""),"●小禮物")</f>
        <v>●小禮物</v>
      </c>
      <c r="H143" s="8"/>
    </row>
    <row r="144">
      <c r="A144" s="18"/>
      <c r="B144" s="14">
        <f>IFERROR(__xludf.DUMMYFUNCTION("""COMPUTED_VALUE"""),1008171.0)</f>
        <v>1008171</v>
      </c>
      <c r="C144" s="14" t="str">
        <f>IFERROR(__xludf.DUMMYFUNCTION("""COMPUTED_VALUE"""),"孫晞媛")</f>
        <v>孫晞媛</v>
      </c>
      <c r="D144" s="16" t="str">
        <f>IFERROR(__xludf.DUMMYFUNCTION("""COMPUTED_VALUE"""),"108*****mail.haps.tp.edu.tw")</f>
        <v>108*****mail.haps.tp.edu.tw</v>
      </c>
      <c r="E144" s="17" t="str">
        <f>IFERROR(__xludf.DUMMYFUNCTION("""COMPUTED_VALUE"""),"臺北市大安區幸安國民小學")</f>
        <v>臺北市大安區幸安國民小學</v>
      </c>
      <c r="F144" s="14" t="str">
        <f>IFERROR(__xludf.DUMMYFUNCTION("""COMPUTED_VALUE"""),"四年級")</f>
        <v>四年級</v>
      </c>
      <c r="G144" s="14" t="str">
        <f>IFERROR(__xludf.DUMMYFUNCTION("""COMPUTED_VALUE"""),"●小禮物")</f>
        <v>●小禮物</v>
      </c>
      <c r="H144" s="8"/>
    </row>
    <row r="145">
      <c r="A145" s="18"/>
      <c r="B145" s="14">
        <f>IFERROR(__xludf.DUMMYFUNCTION("""COMPUTED_VALUE"""),834073.0)</f>
        <v>834073</v>
      </c>
      <c r="C145" s="14" t="str">
        <f>IFERROR(__xludf.DUMMYFUNCTION("""COMPUTED_VALUE"""),"蔡明祐")</f>
        <v>蔡明祐</v>
      </c>
      <c r="D145" s="16" t="str">
        <f>IFERROR(__xludf.DUMMYFUNCTION("""COMPUTED_VALUE"""),"107*****mail.haps.tp.edu.tw")</f>
        <v>107*****mail.haps.tp.edu.tw</v>
      </c>
      <c r="E145" s="17" t="str">
        <f>IFERROR(__xludf.DUMMYFUNCTION("""COMPUTED_VALUE"""),"臺北市大安區幸安國民小學")</f>
        <v>臺北市大安區幸安國民小學</v>
      </c>
      <c r="F145" s="14" t="str">
        <f>IFERROR(__xludf.DUMMYFUNCTION("""COMPUTED_VALUE"""),"五年級")</f>
        <v>五年級</v>
      </c>
      <c r="G145" s="14" t="str">
        <f>IFERROR(__xludf.DUMMYFUNCTION("""COMPUTED_VALUE"""),"獎狀")</f>
        <v>獎狀</v>
      </c>
      <c r="H145" s="8"/>
    </row>
    <row r="146">
      <c r="A146" s="18"/>
      <c r="B146" s="14">
        <f>IFERROR(__xludf.DUMMYFUNCTION("""COMPUTED_VALUE"""),254099.0)</f>
        <v>254099</v>
      </c>
      <c r="C146" s="14" t="str">
        <f>IFERROR(__xludf.DUMMYFUNCTION("""COMPUTED_VALUE"""),"黃南斌")</f>
        <v>黃南斌</v>
      </c>
      <c r="D146" s="16" t="str">
        <f>IFERROR(__xludf.DUMMYFUNCTION("""COMPUTED_VALUE"""),"drw*****101@yahoo.com")</f>
        <v>drw*****101@yahoo.com</v>
      </c>
      <c r="E146" s="17" t="str">
        <f>IFERROR(__xludf.DUMMYFUNCTION("""COMPUTED_VALUE"""),"臺北市大安區幸安國民小學")</f>
        <v>臺北市大安區幸安國民小學</v>
      </c>
      <c r="F146" s="14" t="str">
        <f>IFERROR(__xludf.DUMMYFUNCTION("""COMPUTED_VALUE"""),"五年級")</f>
        <v>五年級</v>
      </c>
      <c r="G146" s="14" t="str">
        <f>IFERROR(__xludf.DUMMYFUNCTION("""COMPUTED_VALUE"""),"獎狀")</f>
        <v>獎狀</v>
      </c>
      <c r="H146" s="8"/>
    </row>
    <row r="147">
      <c r="A147" s="18"/>
      <c r="B147" s="14">
        <f>IFERROR(__xludf.DUMMYFUNCTION("""COMPUTED_VALUE"""),427563.0)</f>
        <v>427563</v>
      </c>
      <c r="C147" s="14" t="str">
        <f>IFERROR(__xludf.DUMMYFUNCTION("""COMPUTED_VALUE"""),"曹采璇")</f>
        <v>曹采璇</v>
      </c>
      <c r="D147" s="16" t="str">
        <f>IFERROR(__xludf.DUMMYFUNCTION("""COMPUTED_VALUE"""),"hap*****19.tp@mail.edu.tw")</f>
        <v>hap*****19.tp@mail.edu.tw</v>
      </c>
      <c r="E147" s="17" t="str">
        <f>IFERROR(__xludf.DUMMYFUNCTION("""COMPUTED_VALUE"""),"臺北市大安區幸安國民小學")</f>
        <v>臺北市大安區幸安國民小學</v>
      </c>
      <c r="F147" s="14" t="str">
        <f>IFERROR(__xludf.DUMMYFUNCTION("""COMPUTED_VALUE"""),"六年級")</f>
        <v>六年級</v>
      </c>
      <c r="G147" s="14" t="str">
        <f>IFERROR(__xludf.DUMMYFUNCTION("""COMPUTED_VALUE"""),"●小禮物")</f>
        <v>●小禮物</v>
      </c>
      <c r="H147" s="8"/>
    </row>
    <row r="148">
      <c r="A148" s="18"/>
      <c r="B148" s="14">
        <f>IFERROR(__xludf.DUMMYFUNCTION("""COMPUTED_VALUE"""),442815.0)</f>
        <v>442815</v>
      </c>
      <c r="C148" s="14" t="str">
        <f>IFERROR(__xludf.DUMMYFUNCTION("""COMPUTED_VALUE"""),"王愷菲")</f>
        <v>王愷菲</v>
      </c>
      <c r="D148" s="16" t="str">
        <f>IFERROR(__xludf.DUMMYFUNCTION("""COMPUTED_VALUE"""),"wan*****@ms17.hinet.net")</f>
        <v>wan*****@ms17.hinet.net</v>
      </c>
      <c r="E148" s="17" t="str">
        <f>IFERROR(__xludf.DUMMYFUNCTION("""COMPUTED_VALUE"""),"臺北市大安區幸安國民小學")</f>
        <v>臺北市大安區幸安國民小學</v>
      </c>
      <c r="F148" s="14" t="str">
        <f>IFERROR(__xludf.DUMMYFUNCTION("""COMPUTED_VALUE"""),"六年級")</f>
        <v>六年級</v>
      </c>
      <c r="G148" s="14" t="str">
        <f>IFERROR(__xludf.DUMMYFUNCTION("""COMPUTED_VALUE"""),"獎狀")</f>
        <v>獎狀</v>
      </c>
      <c r="H148" s="8"/>
    </row>
    <row r="149">
      <c r="A149" s="18"/>
      <c r="B149" s="14">
        <f>IFERROR(__xludf.DUMMYFUNCTION("""COMPUTED_VALUE"""),427570.0)</f>
        <v>427570</v>
      </c>
      <c r="C149" s="14" t="str">
        <f>IFERROR(__xludf.DUMMYFUNCTION("""COMPUTED_VALUE"""),"曹勝騏")</f>
        <v>曹勝騏</v>
      </c>
      <c r="D149" s="16" t="str">
        <f>IFERROR(__xludf.DUMMYFUNCTION("""COMPUTED_VALUE"""),"hap*****21.tp@mail.edu.tw")</f>
        <v>hap*****21.tp@mail.edu.tw</v>
      </c>
      <c r="E149" s="17" t="str">
        <f>IFERROR(__xludf.DUMMYFUNCTION("""COMPUTED_VALUE"""),"臺北市大安區幸安國民小學")</f>
        <v>臺北市大安區幸安國民小學</v>
      </c>
      <c r="F149" s="14" t="str">
        <f>IFERROR(__xludf.DUMMYFUNCTION("""COMPUTED_VALUE"""),"六年級")</f>
        <v>六年級</v>
      </c>
      <c r="G149" s="14" t="str">
        <f>IFERROR(__xludf.DUMMYFUNCTION("""COMPUTED_VALUE"""),"獎狀")</f>
        <v>獎狀</v>
      </c>
      <c r="H149" s="8"/>
    </row>
    <row r="150">
      <c r="A150" s="18"/>
      <c r="B150" s="14">
        <f>IFERROR(__xludf.DUMMYFUNCTION("""COMPUTED_VALUE"""),424743.0)</f>
        <v>424743</v>
      </c>
      <c r="C150" s="14" t="str">
        <f>IFERROR(__xludf.DUMMYFUNCTION("""COMPUTED_VALUE"""),"李宜宸")</f>
        <v>李宜宸</v>
      </c>
      <c r="D150" s="16" t="str">
        <f>IFERROR(__xludf.DUMMYFUNCTION("""COMPUTED_VALUE"""),"gra*****@hotmail.com")</f>
        <v>gra*****@hotmail.com</v>
      </c>
      <c r="E150" s="17" t="str">
        <f>IFERROR(__xludf.DUMMYFUNCTION("""COMPUTED_VALUE"""),"臺北市大安區幸安國民小學")</f>
        <v>臺北市大安區幸安國民小學</v>
      </c>
      <c r="F150" s="14" t="str">
        <f>IFERROR(__xludf.DUMMYFUNCTION("""COMPUTED_VALUE"""),"六年級")</f>
        <v>六年級</v>
      </c>
      <c r="G150" s="14" t="str">
        <f>IFERROR(__xludf.DUMMYFUNCTION("""COMPUTED_VALUE"""),"●小禮物")</f>
        <v>●小禮物</v>
      </c>
      <c r="H150" s="8"/>
    </row>
    <row r="151">
      <c r="A151" s="18"/>
      <c r="B151" s="14">
        <f>IFERROR(__xludf.DUMMYFUNCTION("""COMPUTED_VALUE"""),1118588.0)</f>
        <v>1118588</v>
      </c>
      <c r="C151" s="14" t="str">
        <f>IFERROR(__xludf.DUMMYFUNCTION("""COMPUTED_VALUE"""),"蔡勻綺")</f>
        <v>蔡勻綺</v>
      </c>
      <c r="D151" s="16" t="str">
        <f>IFERROR(__xludf.DUMMYFUNCTION("""COMPUTED_VALUE"""),"asa*****i@gmail.com")</f>
        <v>asa*****i@gmail.com</v>
      </c>
      <c r="E151" s="17" t="str">
        <f>IFERROR(__xludf.DUMMYFUNCTION("""COMPUTED_VALUE"""),"臺北市大安區金華國民小學")</f>
        <v>臺北市大安區金華國民小學</v>
      </c>
      <c r="F151" s="14" t="str">
        <f>IFERROR(__xludf.DUMMYFUNCTION("""COMPUTED_VALUE"""),"三年級")</f>
        <v>三年級</v>
      </c>
      <c r="G151" s="14" t="str">
        <f>IFERROR(__xludf.DUMMYFUNCTION("""COMPUTED_VALUE"""),"獎狀")</f>
        <v>獎狀</v>
      </c>
      <c r="H151" s="8"/>
    </row>
    <row r="152">
      <c r="A152" s="18"/>
      <c r="B152" s="14">
        <f>IFERROR(__xludf.DUMMYFUNCTION("""COMPUTED_VALUE"""),425245.0)</f>
        <v>425245</v>
      </c>
      <c r="C152" s="14" t="str">
        <f>IFERROR(__xludf.DUMMYFUNCTION("""COMPUTED_VALUE"""),"蔡丞喆")</f>
        <v>蔡丞喆</v>
      </c>
      <c r="D152" s="16" t="str">
        <f>IFERROR(__xludf.DUMMYFUNCTION("""COMPUTED_VALUE"""),"jke*****@gmail.com")</f>
        <v>jke*****@gmail.com</v>
      </c>
      <c r="E152" s="17" t="str">
        <f>IFERROR(__xludf.DUMMYFUNCTION("""COMPUTED_VALUE"""),"臺北市大安區金華國民小學")</f>
        <v>臺北市大安區金華國民小學</v>
      </c>
      <c r="F152" s="14" t="str">
        <f>IFERROR(__xludf.DUMMYFUNCTION("""COMPUTED_VALUE"""),"六年級")</f>
        <v>六年級</v>
      </c>
      <c r="G152" s="14" t="str">
        <f>IFERROR(__xludf.DUMMYFUNCTION("""COMPUTED_VALUE"""),"獎狀")</f>
        <v>獎狀</v>
      </c>
      <c r="H152" s="8"/>
    </row>
    <row r="153">
      <c r="A153" s="18"/>
      <c r="B153" s="14">
        <f>IFERROR(__xludf.DUMMYFUNCTION("""COMPUTED_VALUE"""),685181.0)</f>
        <v>685181</v>
      </c>
      <c r="C153" s="14" t="str">
        <f>IFERROR(__xludf.DUMMYFUNCTION("""COMPUTED_VALUE"""),"鄭至婷")</f>
        <v>鄭至婷</v>
      </c>
      <c r="D153" s="16" t="str">
        <f>IFERROR(__xludf.DUMMYFUNCTION("""COMPUTED_VALUE"""),"s10*****st.taes.tp.edu.tw")</f>
        <v>s10*****st.taes.tp.edu.tw</v>
      </c>
      <c r="E153" s="17" t="str">
        <f>IFERROR(__xludf.DUMMYFUNCTION("""COMPUTED_VALUE"""),"臺北市大安區大安國民小學")</f>
        <v>臺北市大安區大安國民小學</v>
      </c>
      <c r="F153" s="14" t="str">
        <f>IFERROR(__xludf.DUMMYFUNCTION("""COMPUTED_VALUE"""),"五年級")</f>
        <v>五年級</v>
      </c>
      <c r="G153" s="14" t="str">
        <f>IFERROR(__xludf.DUMMYFUNCTION("""COMPUTED_VALUE"""),"●小禮物")</f>
        <v>●小禮物</v>
      </c>
      <c r="H153" s="8"/>
    </row>
    <row r="154">
      <c r="A154" s="18"/>
      <c r="B154" s="14">
        <f>IFERROR(__xludf.DUMMYFUNCTION("""COMPUTED_VALUE"""),466960.0)</f>
        <v>466960</v>
      </c>
      <c r="C154" s="14" t="str">
        <f>IFERROR(__xludf.DUMMYFUNCTION("""COMPUTED_VALUE"""),"謝承諭")</f>
        <v>謝承諭</v>
      </c>
      <c r="D154" s="16" t="str">
        <f>IFERROR(__xludf.DUMMYFUNCTION("""COMPUTED_VALUE"""),"gge*****31.tp@mail.edu.tw")</f>
        <v>gge*****31.tp@mail.edu.tw</v>
      </c>
      <c r="E154" s="17" t="str">
        <f>IFERROR(__xludf.DUMMYFUNCTION("""COMPUTED_VALUE"""),"臺北市大安區公館國民小學")</f>
        <v>臺北市大安區公館國民小學</v>
      </c>
      <c r="F154" s="14" t="str">
        <f>IFERROR(__xludf.DUMMYFUNCTION("""COMPUTED_VALUE"""),"六年級")</f>
        <v>六年級</v>
      </c>
      <c r="G154" s="14" t="str">
        <f>IFERROR(__xludf.DUMMYFUNCTION("""COMPUTED_VALUE"""),"●小禮物")</f>
        <v>●小禮物</v>
      </c>
      <c r="H154" s="8"/>
    </row>
    <row r="155">
      <c r="A155" s="18"/>
      <c r="B155" s="14">
        <f>IFERROR(__xludf.DUMMYFUNCTION("""COMPUTED_VALUE"""),519260.0)</f>
        <v>519260</v>
      </c>
      <c r="C155" s="14" t="str">
        <f>IFERROR(__xludf.DUMMYFUNCTION("""COMPUTED_VALUE"""),"林承諺")</f>
        <v>林承諺</v>
      </c>
      <c r="D155" s="16" t="str">
        <f>IFERROR(__xludf.DUMMYFUNCTION("""COMPUTED_VALUE"""),"gge*****40.tp@mail.edu.tw")</f>
        <v>gge*****40.tp@mail.edu.tw</v>
      </c>
      <c r="E155" s="17" t="str">
        <f>IFERROR(__xludf.DUMMYFUNCTION("""COMPUTED_VALUE"""),"臺北市大安區公館國民小學")</f>
        <v>臺北市大安區公館國民小學</v>
      </c>
      <c r="F155" s="14" t="str">
        <f>IFERROR(__xludf.DUMMYFUNCTION("""COMPUTED_VALUE"""),"六年級")</f>
        <v>六年級</v>
      </c>
      <c r="G155" s="14" t="str">
        <f>IFERROR(__xludf.DUMMYFUNCTION("""COMPUTED_VALUE"""),"獎狀")</f>
        <v>獎狀</v>
      </c>
      <c r="H155" s="8"/>
    </row>
    <row r="156">
      <c r="A156" s="18"/>
      <c r="B156" s="14">
        <f>IFERROR(__xludf.DUMMYFUNCTION("""COMPUTED_VALUE"""),1115946.0)</f>
        <v>1115946</v>
      </c>
      <c r="C156" s="14" t="str">
        <f>IFERROR(__xludf.DUMMYFUNCTION("""COMPUTED_VALUE"""),"張昕霖")</f>
        <v>張昕霖</v>
      </c>
      <c r="D156" s="16" t="str">
        <f>IFERROR(__xludf.DUMMYFUNCTION("""COMPUTED_VALUE"""),"cin*****5@mail.edu.tw")</f>
        <v>cin*****5@mail.edu.tw</v>
      </c>
      <c r="E156" s="17" t="str">
        <f>IFERROR(__xludf.DUMMYFUNCTION("""COMPUTED_VALUE"""),"臺北市大安區仁愛國民小學")</f>
        <v>臺北市大安區仁愛國民小學</v>
      </c>
      <c r="F156" s="14" t="str">
        <f>IFERROR(__xludf.DUMMYFUNCTION("""COMPUTED_VALUE"""),"三年級")</f>
        <v>三年級</v>
      </c>
      <c r="G156" s="14" t="str">
        <f>IFERROR(__xludf.DUMMYFUNCTION("""COMPUTED_VALUE"""),"獎狀")</f>
        <v>獎狀</v>
      </c>
      <c r="H156" s="8"/>
    </row>
    <row r="157">
      <c r="A157" s="18"/>
      <c r="B157" s="14">
        <f>IFERROR(__xludf.DUMMYFUNCTION("""COMPUTED_VALUE"""),746272.0)</f>
        <v>746272</v>
      </c>
      <c r="C157" s="14" t="str">
        <f>IFERROR(__xludf.DUMMYFUNCTION("""COMPUTED_VALUE"""),"陳憲楷")</f>
        <v>陳憲楷</v>
      </c>
      <c r="D157" s="16" t="str">
        <f>IFERROR(__xludf.DUMMYFUNCTION("""COMPUTED_VALUE"""),"108*****tu.japs.tp.edu.tw")</f>
        <v>108*****tu.japs.tp.edu.tw</v>
      </c>
      <c r="E157" s="17" t="str">
        <f>IFERROR(__xludf.DUMMYFUNCTION("""COMPUTED_VALUE"""),"臺北市大安區仁愛國民小學")</f>
        <v>臺北市大安區仁愛國民小學</v>
      </c>
      <c r="F157" s="14" t="str">
        <f>IFERROR(__xludf.DUMMYFUNCTION("""COMPUTED_VALUE"""),"四年級")</f>
        <v>四年級</v>
      </c>
      <c r="G157" s="14" t="str">
        <f>IFERROR(__xludf.DUMMYFUNCTION("""COMPUTED_VALUE"""),"獎狀")</f>
        <v>獎狀</v>
      </c>
      <c r="H157" s="8"/>
    </row>
    <row r="158">
      <c r="A158" s="18"/>
      <c r="B158" s="14">
        <f>IFERROR(__xludf.DUMMYFUNCTION("""COMPUTED_VALUE"""),436353.0)</f>
        <v>436353</v>
      </c>
      <c r="C158" s="14" t="str">
        <f>IFERROR(__xludf.DUMMYFUNCTION("""COMPUTED_VALUE"""),"黃彥淇")</f>
        <v>黃彥淇</v>
      </c>
      <c r="D158" s="16" t="str">
        <f>IFERROR(__xludf.DUMMYFUNCTION("""COMPUTED_VALUE"""),"chi*****ang0807@gmail.com")</f>
        <v>chi*****ang0807@gmail.com</v>
      </c>
      <c r="E158" s="17" t="str">
        <f>IFERROR(__xludf.DUMMYFUNCTION("""COMPUTED_VALUE"""),"臺北市大安區仁愛國民小學")</f>
        <v>臺北市大安區仁愛國民小學</v>
      </c>
      <c r="F158" s="14" t="str">
        <f>IFERROR(__xludf.DUMMYFUNCTION("""COMPUTED_VALUE"""),"五年級")</f>
        <v>五年級</v>
      </c>
      <c r="G158" s="14" t="str">
        <f>IFERROR(__xludf.DUMMYFUNCTION("""COMPUTED_VALUE"""),"●小禮物")</f>
        <v>●小禮物</v>
      </c>
      <c r="H158" s="8"/>
    </row>
    <row r="159">
      <c r="A159" s="18"/>
      <c r="B159" s="14">
        <f>IFERROR(__xludf.DUMMYFUNCTION("""COMPUTED_VALUE"""),862222.0)</f>
        <v>862222</v>
      </c>
      <c r="C159" s="14" t="str">
        <f>IFERROR(__xludf.DUMMYFUNCTION("""COMPUTED_VALUE"""),"呂昕玥")</f>
        <v>呂昕玥</v>
      </c>
      <c r="D159" s="16" t="str">
        <f>IFERROR(__xludf.DUMMYFUNCTION("""COMPUTED_VALUE"""),"107*****tu.japs.tp.edu.tw")</f>
        <v>107*****tu.japs.tp.edu.tw</v>
      </c>
      <c r="E159" s="17" t="str">
        <f>IFERROR(__xludf.DUMMYFUNCTION("""COMPUTED_VALUE"""),"臺北市大安區仁愛國民小學")</f>
        <v>臺北市大安區仁愛國民小學</v>
      </c>
      <c r="F159" s="14" t="str">
        <f>IFERROR(__xludf.DUMMYFUNCTION("""COMPUTED_VALUE"""),"五年級")</f>
        <v>五年級</v>
      </c>
      <c r="G159" s="14" t="str">
        <f>IFERROR(__xludf.DUMMYFUNCTION("""COMPUTED_VALUE"""),"獎狀")</f>
        <v>獎狀</v>
      </c>
      <c r="H159" s="8"/>
    </row>
    <row r="160">
      <c r="A160" s="18"/>
      <c r="B160" s="14">
        <f>IFERROR(__xludf.DUMMYFUNCTION("""COMPUTED_VALUE"""),820519.0)</f>
        <v>820519</v>
      </c>
      <c r="C160" s="14" t="str">
        <f>IFERROR(__xludf.DUMMYFUNCTION("""COMPUTED_VALUE"""),"張晏萌")</f>
        <v>張晏萌</v>
      </c>
      <c r="D160" s="16" t="str">
        <f>IFERROR(__xludf.DUMMYFUNCTION("""COMPUTED_VALUE"""),"s10*****hpees.tp.edu.tw")</f>
        <v>s10*****hpees.tp.edu.tw</v>
      </c>
      <c r="E160" s="17" t="str">
        <f>IFERROR(__xludf.DUMMYFUNCTION("""COMPUTED_VALUE"""),"臺北市和平實驗國民小學")</f>
        <v>臺北市和平實驗國民小學</v>
      </c>
      <c r="F160" s="14" t="str">
        <f>IFERROR(__xludf.DUMMYFUNCTION("""COMPUTED_VALUE"""),"五年級")</f>
        <v>五年級</v>
      </c>
      <c r="G160" s="14" t="str">
        <f>IFERROR(__xludf.DUMMYFUNCTION("""COMPUTED_VALUE"""),"獎狀")</f>
        <v>獎狀</v>
      </c>
      <c r="H160" s="8"/>
    </row>
    <row r="161">
      <c r="A161" s="18"/>
      <c r="B161" s="14">
        <f>IFERROR(__xludf.DUMMYFUNCTION("""COMPUTED_VALUE"""),699090.0)</f>
        <v>699090</v>
      </c>
      <c r="C161" s="14" t="str">
        <f>IFERROR(__xludf.DUMMYFUNCTION("""COMPUTED_VALUE"""),"卓沁瑜")</f>
        <v>卓沁瑜</v>
      </c>
      <c r="D161" s="16" t="str">
        <f>IFERROR(__xludf.DUMMYFUNCTION("""COMPUTED_VALUE"""),"sne*****125@snes.tp.edu.tw")</f>
        <v>sne*****125@snes.tp.edu.tw</v>
      </c>
      <c r="E161" s="17" t="str">
        <f>IFERROR(__xludf.DUMMYFUNCTION("""COMPUTED_VALUE"""),"臺北市大安區新生國民小學")</f>
        <v>臺北市大安區新生國民小學</v>
      </c>
      <c r="F161" s="14" t="str">
        <f>IFERROR(__xludf.DUMMYFUNCTION("""COMPUTED_VALUE"""),"六年級")</f>
        <v>六年級</v>
      </c>
      <c r="G161" s="14" t="str">
        <f>IFERROR(__xludf.DUMMYFUNCTION("""COMPUTED_VALUE"""),"獎狀")</f>
        <v>獎狀</v>
      </c>
      <c r="H161" s="8"/>
    </row>
    <row r="162">
      <c r="A162" s="18"/>
      <c r="B162" s="14">
        <f>IFERROR(__xludf.DUMMYFUNCTION("""COMPUTED_VALUE"""),855052.0)</f>
        <v>855052</v>
      </c>
      <c r="C162" s="14" t="str">
        <f>IFERROR(__xludf.DUMMYFUNCTION("""COMPUTED_VALUE"""),"林昱丞")</f>
        <v>林昱丞</v>
      </c>
      <c r="D162" s="16" t="str">
        <f>IFERROR(__xludf.DUMMYFUNCTION("""COMPUTED_VALUE"""),"ian*****yc@gmail.com")</f>
        <v>ian*****yc@gmail.com</v>
      </c>
      <c r="E162" s="17" t="str">
        <f>IFERROR(__xludf.DUMMYFUNCTION("""COMPUTED_VALUE"""),"臺北市私立新民國民小學")</f>
        <v>臺北市私立新民國民小學</v>
      </c>
      <c r="F162" s="14" t="str">
        <f>IFERROR(__xludf.DUMMYFUNCTION("""COMPUTED_VALUE"""),"四年級")</f>
        <v>四年級</v>
      </c>
      <c r="G162" s="14" t="str">
        <f>IFERROR(__xludf.DUMMYFUNCTION("""COMPUTED_VALUE"""),"獎狀")</f>
        <v>獎狀</v>
      </c>
      <c r="H162" s="8"/>
    </row>
    <row r="163">
      <c r="A163" s="18"/>
      <c r="B163" s="14">
        <f>IFERROR(__xludf.DUMMYFUNCTION("""COMPUTED_VALUE"""),1199455.0)</f>
        <v>1199455</v>
      </c>
      <c r="C163" s="14" t="str">
        <f>IFERROR(__xludf.DUMMYFUNCTION("""COMPUTED_VALUE"""),"施淮媗")</f>
        <v>施淮媗</v>
      </c>
      <c r="D163" s="16" t="str">
        <f>IFERROR(__xludf.DUMMYFUNCTION("""COMPUTED_VALUE"""),"oli*****ih2021@gmail.com")</f>
        <v>oli*****ih2021@gmail.com</v>
      </c>
      <c r="E163" s="17" t="str">
        <f>IFERROR(__xludf.DUMMYFUNCTION("""COMPUTED_VALUE"""),"臺北市私立新民國民小學")</f>
        <v>臺北市私立新民國民小學</v>
      </c>
      <c r="F163" s="14" t="str">
        <f>IFERROR(__xludf.DUMMYFUNCTION("""COMPUTED_VALUE"""),"五年級")</f>
        <v>五年級</v>
      </c>
      <c r="G163" s="14" t="str">
        <f>IFERROR(__xludf.DUMMYFUNCTION("""COMPUTED_VALUE"""),"●小禮物")</f>
        <v>●小禮物</v>
      </c>
      <c r="H163" s="8"/>
    </row>
    <row r="164">
      <c r="A164" s="18"/>
      <c r="B164" s="14">
        <f>IFERROR(__xludf.DUMMYFUNCTION("""COMPUTED_VALUE"""),603747.0)</f>
        <v>603747</v>
      </c>
      <c r="C164" s="14" t="str">
        <f>IFERROR(__xludf.DUMMYFUNCTION("""COMPUTED_VALUE"""),"林彥紳")</f>
        <v>林彥紳</v>
      </c>
      <c r="D164" s="16" t="str">
        <f>IFERROR(__xludf.DUMMYFUNCTION("""COMPUTED_VALUE"""),"ens*****twn@gmail.com")</f>
        <v>ens*****twn@gmail.com</v>
      </c>
      <c r="E164" s="17" t="str">
        <f>IFERROR(__xludf.DUMMYFUNCTION("""COMPUTED_VALUE"""),"臺北市私立新民國民小學")</f>
        <v>臺北市私立新民國民小學</v>
      </c>
      <c r="F164" s="14" t="str">
        <f>IFERROR(__xludf.DUMMYFUNCTION("""COMPUTED_VALUE"""),"五年級")</f>
        <v>五年級</v>
      </c>
      <c r="G164" s="14" t="str">
        <f>IFERROR(__xludf.DUMMYFUNCTION("""COMPUTED_VALUE"""),"獎狀")</f>
        <v>獎狀</v>
      </c>
      <c r="H164" s="8"/>
    </row>
    <row r="165">
      <c r="A165" s="18"/>
      <c r="B165" s="14">
        <f>IFERROR(__xludf.DUMMYFUNCTION("""COMPUTED_VALUE"""),1015460.0)</f>
        <v>1015460</v>
      </c>
      <c r="C165" s="14" t="str">
        <f>IFERROR(__xludf.DUMMYFUNCTION("""COMPUTED_VALUE"""),"宋星澈")</f>
        <v>宋星澈</v>
      </c>
      <c r="D165" s="16" t="str">
        <f>IFERROR(__xludf.DUMMYFUNCTION("""COMPUTED_VALUE"""),"ayu*****o@yahoo.com.tw")</f>
        <v>ayu*****o@yahoo.com.tw</v>
      </c>
      <c r="E165" s="17" t="str">
        <f>IFERROR(__xludf.DUMMYFUNCTION("""COMPUTED_VALUE"""),"臺北市大安區龍安國民小學")</f>
        <v>臺北市大安區龍安國民小學</v>
      </c>
      <c r="F165" s="14" t="str">
        <f>IFERROR(__xludf.DUMMYFUNCTION("""COMPUTED_VALUE"""),"四年級")</f>
        <v>四年級</v>
      </c>
      <c r="G165" s="14" t="str">
        <f>IFERROR(__xludf.DUMMYFUNCTION("""COMPUTED_VALUE"""),"●小禮物")</f>
        <v>●小禮物</v>
      </c>
      <c r="H165" s="8"/>
    </row>
    <row r="166">
      <c r="A166" s="18"/>
      <c r="B166" s="14">
        <f>IFERROR(__xludf.DUMMYFUNCTION("""COMPUTED_VALUE"""),883398.0)</f>
        <v>883398</v>
      </c>
      <c r="C166" s="14" t="str">
        <f>IFERROR(__xludf.DUMMYFUNCTION("""COMPUTED_VALUE"""),"劉婕羚")</f>
        <v>劉婕羚</v>
      </c>
      <c r="D166" s="16" t="str">
        <f>IFERROR(__xludf.DUMMYFUNCTION("""COMPUTED_VALUE"""),"lae*****182@mail.edu.tw")</f>
        <v>lae*****182@mail.edu.tw</v>
      </c>
      <c r="E166" s="17" t="str">
        <f>IFERROR(__xludf.DUMMYFUNCTION("""COMPUTED_VALUE"""),"臺北市大安區龍安國民小學")</f>
        <v>臺北市大安區龍安國民小學</v>
      </c>
      <c r="F166" s="14" t="str">
        <f>IFERROR(__xludf.DUMMYFUNCTION("""COMPUTED_VALUE"""),"六年級")</f>
        <v>六年級</v>
      </c>
      <c r="G166" s="14" t="str">
        <f>IFERROR(__xludf.DUMMYFUNCTION("""COMPUTED_VALUE"""),"●小禮物")</f>
        <v>●小禮物</v>
      </c>
      <c r="H166" s="8"/>
    </row>
    <row r="167">
      <c r="A167" s="18"/>
      <c r="B167" s="14">
        <f>IFERROR(__xludf.DUMMYFUNCTION("""COMPUTED_VALUE"""),1186986.0)</f>
        <v>1186986</v>
      </c>
      <c r="C167" s="14" t="str">
        <f>IFERROR(__xludf.DUMMYFUNCTION("""COMPUTED_VALUE"""),"張予星")</f>
        <v>張予星</v>
      </c>
      <c r="D167" s="16" t="str">
        <f>IFERROR(__xludf.DUMMYFUNCTION("""COMPUTED_VALUE"""),"s10*****stds.ntueees.tp.edu.tw")</f>
        <v>s10*****stds.ntueees.tp.edu.tw</v>
      </c>
      <c r="E167" s="17" t="str">
        <f>IFERROR(__xludf.DUMMYFUNCTION("""COMPUTED_VALUE"""),"國立臺北教育大學附設實驗國民小學")</f>
        <v>國立臺北教育大學附設實驗國民小學</v>
      </c>
      <c r="F167" s="14" t="str">
        <f>IFERROR(__xludf.DUMMYFUNCTION("""COMPUTED_VALUE"""),"三年級")</f>
        <v>三年級</v>
      </c>
      <c r="G167" s="14" t="str">
        <f>IFERROR(__xludf.DUMMYFUNCTION("""COMPUTED_VALUE"""),"獎狀")</f>
        <v>獎狀</v>
      </c>
      <c r="H167" s="8"/>
    </row>
    <row r="168">
      <c r="A168" s="18"/>
      <c r="B168" s="14">
        <f>IFERROR(__xludf.DUMMYFUNCTION("""COMPUTED_VALUE"""),549543.0)</f>
        <v>549543</v>
      </c>
      <c r="C168" s="14" t="str">
        <f>IFERROR(__xludf.DUMMYFUNCTION("""COMPUTED_VALUE"""),"莊家馨")</f>
        <v>莊家馨</v>
      </c>
      <c r="D168" s="16" t="str">
        <f>IFERROR(__xludf.DUMMYFUNCTION("""COMPUTED_VALUE"""),"s10*****stds.ntueees.tp.edu.tw")</f>
        <v>s10*****stds.ntueees.tp.edu.tw</v>
      </c>
      <c r="E168" s="17" t="str">
        <f>IFERROR(__xludf.DUMMYFUNCTION("""COMPUTED_VALUE"""),"國立臺北教育大學附設實驗國民小學")</f>
        <v>國立臺北教育大學附設實驗國民小學</v>
      </c>
      <c r="F168" s="14" t="str">
        <f>IFERROR(__xludf.DUMMYFUNCTION("""COMPUTED_VALUE"""),"六年級")</f>
        <v>六年級</v>
      </c>
      <c r="G168" s="14" t="str">
        <f>IFERROR(__xludf.DUMMYFUNCTION("""COMPUTED_VALUE"""),"獎狀")</f>
        <v>獎狀</v>
      </c>
      <c r="H168" s="8"/>
    </row>
    <row r="169">
      <c r="A169" s="18"/>
      <c r="B169" s="14">
        <f>IFERROR(__xludf.DUMMYFUNCTION("""COMPUTED_VALUE"""),1183597.0)</f>
        <v>1183597</v>
      </c>
      <c r="C169" s="14" t="str">
        <f>IFERROR(__xludf.DUMMYFUNCTION("""COMPUTED_VALUE"""),"蘇以軍")</f>
        <v>蘇以軍</v>
      </c>
      <c r="D169" s="16" t="str">
        <f>IFERROR(__xludf.DUMMYFUNCTION("""COMPUTED_VALUE"""),"ntu*****06128.tp@mail.edu.tw")</f>
        <v>ntu*****06128.tp@mail.edu.tw</v>
      </c>
      <c r="E169" s="17" t="str">
        <f>IFERROR(__xludf.DUMMYFUNCTION("""COMPUTED_VALUE"""),"國立臺北教育大學附設實驗國民小學")</f>
        <v>國立臺北教育大學附設實驗國民小學</v>
      </c>
      <c r="F169" s="14" t="str">
        <f>IFERROR(__xludf.DUMMYFUNCTION("""COMPUTED_VALUE"""),"六年級")</f>
        <v>六年級</v>
      </c>
      <c r="G169" s="14" t="str">
        <f>IFERROR(__xludf.DUMMYFUNCTION("""COMPUTED_VALUE"""),"獎狀")</f>
        <v>獎狀</v>
      </c>
      <c r="H169" s="8"/>
    </row>
    <row r="170">
      <c r="A170" s="18"/>
      <c r="B170" s="14">
        <f>IFERROR(__xludf.DUMMYFUNCTION("""COMPUTED_VALUE"""),1129817.0)</f>
        <v>1129817</v>
      </c>
      <c r="C170" s="14" t="str">
        <f>IFERROR(__xludf.DUMMYFUNCTION("""COMPUTED_VALUE"""),"周定宸")</f>
        <v>周定宸</v>
      </c>
      <c r="D170" s="16" t="str">
        <f>IFERROR(__xludf.DUMMYFUNCTION("""COMPUTED_VALUE"""),"cur*****ou0922@gmail.com")</f>
        <v>cur*****ou0922@gmail.com</v>
      </c>
      <c r="E170" s="17" t="str">
        <f>IFERROR(__xludf.DUMMYFUNCTION("""COMPUTED_VALUE"""),"臺北市大安區建安國民小學")</f>
        <v>臺北市大安區建安國民小學</v>
      </c>
      <c r="F170" s="14" t="str">
        <f>IFERROR(__xludf.DUMMYFUNCTION("""COMPUTED_VALUE"""),"三年級")</f>
        <v>三年級</v>
      </c>
      <c r="G170" s="14" t="str">
        <f>IFERROR(__xludf.DUMMYFUNCTION("""COMPUTED_VALUE"""),"獎狀")</f>
        <v>獎狀</v>
      </c>
      <c r="H170" s="8"/>
    </row>
    <row r="171">
      <c r="A171" s="18"/>
      <c r="B171" s="14">
        <f>IFERROR(__xludf.DUMMYFUNCTION("""COMPUTED_VALUE"""),736352.0)</f>
        <v>736352</v>
      </c>
      <c r="C171" s="14" t="str">
        <f>IFERROR(__xludf.DUMMYFUNCTION("""COMPUTED_VALUE"""),"鄧羽彤")</f>
        <v>鄧羽彤</v>
      </c>
      <c r="D171" s="16" t="str">
        <f>IFERROR(__xludf.DUMMYFUNCTION("""COMPUTED_VALUE"""),"106*****ups.tp.edu.tw")</f>
        <v>106*****ups.tp.edu.tw</v>
      </c>
      <c r="E171" s="17" t="str">
        <f>IFERROR(__xludf.DUMMYFUNCTION("""COMPUTED_VALUE"""),"臺北市萬華區西園國民小學")</f>
        <v>臺北市萬華區西園國民小學</v>
      </c>
      <c r="F171" s="14" t="str">
        <f>IFERROR(__xludf.DUMMYFUNCTION("""COMPUTED_VALUE"""),"六年級")</f>
        <v>六年級</v>
      </c>
      <c r="G171" s="14" t="str">
        <f>IFERROR(__xludf.DUMMYFUNCTION("""COMPUTED_VALUE"""),"★禮券$200")</f>
        <v>★禮券$200</v>
      </c>
      <c r="H171" s="8"/>
    </row>
    <row r="172">
      <c r="A172" s="18"/>
      <c r="B172" s="14">
        <f>IFERROR(__xludf.DUMMYFUNCTION("""COMPUTED_VALUE"""),243493.0)</f>
        <v>243493</v>
      </c>
      <c r="C172" s="14" t="str">
        <f>IFERROR(__xludf.DUMMYFUNCTION("""COMPUTED_VALUE"""),"魯彥和")</f>
        <v>魯彥和</v>
      </c>
      <c r="D172" s="16" t="str">
        <f>IFERROR(__xludf.DUMMYFUNCTION("""COMPUTED_VALUE"""),"bab*****0508@gmail.com")</f>
        <v>bab*****0508@gmail.com</v>
      </c>
      <c r="E172" s="17" t="str">
        <f>IFERROR(__xludf.DUMMYFUNCTION("""COMPUTED_VALUE"""),"臺北市萬華區西園國民小學")</f>
        <v>臺北市萬華區西園國民小學</v>
      </c>
      <c r="F172" s="14" t="str">
        <f>IFERROR(__xludf.DUMMYFUNCTION("""COMPUTED_VALUE"""),"六年級")</f>
        <v>六年級</v>
      </c>
      <c r="G172" s="14" t="str">
        <f>IFERROR(__xludf.DUMMYFUNCTION("""COMPUTED_VALUE"""),"獎狀")</f>
        <v>獎狀</v>
      </c>
      <c r="H172" s="8"/>
    </row>
    <row r="173">
      <c r="A173" s="18"/>
      <c r="B173" s="14">
        <f>IFERROR(__xludf.DUMMYFUNCTION("""COMPUTED_VALUE"""),537646.0)</f>
        <v>537646</v>
      </c>
      <c r="C173" s="14" t="str">
        <f>IFERROR(__xludf.DUMMYFUNCTION("""COMPUTED_VALUE"""),"王昊宸")</f>
        <v>王昊宸</v>
      </c>
      <c r="D173" s="16" t="str">
        <f>IFERROR(__xludf.DUMMYFUNCTION("""COMPUTED_VALUE"""),"dor*****g1126@gmail.com")</f>
        <v>dor*****g1126@gmail.com</v>
      </c>
      <c r="E173" s="17" t="str">
        <f>IFERROR(__xludf.DUMMYFUNCTION("""COMPUTED_VALUE"""),"臺北市萬華區東園國民小學")</f>
        <v>臺北市萬華區東園國民小學</v>
      </c>
      <c r="F173" s="14" t="str">
        <f>IFERROR(__xludf.DUMMYFUNCTION("""COMPUTED_VALUE"""),"五年級")</f>
        <v>五年級</v>
      </c>
      <c r="G173" s="14" t="str">
        <f>IFERROR(__xludf.DUMMYFUNCTION("""COMPUTED_VALUE"""),"●小禮物")</f>
        <v>●小禮物</v>
      </c>
      <c r="H173" s="8"/>
    </row>
    <row r="174">
      <c r="A174" s="18"/>
      <c r="B174" s="14">
        <f>IFERROR(__xludf.DUMMYFUNCTION("""COMPUTED_VALUE"""),972088.0)</f>
        <v>972088</v>
      </c>
      <c r="C174" s="14" t="str">
        <f>IFERROR(__xludf.DUMMYFUNCTION("""COMPUTED_VALUE"""),"陳楷崴")</f>
        <v>陳楷崴</v>
      </c>
      <c r="D174" s="16" t="str">
        <f>IFERROR(__xludf.DUMMYFUNCTION("""COMPUTED_VALUE"""),"kai*****03@gmail.com")</f>
        <v>kai*****03@gmail.com</v>
      </c>
      <c r="E174" s="17" t="str">
        <f>IFERROR(__xludf.DUMMYFUNCTION("""COMPUTED_VALUE"""),"臺北市萬華區西門國民小學")</f>
        <v>臺北市萬華區西門國民小學</v>
      </c>
      <c r="F174" s="14" t="str">
        <f>IFERROR(__xludf.DUMMYFUNCTION("""COMPUTED_VALUE"""),"五年級")</f>
        <v>五年級</v>
      </c>
      <c r="G174" s="14" t="str">
        <f>IFERROR(__xludf.DUMMYFUNCTION("""COMPUTED_VALUE"""),"●小禮物")</f>
        <v>●小禮物</v>
      </c>
      <c r="H174" s="8"/>
    </row>
    <row r="175">
      <c r="A175" s="18"/>
      <c r="B175" s="14">
        <f>IFERROR(__xludf.DUMMYFUNCTION("""COMPUTED_VALUE"""),479466.0)</f>
        <v>479466</v>
      </c>
      <c r="C175" s="14" t="str">
        <f>IFERROR(__xludf.DUMMYFUNCTION("""COMPUTED_VALUE"""),"廖奕翔")</f>
        <v>廖奕翔</v>
      </c>
      <c r="D175" s="16" t="str">
        <f>IFERROR(__xludf.DUMMYFUNCTION("""COMPUTED_VALUE"""),"hme*****71@mail.edu.tw")</f>
        <v>hme*****71@mail.edu.tw</v>
      </c>
      <c r="E175" s="17" t="str">
        <f>IFERROR(__xludf.DUMMYFUNCTION("""COMPUTED_VALUE"""),"臺北市萬華區西門國民小學")</f>
        <v>臺北市萬華區西門國民小學</v>
      </c>
      <c r="F175" s="14" t="str">
        <f>IFERROR(__xludf.DUMMYFUNCTION("""COMPUTED_VALUE"""),"六年級")</f>
        <v>六年級</v>
      </c>
      <c r="G175" s="14" t="str">
        <f>IFERROR(__xludf.DUMMYFUNCTION("""COMPUTED_VALUE"""),"●小禮物")</f>
        <v>●小禮物</v>
      </c>
      <c r="H175" s="8"/>
    </row>
    <row r="176">
      <c r="A176" s="18"/>
      <c r="B176" s="14">
        <f>IFERROR(__xludf.DUMMYFUNCTION("""COMPUTED_VALUE"""),721799.0)</f>
        <v>721799</v>
      </c>
      <c r="C176" s="14" t="str">
        <f>IFERROR(__xludf.DUMMYFUNCTION("""COMPUTED_VALUE"""),"許善媛")</f>
        <v>許善媛</v>
      </c>
      <c r="D176" s="16" t="str">
        <f>IFERROR(__xludf.DUMMYFUNCTION("""COMPUTED_VALUE"""),"soe*****65.belle@mail.edu.tw")</f>
        <v>soe*****65.belle@mail.edu.tw</v>
      </c>
      <c r="E176" s="17" t="str">
        <f>IFERROR(__xludf.DUMMYFUNCTION("""COMPUTED_VALUE"""),"臺北市萬華區新和國民小學")</f>
        <v>臺北市萬華區新和國民小學</v>
      </c>
      <c r="F176" s="14" t="str">
        <f>IFERROR(__xludf.DUMMYFUNCTION("""COMPUTED_VALUE"""),"五年級")</f>
        <v>五年級</v>
      </c>
      <c r="G176" s="14" t="str">
        <f>IFERROR(__xludf.DUMMYFUNCTION("""COMPUTED_VALUE"""),"獎狀")</f>
        <v>獎狀</v>
      </c>
      <c r="H176" s="8"/>
    </row>
    <row r="177">
      <c r="A177" s="18"/>
      <c r="B177" s="14">
        <f>IFERROR(__xludf.DUMMYFUNCTION("""COMPUTED_VALUE"""),870893.0)</f>
        <v>870893</v>
      </c>
      <c r="C177" s="14" t="str">
        <f>IFERROR(__xludf.DUMMYFUNCTION("""COMPUTED_VALUE"""),"簡楷峰")</f>
        <v>簡楷峰</v>
      </c>
      <c r="D177" s="16" t="str">
        <f>IFERROR(__xludf.DUMMYFUNCTION("""COMPUTED_VALUE"""),"lse*****041.tp@mail.edu.tw")</f>
        <v>lse*****041.tp@mail.edu.tw</v>
      </c>
      <c r="E177" s="17" t="str">
        <f>IFERROR(__xludf.DUMMYFUNCTION("""COMPUTED_VALUE"""),"臺北市萬華區龍山國民小學")</f>
        <v>臺北市萬華區龍山國民小學</v>
      </c>
      <c r="F177" s="14" t="str">
        <f>IFERROR(__xludf.DUMMYFUNCTION("""COMPUTED_VALUE"""),"四年級")</f>
        <v>四年級</v>
      </c>
      <c r="G177" s="14" t="str">
        <f>IFERROR(__xludf.DUMMYFUNCTION("""COMPUTED_VALUE"""),"獎狀")</f>
        <v>獎狀</v>
      </c>
      <c r="H177" s="8"/>
    </row>
    <row r="178">
      <c r="A178" s="18"/>
      <c r="B178" s="14">
        <f>IFERROR(__xludf.DUMMYFUNCTION("""COMPUTED_VALUE"""),682077.0)</f>
        <v>682077</v>
      </c>
      <c r="C178" s="14" t="str">
        <f>IFERROR(__xludf.DUMMYFUNCTION("""COMPUTED_VALUE"""),"王美蒂")</f>
        <v>王美蒂</v>
      </c>
      <c r="D178" s="16" t="str">
        <f>IFERROR(__xludf.DUMMYFUNCTION("""COMPUTED_VALUE"""),"syp*****43@syps.tp.edu.tw")</f>
        <v>syp*****43@syps.tp.edu.tw</v>
      </c>
      <c r="E178" s="17" t="str">
        <f>IFERROR(__xludf.DUMMYFUNCTION("""COMPUTED_VALUE"""),"臺北市萬華區雙園國民小學")</f>
        <v>臺北市萬華區雙園國民小學</v>
      </c>
      <c r="F178" s="14" t="str">
        <f>IFERROR(__xludf.DUMMYFUNCTION("""COMPUTED_VALUE"""),"六年級")</f>
        <v>六年級</v>
      </c>
      <c r="G178" s="14" t="str">
        <f>IFERROR(__xludf.DUMMYFUNCTION("""COMPUTED_VALUE"""),"●小禮物")</f>
        <v>●小禮物</v>
      </c>
      <c r="H178" s="8"/>
    </row>
    <row r="179">
      <c r="A179" s="18"/>
      <c r="B179" s="14">
        <f>IFERROR(__xludf.DUMMYFUNCTION("""COMPUTED_VALUE"""),420807.0)</f>
        <v>420807</v>
      </c>
      <c r="C179" s="14" t="str">
        <f>IFERROR(__xludf.DUMMYFUNCTION("""COMPUTED_VALUE"""),"李育安")</f>
        <v>李育安</v>
      </c>
      <c r="D179" s="16" t="str">
        <f>IFERROR(__xludf.DUMMYFUNCTION("""COMPUTED_VALUE"""),"syp*****03@syps.tp.edu.tw")</f>
        <v>syp*****03@syps.tp.edu.tw</v>
      </c>
      <c r="E179" s="17" t="str">
        <f>IFERROR(__xludf.DUMMYFUNCTION("""COMPUTED_VALUE"""),"臺北市萬華區雙園國民小學")</f>
        <v>臺北市萬華區雙園國民小學</v>
      </c>
      <c r="F179" s="14" t="str">
        <f>IFERROR(__xludf.DUMMYFUNCTION("""COMPUTED_VALUE"""),"六年級")</f>
        <v>六年級</v>
      </c>
      <c r="G179" s="14" t="str">
        <f>IFERROR(__xludf.DUMMYFUNCTION("""COMPUTED_VALUE"""),"●小禮物")</f>
        <v>●小禮物</v>
      </c>
      <c r="H179" s="8"/>
    </row>
    <row r="180">
      <c r="A180" s="18"/>
      <c r="B180" s="14">
        <f>IFERROR(__xludf.DUMMYFUNCTION("""COMPUTED_VALUE"""),804586.0)</f>
        <v>804586</v>
      </c>
      <c r="C180" s="14" t="str">
        <f>IFERROR(__xludf.DUMMYFUNCTION("""COMPUTED_VALUE"""),"郭紘呈")</f>
        <v>郭紘呈</v>
      </c>
      <c r="D180" s="16" t="str">
        <f>IFERROR(__xludf.DUMMYFUNCTION("""COMPUTED_VALUE"""),"syp*****94@syps.tp.edu.tw")</f>
        <v>syp*****94@syps.tp.edu.tw</v>
      </c>
      <c r="E180" s="17" t="str">
        <f>IFERROR(__xludf.DUMMYFUNCTION("""COMPUTED_VALUE"""),"臺北市萬華區雙園國民小學")</f>
        <v>臺北市萬華區雙園國民小學</v>
      </c>
      <c r="F180" s="14" t="str">
        <f>IFERROR(__xludf.DUMMYFUNCTION("""COMPUTED_VALUE"""),"六年級")</f>
        <v>六年級</v>
      </c>
      <c r="G180" s="14" t="str">
        <f>IFERROR(__xludf.DUMMYFUNCTION("""COMPUTED_VALUE"""),"●小禮物")</f>
        <v>●小禮物</v>
      </c>
      <c r="H180" s="8"/>
    </row>
    <row r="181">
      <c r="A181" s="18"/>
      <c r="B181" s="14">
        <f>IFERROR(__xludf.DUMMYFUNCTION("""COMPUTED_VALUE"""),420843.0)</f>
        <v>420843</v>
      </c>
      <c r="C181" s="14" t="str">
        <f>IFERROR(__xludf.DUMMYFUNCTION("""COMPUTED_VALUE"""),"陳妍希")</f>
        <v>陳妍希</v>
      </c>
      <c r="D181" s="16" t="str">
        <f>IFERROR(__xludf.DUMMYFUNCTION("""COMPUTED_VALUE"""),"syp*****05@syps.tp.edu.tw")</f>
        <v>syp*****05@syps.tp.edu.tw</v>
      </c>
      <c r="E181" s="17" t="str">
        <f>IFERROR(__xludf.DUMMYFUNCTION("""COMPUTED_VALUE"""),"臺北市萬華區雙園國民小學")</f>
        <v>臺北市萬華區雙園國民小學</v>
      </c>
      <c r="F181" s="14" t="str">
        <f>IFERROR(__xludf.DUMMYFUNCTION("""COMPUTED_VALUE"""),"六年級")</f>
        <v>六年級</v>
      </c>
      <c r="G181" s="14" t="str">
        <f>IFERROR(__xludf.DUMMYFUNCTION("""COMPUTED_VALUE"""),"●小禮物")</f>
        <v>●小禮物</v>
      </c>
      <c r="H181" s="8"/>
    </row>
    <row r="182">
      <c r="A182" s="18"/>
      <c r="B182" s="14">
        <f>IFERROR(__xludf.DUMMYFUNCTION("""COMPUTED_VALUE"""),718895.0)</f>
        <v>718895</v>
      </c>
      <c r="C182" s="14" t="str">
        <f>IFERROR(__xludf.DUMMYFUNCTION("""COMPUTED_VALUE"""),"章禮安")</f>
        <v>章禮安</v>
      </c>
      <c r="D182" s="16" t="str">
        <f>IFERROR(__xludf.DUMMYFUNCTION("""COMPUTED_VALUE"""),"syp*****06@syps.tp.edu.tw")</f>
        <v>syp*****06@syps.tp.edu.tw</v>
      </c>
      <c r="E182" s="17" t="str">
        <f>IFERROR(__xludf.DUMMYFUNCTION("""COMPUTED_VALUE"""),"臺北市萬華區雙園國民小學")</f>
        <v>臺北市萬華區雙園國民小學</v>
      </c>
      <c r="F182" s="14" t="str">
        <f>IFERROR(__xludf.DUMMYFUNCTION("""COMPUTED_VALUE"""),"六年級")</f>
        <v>六年級</v>
      </c>
      <c r="G182" s="14" t="str">
        <f>IFERROR(__xludf.DUMMYFUNCTION("""COMPUTED_VALUE"""),"●小禮物")</f>
        <v>●小禮物</v>
      </c>
      <c r="H182" s="8"/>
    </row>
    <row r="183">
      <c r="A183" s="18"/>
      <c r="B183" s="14">
        <f>IFERROR(__xludf.DUMMYFUNCTION("""COMPUTED_VALUE"""),795559.0)</f>
        <v>795559</v>
      </c>
      <c r="C183" s="14" t="str">
        <f>IFERROR(__xludf.DUMMYFUNCTION("""COMPUTED_VALUE"""),"黃瑀晨")</f>
        <v>黃瑀晨</v>
      </c>
      <c r="D183" s="16" t="str">
        <f>IFERROR(__xludf.DUMMYFUNCTION("""COMPUTED_VALUE"""),"syp*****69@syps.tp.edu.tw")</f>
        <v>syp*****69@syps.tp.edu.tw</v>
      </c>
      <c r="E183" s="17" t="str">
        <f>IFERROR(__xludf.DUMMYFUNCTION("""COMPUTED_VALUE"""),"臺北市萬華區雙園國民小學")</f>
        <v>臺北市萬華區雙園國民小學</v>
      </c>
      <c r="F183" s="14" t="str">
        <f>IFERROR(__xludf.DUMMYFUNCTION("""COMPUTED_VALUE"""),"六年級")</f>
        <v>六年級</v>
      </c>
      <c r="G183" s="14" t="str">
        <f>IFERROR(__xludf.DUMMYFUNCTION("""COMPUTED_VALUE"""),"●小禮物")</f>
        <v>●小禮物</v>
      </c>
      <c r="H183" s="8"/>
    </row>
    <row r="184">
      <c r="A184" s="18"/>
      <c r="B184" s="14">
        <f>IFERROR(__xludf.DUMMYFUNCTION("""COMPUTED_VALUE"""),420811.0)</f>
        <v>420811</v>
      </c>
      <c r="C184" s="14" t="str">
        <f>IFERROR(__xludf.DUMMYFUNCTION("""COMPUTED_VALUE"""),"顏巧絜")</f>
        <v>顏巧絜</v>
      </c>
      <c r="D184" s="16" t="str">
        <f>IFERROR(__xludf.DUMMYFUNCTION("""COMPUTED_VALUE"""),"syp*****59@syps.tp.edu.tw")</f>
        <v>syp*****59@syps.tp.edu.tw</v>
      </c>
      <c r="E184" s="17" t="str">
        <f>IFERROR(__xludf.DUMMYFUNCTION("""COMPUTED_VALUE"""),"臺北市萬華區雙園國民小學")</f>
        <v>臺北市萬華區雙園國民小學</v>
      </c>
      <c r="F184" s="14" t="str">
        <f>IFERROR(__xludf.DUMMYFUNCTION("""COMPUTED_VALUE"""),"六年級")</f>
        <v>六年級</v>
      </c>
      <c r="G184" s="14" t="str">
        <f>IFERROR(__xludf.DUMMYFUNCTION("""COMPUTED_VALUE"""),"●小禮物")</f>
        <v>●小禮物</v>
      </c>
      <c r="H184" s="8"/>
    </row>
    <row r="185">
      <c r="A185" s="18"/>
      <c r="B185" s="14">
        <f>IFERROR(__xludf.DUMMYFUNCTION("""COMPUTED_VALUE"""),719234.0)</f>
        <v>719234</v>
      </c>
      <c r="C185" s="14" t="str">
        <f>IFERROR(__xludf.DUMMYFUNCTION("""COMPUTED_VALUE"""),"王譽捷")</f>
        <v>王譽捷</v>
      </c>
      <c r="D185" s="16" t="str">
        <f>IFERROR(__xludf.DUMMYFUNCTION("""COMPUTED_VALUE"""),"syp*****95@syps.tp.edu.tw")</f>
        <v>syp*****95@syps.tp.edu.tw</v>
      </c>
      <c r="E185" s="17" t="str">
        <f>IFERROR(__xludf.DUMMYFUNCTION("""COMPUTED_VALUE"""),"臺北市萬華區雙園國民小學")</f>
        <v>臺北市萬華區雙園國民小學</v>
      </c>
      <c r="F185" s="14" t="str">
        <f>IFERROR(__xludf.DUMMYFUNCTION("""COMPUTED_VALUE"""),"六年級")</f>
        <v>六年級</v>
      </c>
      <c r="G185" s="14" t="str">
        <f>IFERROR(__xludf.DUMMYFUNCTION("""COMPUTED_VALUE"""),"獎狀")</f>
        <v>獎狀</v>
      </c>
      <c r="H185" s="8"/>
    </row>
    <row r="186">
      <c r="A186" s="18"/>
      <c r="B186" s="14">
        <f>IFERROR(__xludf.DUMMYFUNCTION("""COMPUTED_VALUE"""),420817.0)</f>
        <v>420817</v>
      </c>
      <c r="C186" s="14" t="str">
        <f>IFERROR(__xludf.DUMMYFUNCTION("""COMPUTED_VALUE"""),"江亞軒")</f>
        <v>江亞軒</v>
      </c>
      <c r="D186" s="16" t="str">
        <f>IFERROR(__xludf.DUMMYFUNCTION("""COMPUTED_VALUE"""),"syp*****26@syps.tp.edu.tw")</f>
        <v>syp*****26@syps.tp.edu.tw</v>
      </c>
      <c r="E186" s="17" t="str">
        <f>IFERROR(__xludf.DUMMYFUNCTION("""COMPUTED_VALUE"""),"臺北市萬華區雙園國民小學")</f>
        <v>臺北市萬華區雙園國民小學</v>
      </c>
      <c r="F186" s="14" t="str">
        <f>IFERROR(__xludf.DUMMYFUNCTION("""COMPUTED_VALUE"""),"六年級")</f>
        <v>六年級</v>
      </c>
      <c r="G186" s="14" t="str">
        <f>IFERROR(__xludf.DUMMYFUNCTION("""COMPUTED_VALUE"""),"獎狀")</f>
        <v>獎狀</v>
      </c>
      <c r="H186" s="8"/>
    </row>
    <row r="187">
      <c r="A187" s="18"/>
      <c r="B187" s="14">
        <f>IFERROR(__xludf.DUMMYFUNCTION("""COMPUTED_VALUE"""),420822.0)</f>
        <v>420822</v>
      </c>
      <c r="C187" s="14" t="str">
        <f>IFERROR(__xludf.DUMMYFUNCTION("""COMPUTED_VALUE"""),"吳振愷")</f>
        <v>吳振愷</v>
      </c>
      <c r="D187" s="16" t="str">
        <f>IFERROR(__xludf.DUMMYFUNCTION("""COMPUTED_VALUE"""),"syp*****78@syps.tp.edu.tw")</f>
        <v>syp*****78@syps.tp.edu.tw</v>
      </c>
      <c r="E187" s="17" t="str">
        <f>IFERROR(__xludf.DUMMYFUNCTION("""COMPUTED_VALUE"""),"臺北市萬華區雙園國民小學")</f>
        <v>臺北市萬華區雙園國民小學</v>
      </c>
      <c r="F187" s="14" t="str">
        <f>IFERROR(__xludf.DUMMYFUNCTION("""COMPUTED_VALUE"""),"六年級")</f>
        <v>六年級</v>
      </c>
      <c r="G187" s="14" t="str">
        <f>IFERROR(__xludf.DUMMYFUNCTION("""COMPUTED_VALUE"""),"獎狀")</f>
        <v>獎狀</v>
      </c>
      <c r="H187" s="8"/>
    </row>
    <row r="188">
      <c r="A188" s="18"/>
      <c r="B188" s="14">
        <f>IFERROR(__xludf.DUMMYFUNCTION("""COMPUTED_VALUE"""),420802.0)</f>
        <v>420802</v>
      </c>
      <c r="C188" s="14" t="str">
        <f>IFERROR(__xludf.DUMMYFUNCTION("""COMPUTED_VALUE"""),"呂權哲")</f>
        <v>呂權哲</v>
      </c>
      <c r="D188" s="16" t="str">
        <f>IFERROR(__xludf.DUMMYFUNCTION("""COMPUTED_VALUE"""),"syp*****31@syps.tp.edu.tw")</f>
        <v>syp*****31@syps.tp.edu.tw</v>
      </c>
      <c r="E188" s="17" t="str">
        <f>IFERROR(__xludf.DUMMYFUNCTION("""COMPUTED_VALUE"""),"臺北市萬華區雙園國民小學")</f>
        <v>臺北市萬華區雙園國民小學</v>
      </c>
      <c r="F188" s="14" t="str">
        <f>IFERROR(__xludf.DUMMYFUNCTION("""COMPUTED_VALUE"""),"六年級")</f>
        <v>六年級</v>
      </c>
      <c r="G188" s="14" t="str">
        <f>IFERROR(__xludf.DUMMYFUNCTION("""COMPUTED_VALUE"""),"獎狀")</f>
        <v>獎狀</v>
      </c>
      <c r="H188" s="8"/>
    </row>
    <row r="189">
      <c r="A189" s="18"/>
      <c r="B189" s="14">
        <f>IFERROR(__xludf.DUMMYFUNCTION("""COMPUTED_VALUE"""),795562.0)</f>
        <v>795562</v>
      </c>
      <c r="C189" s="14" t="str">
        <f>IFERROR(__xludf.DUMMYFUNCTION("""COMPUTED_VALUE"""),"李秉霖")</f>
        <v>李秉霖</v>
      </c>
      <c r="D189" s="16" t="str">
        <f>IFERROR(__xludf.DUMMYFUNCTION("""COMPUTED_VALUE"""),"syp*****21@syps.tp.edu.tw")</f>
        <v>syp*****21@syps.tp.edu.tw</v>
      </c>
      <c r="E189" s="17" t="str">
        <f>IFERROR(__xludf.DUMMYFUNCTION("""COMPUTED_VALUE"""),"臺北市萬華區雙園國民小學")</f>
        <v>臺北市萬華區雙園國民小學</v>
      </c>
      <c r="F189" s="14" t="str">
        <f>IFERROR(__xludf.DUMMYFUNCTION("""COMPUTED_VALUE"""),"六年級")</f>
        <v>六年級</v>
      </c>
      <c r="G189" s="14" t="str">
        <f>IFERROR(__xludf.DUMMYFUNCTION("""COMPUTED_VALUE"""),"獎狀")</f>
        <v>獎狀</v>
      </c>
      <c r="H189" s="8"/>
    </row>
    <row r="190">
      <c r="A190" s="18"/>
      <c r="B190" s="14">
        <f>IFERROR(__xludf.DUMMYFUNCTION("""COMPUTED_VALUE"""),804587.0)</f>
        <v>804587</v>
      </c>
      <c r="C190" s="14" t="str">
        <f>IFERROR(__xludf.DUMMYFUNCTION("""COMPUTED_VALUE"""),"李采凌")</f>
        <v>李采凌</v>
      </c>
      <c r="D190" s="16" t="str">
        <f>IFERROR(__xludf.DUMMYFUNCTION("""COMPUTED_VALUE"""),"syp*****45@syps.tp.edu.tw")</f>
        <v>syp*****45@syps.tp.edu.tw</v>
      </c>
      <c r="E190" s="17" t="str">
        <f>IFERROR(__xludf.DUMMYFUNCTION("""COMPUTED_VALUE"""),"臺北市萬華區雙園國民小學")</f>
        <v>臺北市萬華區雙園國民小學</v>
      </c>
      <c r="F190" s="14" t="str">
        <f>IFERROR(__xludf.DUMMYFUNCTION("""COMPUTED_VALUE"""),"六年級")</f>
        <v>六年級</v>
      </c>
      <c r="G190" s="14" t="str">
        <f>IFERROR(__xludf.DUMMYFUNCTION("""COMPUTED_VALUE"""),"獎狀")</f>
        <v>獎狀</v>
      </c>
      <c r="H190" s="8"/>
    </row>
    <row r="191">
      <c r="A191" s="18"/>
      <c r="B191" s="14">
        <f>IFERROR(__xludf.DUMMYFUNCTION("""COMPUTED_VALUE"""),718892.0)</f>
        <v>718892</v>
      </c>
      <c r="C191" s="14" t="str">
        <f>IFERROR(__xludf.DUMMYFUNCTION("""COMPUTED_VALUE"""),"李韋寬")</f>
        <v>李韋寬</v>
      </c>
      <c r="D191" s="16" t="str">
        <f>IFERROR(__xludf.DUMMYFUNCTION("""COMPUTED_VALUE"""),"syp*****61@syps.tp.edu.tw")</f>
        <v>syp*****61@syps.tp.edu.tw</v>
      </c>
      <c r="E191" s="17" t="str">
        <f>IFERROR(__xludf.DUMMYFUNCTION("""COMPUTED_VALUE"""),"臺北市萬華區雙園國民小學")</f>
        <v>臺北市萬華區雙園國民小學</v>
      </c>
      <c r="F191" s="14" t="str">
        <f>IFERROR(__xludf.DUMMYFUNCTION("""COMPUTED_VALUE"""),"六年級")</f>
        <v>六年級</v>
      </c>
      <c r="G191" s="14" t="str">
        <f>IFERROR(__xludf.DUMMYFUNCTION("""COMPUTED_VALUE"""),"獎狀")</f>
        <v>獎狀</v>
      </c>
      <c r="H191" s="8"/>
    </row>
    <row r="192">
      <c r="A192" s="18"/>
      <c r="B192" s="14">
        <f>IFERROR(__xludf.DUMMYFUNCTION("""COMPUTED_VALUE"""),536195.0)</f>
        <v>536195</v>
      </c>
      <c r="C192" s="14" t="str">
        <f>IFERROR(__xludf.DUMMYFUNCTION("""COMPUTED_VALUE"""),"李嘉茵")</f>
        <v>李嘉茵</v>
      </c>
      <c r="D192" s="16" t="str">
        <f>IFERROR(__xludf.DUMMYFUNCTION("""COMPUTED_VALUE"""),"syp*****18.tp@mail.edu.tw")</f>
        <v>syp*****18.tp@mail.edu.tw</v>
      </c>
      <c r="E192" s="17" t="str">
        <f>IFERROR(__xludf.DUMMYFUNCTION("""COMPUTED_VALUE"""),"臺北市萬華區雙園國民小學")</f>
        <v>臺北市萬華區雙園國民小學</v>
      </c>
      <c r="F192" s="14" t="str">
        <f>IFERROR(__xludf.DUMMYFUNCTION("""COMPUTED_VALUE"""),"六年級")</f>
        <v>六年級</v>
      </c>
      <c r="G192" s="14" t="str">
        <f>IFERROR(__xludf.DUMMYFUNCTION("""COMPUTED_VALUE"""),"獎狀")</f>
        <v>獎狀</v>
      </c>
      <c r="H192" s="8"/>
    </row>
    <row r="193">
      <c r="A193" s="18"/>
      <c r="B193" s="14">
        <f>IFERROR(__xludf.DUMMYFUNCTION("""COMPUTED_VALUE"""),718914.0)</f>
        <v>718914</v>
      </c>
      <c r="C193" s="14" t="str">
        <f>IFERROR(__xludf.DUMMYFUNCTION("""COMPUTED_VALUE"""),"林子敬")</f>
        <v>林子敬</v>
      </c>
      <c r="D193" s="16" t="str">
        <f>IFERROR(__xludf.DUMMYFUNCTION("""COMPUTED_VALUE"""),"syp*****42@syps.tp.edu.tw")</f>
        <v>syp*****42@syps.tp.edu.tw</v>
      </c>
      <c r="E193" s="17" t="str">
        <f>IFERROR(__xludf.DUMMYFUNCTION("""COMPUTED_VALUE"""),"臺北市萬華區雙園國民小學")</f>
        <v>臺北市萬華區雙園國民小學</v>
      </c>
      <c r="F193" s="14" t="str">
        <f>IFERROR(__xludf.DUMMYFUNCTION("""COMPUTED_VALUE"""),"六年級")</f>
        <v>六年級</v>
      </c>
      <c r="G193" s="14" t="str">
        <f>IFERROR(__xludf.DUMMYFUNCTION("""COMPUTED_VALUE"""),"獎狀")</f>
        <v>獎狀</v>
      </c>
      <c r="H193" s="8"/>
    </row>
    <row r="194">
      <c r="A194" s="18"/>
      <c r="B194" s="14">
        <f>IFERROR(__xludf.DUMMYFUNCTION("""COMPUTED_VALUE"""),795566.0)</f>
        <v>795566</v>
      </c>
      <c r="C194" s="14" t="str">
        <f>IFERROR(__xludf.DUMMYFUNCTION("""COMPUTED_VALUE"""),"林芮妍")</f>
        <v>林芮妍</v>
      </c>
      <c r="D194" s="16" t="str">
        <f>IFERROR(__xludf.DUMMYFUNCTION("""COMPUTED_VALUE"""),"syp*****51@syps.tp.edu.tw")</f>
        <v>syp*****51@syps.tp.edu.tw</v>
      </c>
      <c r="E194" s="17" t="str">
        <f>IFERROR(__xludf.DUMMYFUNCTION("""COMPUTED_VALUE"""),"臺北市萬華區雙園國民小學")</f>
        <v>臺北市萬華區雙園國民小學</v>
      </c>
      <c r="F194" s="14" t="str">
        <f>IFERROR(__xludf.DUMMYFUNCTION("""COMPUTED_VALUE"""),"六年級")</f>
        <v>六年級</v>
      </c>
      <c r="G194" s="14" t="str">
        <f>IFERROR(__xludf.DUMMYFUNCTION("""COMPUTED_VALUE"""),"獎狀")</f>
        <v>獎狀</v>
      </c>
      <c r="H194" s="8"/>
    </row>
    <row r="195">
      <c r="A195" s="18"/>
      <c r="B195" s="14">
        <f>IFERROR(__xludf.DUMMYFUNCTION("""COMPUTED_VALUE"""),795563.0)</f>
        <v>795563</v>
      </c>
      <c r="C195" s="14" t="str">
        <f>IFERROR(__xludf.DUMMYFUNCTION("""COMPUTED_VALUE"""),"張庭岳")</f>
        <v>張庭岳</v>
      </c>
      <c r="D195" s="16" t="str">
        <f>IFERROR(__xludf.DUMMYFUNCTION("""COMPUTED_VALUE"""),"syp*****16@syps.tp.edu.tw")</f>
        <v>syp*****16@syps.tp.edu.tw</v>
      </c>
      <c r="E195" s="17" t="str">
        <f>IFERROR(__xludf.DUMMYFUNCTION("""COMPUTED_VALUE"""),"臺北市萬華區雙園國民小學")</f>
        <v>臺北市萬華區雙園國民小學</v>
      </c>
      <c r="F195" s="14" t="str">
        <f>IFERROR(__xludf.DUMMYFUNCTION("""COMPUTED_VALUE"""),"六年級")</f>
        <v>六年級</v>
      </c>
      <c r="G195" s="14" t="str">
        <f>IFERROR(__xludf.DUMMYFUNCTION("""COMPUTED_VALUE"""),"獎狀")</f>
        <v>獎狀</v>
      </c>
      <c r="H195" s="8"/>
    </row>
    <row r="196">
      <c r="A196" s="18"/>
      <c r="B196" s="14">
        <f>IFERROR(__xludf.DUMMYFUNCTION("""COMPUTED_VALUE"""),718881.0)</f>
        <v>718881</v>
      </c>
      <c r="C196" s="14" t="str">
        <f>IFERROR(__xludf.DUMMYFUNCTION("""COMPUTED_VALUE"""),"陳芷賢")</f>
        <v>陳芷賢</v>
      </c>
      <c r="D196" s="16" t="str">
        <f>IFERROR(__xludf.DUMMYFUNCTION("""COMPUTED_VALUE"""),"syp*****85@syps.tp.edu.tw")</f>
        <v>syp*****85@syps.tp.edu.tw</v>
      </c>
      <c r="E196" s="17" t="str">
        <f>IFERROR(__xludf.DUMMYFUNCTION("""COMPUTED_VALUE"""),"臺北市萬華區雙園國民小學")</f>
        <v>臺北市萬華區雙園國民小學</v>
      </c>
      <c r="F196" s="14" t="str">
        <f>IFERROR(__xludf.DUMMYFUNCTION("""COMPUTED_VALUE"""),"六年級")</f>
        <v>六年級</v>
      </c>
      <c r="G196" s="14" t="str">
        <f>IFERROR(__xludf.DUMMYFUNCTION("""COMPUTED_VALUE"""),"獎狀")</f>
        <v>獎狀</v>
      </c>
      <c r="H196" s="8"/>
    </row>
    <row r="197">
      <c r="A197" s="18"/>
      <c r="B197" s="14">
        <f>IFERROR(__xludf.DUMMYFUNCTION("""COMPUTED_VALUE"""),795560.0)</f>
        <v>795560</v>
      </c>
      <c r="C197" s="14" t="str">
        <f>IFERROR(__xludf.DUMMYFUNCTION("""COMPUTED_VALUE"""),"陳宥誠")</f>
        <v>陳宥誠</v>
      </c>
      <c r="D197" s="16" t="str">
        <f>IFERROR(__xludf.DUMMYFUNCTION("""COMPUTED_VALUE"""),"syp*****54@syps.tp.edu.tw")</f>
        <v>syp*****54@syps.tp.edu.tw</v>
      </c>
      <c r="E197" s="17" t="str">
        <f>IFERROR(__xludf.DUMMYFUNCTION("""COMPUTED_VALUE"""),"臺北市萬華區雙園國民小學")</f>
        <v>臺北市萬華區雙園國民小學</v>
      </c>
      <c r="F197" s="14" t="str">
        <f>IFERROR(__xludf.DUMMYFUNCTION("""COMPUTED_VALUE"""),"六年級")</f>
        <v>六年級</v>
      </c>
      <c r="G197" s="14" t="str">
        <f>IFERROR(__xludf.DUMMYFUNCTION("""COMPUTED_VALUE"""),"獎狀")</f>
        <v>獎狀</v>
      </c>
      <c r="H197" s="8"/>
    </row>
    <row r="198">
      <c r="A198" s="18"/>
      <c r="B198" s="14">
        <f>IFERROR(__xludf.DUMMYFUNCTION("""COMPUTED_VALUE"""),420834.0)</f>
        <v>420834</v>
      </c>
      <c r="C198" s="14" t="str">
        <f>IFERROR(__xludf.DUMMYFUNCTION("""COMPUTED_VALUE"""),"陳珈妤")</f>
        <v>陳珈妤</v>
      </c>
      <c r="D198" s="16" t="str">
        <f>IFERROR(__xludf.DUMMYFUNCTION("""COMPUTED_VALUE"""),"syp*****03@syps.tp.edu.tw")</f>
        <v>syp*****03@syps.tp.edu.tw</v>
      </c>
      <c r="E198" s="17" t="str">
        <f>IFERROR(__xludf.DUMMYFUNCTION("""COMPUTED_VALUE"""),"臺北市萬華區雙園國民小學")</f>
        <v>臺北市萬華區雙園國民小學</v>
      </c>
      <c r="F198" s="14" t="str">
        <f>IFERROR(__xludf.DUMMYFUNCTION("""COMPUTED_VALUE"""),"六年級")</f>
        <v>六年級</v>
      </c>
      <c r="G198" s="14" t="str">
        <f>IFERROR(__xludf.DUMMYFUNCTION("""COMPUTED_VALUE"""),"獎狀")</f>
        <v>獎狀</v>
      </c>
      <c r="H198" s="8"/>
    </row>
    <row r="199">
      <c r="A199" s="18"/>
      <c r="B199" s="14">
        <f>IFERROR(__xludf.DUMMYFUNCTION("""COMPUTED_VALUE"""),420805.0)</f>
        <v>420805</v>
      </c>
      <c r="C199" s="14" t="str">
        <f>IFERROR(__xludf.DUMMYFUNCTION("""COMPUTED_VALUE"""),"黎國永")</f>
        <v>黎國永</v>
      </c>
      <c r="D199" s="16" t="str">
        <f>IFERROR(__xludf.DUMMYFUNCTION("""COMPUTED_VALUE"""),"syp*****12@syps.tp.edu.tw")</f>
        <v>syp*****12@syps.tp.edu.tw</v>
      </c>
      <c r="E199" s="17" t="str">
        <f>IFERROR(__xludf.DUMMYFUNCTION("""COMPUTED_VALUE"""),"臺北市萬華區雙園國民小學")</f>
        <v>臺北市萬華區雙園國民小學</v>
      </c>
      <c r="F199" s="14" t="str">
        <f>IFERROR(__xludf.DUMMYFUNCTION("""COMPUTED_VALUE"""),"六年級")</f>
        <v>六年級</v>
      </c>
      <c r="G199" s="14" t="str">
        <f>IFERROR(__xludf.DUMMYFUNCTION("""COMPUTED_VALUE"""),"獎狀")</f>
        <v>獎狀</v>
      </c>
      <c r="H199" s="8"/>
    </row>
    <row r="200">
      <c r="A200" s="18"/>
      <c r="B200" s="14">
        <f>IFERROR(__xludf.DUMMYFUNCTION("""COMPUTED_VALUE"""),795564.0)</f>
        <v>795564</v>
      </c>
      <c r="C200" s="14" t="str">
        <f>IFERROR(__xludf.DUMMYFUNCTION("""COMPUTED_VALUE"""),"顏睫雯")</f>
        <v>顏睫雯</v>
      </c>
      <c r="D200" s="16" t="str">
        <f>IFERROR(__xludf.DUMMYFUNCTION("""COMPUTED_VALUE"""),"syp*****76@syps.tp.edu.tw")</f>
        <v>syp*****76@syps.tp.edu.tw</v>
      </c>
      <c r="E200" s="17" t="str">
        <f>IFERROR(__xludf.DUMMYFUNCTION("""COMPUTED_VALUE"""),"臺北市萬華區雙園國民小學")</f>
        <v>臺北市萬華區雙園國民小學</v>
      </c>
      <c r="F200" s="14" t="str">
        <f>IFERROR(__xludf.DUMMYFUNCTION("""COMPUTED_VALUE"""),"六年級")</f>
        <v>六年級</v>
      </c>
      <c r="G200" s="14" t="str">
        <f>IFERROR(__xludf.DUMMYFUNCTION("""COMPUTED_VALUE"""),"獎狀")</f>
        <v>獎狀</v>
      </c>
      <c r="H200" s="8"/>
    </row>
    <row r="201">
      <c r="A201" s="18"/>
      <c r="B201" s="14">
        <f>IFERROR(__xludf.DUMMYFUNCTION("""COMPUTED_VALUE"""),535884.0)</f>
        <v>535884</v>
      </c>
      <c r="C201" s="14" t="str">
        <f>IFERROR(__xludf.DUMMYFUNCTION("""COMPUTED_VALUE"""),"陳柏鈞")</f>
        <v>陳柏鈞</v>
      </c>
      <c r="D201" s="16" t="str">
        <f>IFERROR(__xludf.DUMMYFUNCTION("""COMPUTED_VALUE"""),"syp*****81.tp@mail.edu.tw")</f>
        <v>syp*****81.tp@mail.edu.tw</v>
      </c>
      <c r="E201" s="17" t="str">
        <f>IFERROR(__xludf.DUMMYFUNCTION("""COMPUTED_VALUE"""),"臺北市萬華區雙園國民小學")</f>
        <v>臺北市萬華區雙園國民小學</v>
      </c>
      <c r="F201" s="14" t="str">
        <f>IFERROR(__xludf.DUMMYFUNCTION("""COMPUTED_VALUE"""),"六年級")</f>
        <v>六年級</v>
      </c>
      <c r="G201" s="14" t="str">
        <f>IFERROR(__xludf.DUMMYFUNCTION("""COMPUTED_VALUE"""),"●小禮物")</f>
        <v>●小禮物</v>
      </c>
      <c r="H201" s="8"/>
    </row>
    <row r="202">
      <c r="A202" s="18"/>
      <c r="B202" s="14">
        <f>IFERROR(__xludf.DUMMYFUNCTION("""COMPUTED_VALUE"""),420840.0)</f>
        <v>420840</v>
      </c>
      <c r="C202" s="14" t="str">
        <f>IFERROR(__xludf.DUMMYFUNCTION("""COMPUTED_VALUE"""),"陳畇安")</f>
        <v>陳畇安</v>
      </c>
      <c r="D202" s="16" t="str">
        <f>IFERROR(__xludf.DUMMYFUNCTION("""COMPUTED_VALUE"""),"syp*****24@syps.tp.edu.tw")</f>
        <v>syp*****24@syps.tp.edu.tw</v>
      </c>
      <c r="E202" s="17" t="str">
        <f>IFERROR(__xludf.DUMMYFUNCTION("""COMPUTED_VALUE"""),"臺北市萬華區雙園國民小學")</f>
        <v>臺北市萬華區雙園國民小學</v>
      </c>
      <c r="F202" s="14" t="str">
        <f>IFERROR(__xludf.DUMMYFUNCTION("""COMPUTED_VALUE"""),"六年級")</f>
        <v>六年級</v>
      </c>
      <c r="G202" s="14" t="str">
        <f>IFERROR(__xludf.DUMMYFUNCTION("""COMPUTED_VALUE"""),"獎狀")</f>
        <v>獎狀</v>
      </c>
      <c r="H202" s="8"/>
    </row>
    <row r="203">
      <c r="A203" s="18"/>
      <c r="B203" s="14">
        <f>IFERROR(__xludf.DUMMYFUNCTION("""COMPUTED_VALUE"""),646085.0)</f>
        <v>646085</v>
      </c>
      <c r="C203" s="14" t="str">
        <f>IFERROR(__xludf.DUMMYFUNCTION("""COMPUTED_VALUE"""),"陳丹綺")</f>
        <v>陳丹綺</v>
      </c>
      <c r="D203" s="16" t="str">
        <f>IFERROR(__xludf.DUMMYFUNCTION("""COMPUTED_VALUE"""),"dqc*****gmail.com")</f>
        <v>dqc*****gmail.com</v>
      </c>
      <c r="E203" s="17" t="str">
        <f>IFERROR(__xludf.DUMMYFUNCTION("""COMPUTED_VALUE"""),"臺北市信義區雙永國民小學")</f>
        <v>臺北市信義區雙永國民小學</v>
      </c>
      <c r="F203" s="14" t="str">
        <f>IFERROR(__xludf.DUMMYFUNCTION("""COMPUTED_VALUE"""),"五年級")</f>
        <v>五年級</v>
      </c>
      <c r="G203" s="14" t="str">
        <f>IFERROR(__xludf.DUMMYFUNCTION("""COMPUTED_VALUE"""),"●小禮物")</f>
        <v>●小禮物</v>
      </c>
      <c r="H203" s="8"/>
    </row>
    <row r="204">
      <c r="A204" s="18"/>
      <c r="B204" s="14">
        <f>IFERROR(__xludf.DUMMYFUNCTION("""COMPUTED_VALUE"""),427449.0)</f>
        <v>427449</v>
      </c>
      <c r="C204" s="14" t="str">
        <f>IFERROR(__xludf.DUMMYFUNCTION("""COMPUTED_VALUE"""),"彭彥睿")</f>
        <v>彭彥睿</v>
      </c>
      <c r="D204" s="16" t="str">
        <f>IFERROR(__xludf.DUMMYFUNCTION("""COMPUTED_VALUE"""),"rur*****@gmail.com")</f>
        <v>rur*****@gmail.com</v>
      </c>
      <c r="E204" s="17" t="str">
        <f>IFERROR(__xludf.DUMMYFUNCTION("""COMPUTED_VALUE"""),"臺北市信義區光復國民小學")</f>
        <v>臺北市信義區光復國民小學</v>
      </c>
      <c r="F204" s="14" t="str">
        <f>IFERROR(__xludf.DUMMYFUNCTION("""COMPUTED_VALUE"""),"五年級")</f>
        <v>五年級</v>
      </c>
      <c r="G204" s="14" t="str">
        <f>IFERROR(__xludf.DUMMYFUNCTION("""COMPUTED_VALUE"""),"獎狀")</f>
        <v>獎狀</v>
      </c>
      <c r="H204" s="8"/>
    </row>
    <row r="205">
      <c r="A205" s="18"/>
      <c r="B205" s="14">
        <f>IFERROR(__xludf.DUMMYFUNCTION("""COMPUTED_VALUE"""),424339.0)</f>
        <v>424339</v>
      </c>
      <c r="C205" s="14" t="str">
        <f>IFERROR(__xludf.DUMMYFUNCTION("""COMPUTED_VALUE"""),"林妍愛")</f>
        <v>林妍愛</v>
      </c>
      <c r="D205" s="16" t="str">
        <f>IFERROR(__xludf.DUMMYFUNCTION("""COMPUTED_VALUE"""),"tog*****@me.com")</f>
        <v>tog*****@me.com</v>
      </c>
      <c r="E205" s="17" t="str">
        <f>IFERROR(__xludf.DUMMYFUNCTION("""COMPUTED_VALUE"""),"臺北市信義區光復國民小學")</f>
        <v>臺北市信義區光復國民小學</v>
      </c>
      <c r="F205" s="14" t="str">
        <f>IFERROR(__xludf.DUMMYFUNCTION("""COMPUTED_VALUE"""),"五年級")</f>
        <v>五年級</v>
      </c>
      <c r="G205" s="14" t="str">
        <f>IFERROR(__xludf.DUMMYFUNCTION("""COMPUTED_VALUE"""),"★禮券$500")</f>
        <v>★禮券$500</v>
      </c>
      <c r="H205" s="8"/>
    </row>
    <row r="206">
      <c r="A206" s="18"/>
      <c r="B206" s="14">
        <f>IFERROR(__xludf.DUMMYFUNCTION("""COMPUTED_VALUE"""),734357.0)</f>
        <v>734357</v>
      </c>
      <c r="C206" s="14" t="str">
        <f>IFERROR(__xludf.DUMMYFUNCTION("""COMPUTED_VALUE"""),"楊竣翔")</f>
        <v>楊竣翔</v>
      </c>
      <c r="D206" s="16" t="str">
        <f>IFERROR(__xludf.DUMMYFUNCTION("""COMPUTED_VALUE"""),"bri*****.yang@gmail.com")</f>
        <v>bri*****.yang@gmail.com</v>
      </c>
      <c r="E206" s="17" t="str">
        <f>IFERROR(__xludf.DUMMYFUNCTION("""COMPUTED_VALUE"""),"臺北市信義區吳興國民小學")</f>
        <v>臺北市信義區吳興國民小學</v>
      </c>
      <c r="F206" s="14" t="str">
        <f>IFERROR(__xludf.DUMMYFUNCTION("""COMPUTED_VALUE"""),"三年級")</f>
        <v>三年級</v>
      </c>
      <c r="G206" s="14" t="str">
        <f>IFERROR(__xludf.DUMMYFUNCTION("""COMPUTED_VALUE"""),"獎狀")</f>
        <v>獎狀</v>
      </c>
      <c r="H206" s="8"/>
    </row>
    <row r="207">
      <c r="A207" s="18"/>
      <c r="B207" s="14">
        <f>IFERROR(__xludf.DUMMYFUNCTION("""COMPUTED_VALUE"""),582389.0)</f>
        <v>582389</v>
      </c>
      <c r="C207" s="14" t="str">
        <f>IFERROR(__xludf.DUMMYFUNCTION("""COMPUTED_VALUE"""),"楊芷晴")</f>
        <v>楊芷晴</v>
      </c>
      <c r="D207" s="16" t="str">
        <f>IFERROR(__xludf.DUMMYFUNCTION("""COMPUTED_VALUE"""),"exc*****yang@gmail.com")</f>
        <v>exc*****yang@gmail.com</v>
      </c>
      <c r="E207" s="17" t="str">
        <f>IFERROR(__xludf.DUMMYFUNCTION("""COMPUTED_VALUE"""),"臺北市信義區吳興國民小學")</f>
        <v>臺北市信義區吳興國民小學</v>
      </c>
      <c r="F207" s="14" t="str">
        <f>IFERROR(__xludf.DUMMYFUNCTION("""COMPUTED_VALUE"""),"六年級")</f>
        <v>六年級</v>
      </c>
      <c r="G207" s="14" t="str">
        <f>IFERROR(__xludf.DUMMYFUNCTION("""COMPUTED_VALUE"""),"●小禮物")</f>
        <v>●小禮物</v>
      </c>
      <c r="H207" s="8"/>
    </row>
    <row r="208">
      <c r="A208" s="18"/>
      <c r="B208" s="14">
        <f>IFERROR(__xludf.DUMMYFUNCTION("""COMPUTED_VALUE"""),1082968.0)</f>
        <v>1082968</v>
      </c>
      <c r="C208" s="14" t="str">
        <f>IFERROR(__xludf.DUMMYFUNCTION("""COMPUTED_VALUE"""),"龔宥佳")</f>
        <v>龔宥佳</v>
      </c>
      <c r="D208" s="16" t="str">
        <f>IFERROR(__xludf.DUMMYFUNCTION("""COMPUTED_VALUE"""),"s10*****baps.tp.edu.tw")</f>
        <v>s10*****baps.tp.edu.tw</v>
      </c>
      <c r="E208" s="17" t="str">
        <f>IFERROR(__xludf.DUMMYFUNCTION("""COMPUTED_VALUE"""),"臺北市信義區博愛國民小學")</f>
        <v>臺北市信義區博愛國民小學</v>
      </c>
      <c r="F208" s="14" t="str">
        <f>IFERROR(__xludf.DUMMYFUNCTION("""COMPUTED_VALUE"""),"五年級")</f>
        <v>五年級</v>
      </c>
      <c r="G208" s="14" t="str">
        <f>IFERROR(__xludf.DUMMYFUNCTION("""COMPUTED_VALUE"""),"獎狀")</f>
        <v>獎狀</v>
      </c>
      <c r="H208" s="8"/>
    </row>
    <row r="209">
      <c r="A209" s="18"/>
      <c r="B209" s="14">
        <f>IFERROR(__xludf.DUMMYFUNCTION("""COMPUTED_VALUE"""),588721.0)</f>
        <v>588721</v>
      </c>
      <c r="C209" s="14" t="str">
        <f>IFERROR(__xludf.DUMMYFUNCTION("""COMPUTED_VALUE"""),"蔡昀叡")</f>
        <v>蔡昀叡</v>
      </c>
      <c r="D209" s="16" t="str">
        <f>IFERROR(__xludf.DUMMYFUNCTION("""COMPUTED_VALUE"""),"sst*****eep@gmail.com")</f>
        <v>sst*****eep@gmail.com</v>
      </c>
      <c r="E209" s="17" t="str">
        <f>IFERROR(__xludf.DUMMYFUNCTION("""COMPUTED_VALUE"""),"臺北市信義區博愛國民小學")</f>
        <v>臺北市信義區博愛國民小學</v>
      </c>
      <c r="F209" s="14" t="str">
        <f>IFERROR(__xludf.DUMMYFUNCTION("""COMPUTED_VALUE"""),"五年級")</f>
        <v>五年級</v>
      </c>
      <c r="G209" s="14" t="str">
        <f>IFERROR(__xludf.DUMMYFUNCTION("""COMPUTED_VALUE"""),"●小禮物")</f>
        <v>●小禮物</v>
      </c>
      <c r="H209" s="8"/>
    </row>
    <row r="210">
      <c r="A210" s="18"/>
      <c r="B210" s="14">
        <f>IFERROR(__xludf.DUMMYFUNCTION("""COMPUTED_VALUE"""),748729.0)</f>
        <v>748729</v>
      </c>
      <c r="C210" s="14" t="str">
        <f>IFERROR(__xludf.DUMMYFUNCTION("""COMPUTED_VALUE"""),"張語桐")</f>
        <v>張語桐</v>
      </c>
      <c r="D210" s="16" t="str">
        <f>IFERROR(__xludf.DUMMYFUNCTION("""COMPUTED_VALUE"""),"107*****tu.syes.tp.edu.tw")</f>
        <v>107*****tu.syes.tp.edu.tw</v>
      </c>
      <c r="E210" s="17" t="str">
        <f>IFERROR(__xludf.DUMMYFUNCTION("""COMPUTED_VALUE"""),"臺北市信義區信義國民小學")</f>
        <v>臺北市信義區信義國民小學</v>
      </c>
      <c r="F210" s="14" t="str">
        <f>IFERROR(__xludf.DUMMYFUNCTION("""COMPUTED_VALUE"""),"五年級")</f>
        <v>五年級</v>
      </c>
      <c r="G210" s="14" t="str">
        <f>IFERROR(__xludf.DUMMYFUNCTION("""COMPUTED_VALUE"""),"●小禮物")</f>
        <v>●小禮物</v>
      </c>
      <c r="H210" s="8"/>
    </row>
    <row r="211">
      <c r="A211" s="18"/>
      <c r="B211" s="14">
        <f>IFERROR(__xludf.DUMMYFUNCTION("""COMPUTED_VALUE"""),909092.0)</f>
        <v>909092</v>
      </c>
      <c r="C211" s="14" t="str">
        <f>IFERROR(__xludf.DUMMYFUNCTION("""COMPUTED_VALUE"""),"涂奕晴")</f>
        <v>涂奕晴</v>
      </c>
      <c r="D211" s="16" t="str">
        <f>IFERROR(__xludf.DUMMYFUNCTION("""COMPUTED_VALUE"""),"peg*****247@gmail.com")</f>
        <v>peg*****247@gmail.com</v>
      </c>
      <c r="E211" s="17" t="str">
        <f>IFERROR(__xludf.DUMMYFUNCTION("""COMPUTED_VALUE"""),"臺北市信義區興雅國民小學")</f>
        <v>臺北市信義區興雅國民小學</v>
      </c>
      <c r="F211" s="14" t="str">
        <f>IFERROR(__xludf.DUMMYFUNCTION("""COMPUTED_VALUE"""),"四年級")</f>
        <v>四年級</v>
      </c>
      <c r="G211" s="14" t="str">
        <f>IFERROR(__xludf.DUMMYFUNCTION("""COMPUTED_VALUE"""),"獎狀")</f>
        <v>獎狀</v>
      </c>
      <c r="H211" s="8"/>
    </row>
    <row r="212">
      <c r="A212" s="18"/>
      <c r="B212" s="14">
        <f>IFERROR(__xludf.DUMMYFUNCTION("""COMPUTED_VALUE"""),962042.0)</f>
        <v>962042</v>
      </c>
      <c r="C212" s="14" t="str">
        <f>IFERROR(__xludf.DUMMYFUNCTION("""COMPUTED_VALUE"""),"涂奕潔")</f>
        <v>涂奕潔</v>
      </c>
      <c r="D212" s="16" t="str">
        <f>IFERROR(__xludf.DUMMYFUNCTION("""COMPUTED_VALUE"""),"rto*****55@gmail.com")</f>
        <v>rto*****55@gmail.com</v>
      </c>
      <c r="E212" s="17" t="str">
        <f>IFERROR(__xludf.DUMMYFUNCTION("""COMPUTED_VALUE"""),"臺北市信義區興雅國民小學")</f>
        <v>臺北市信義區興雅國民小學</v>
      </c>
      <c r="F212" s="14" t="str">
        <f>IFERROR(__xludf.DUMMYFUNCTION("""COMPUTED_VALUE"""),"四年級")</f>
        <v>四年級</v>
      </c>
      <c r="G212" s="14" t="str">
        <f>IFERROR(__xludf.DUMMYFUNCTION("""COMPUTED_VALUE"""),"●小禮物")</f>
        <v>●小禮物</v>
      </c>
      <c r="H212" s="8"/>
    </row>
    <row r="213">
      <c r="A213" s="18"/>
      <c r="B213" s="14">
        <f>IFERROR(__xludf.DUMMYFUNCTION("""COMPUTED_VALUE"""),710989.0)</f>
        <v>710989</v>
      </c>
      <c r="C213" s="14" t="str">
        <f>IFERROR(__xludf.DUMMYFUNCTION("""COMPUTED_VALUE"""),"陳萱潔")</f>
        <v>陳萱潔</v>
      </c>
      <c r="D213" s="16" t="str">
        <f>IFERROR(__xludf.DUMMYFUNCTION("""COMPUTED_VALUE"""),"d10*****7@gmail.com")</f>
        <v>d10*****7@gmail.com</v>
      </c>
      <c r="E213" s="17" t="str">
        <f>IFERROR(__xludf.DUMMYFUNCTION("""COMPUTED_VALUE"""),"臺北市士林區三玉國民小學")</f>
        <v>臺北市士林區三玉國民小學</v>
      </c>
      <c r="F213" s="14" t="str">
        <f>IFERROR(__xludf.DUMMYFUNCTION("""COMPUTED_VALUE"""),"四年級")</f>
        <v>四年級</v>
      </c>
      <c r="G213" s="14" t="str">
        <f>IFERROR(__xludf.DUMMYFUNCTION("""COMPUTED_VALUE"""),"獎狀")</f>
        <v>獎狀</v>
      </c>
      <c r="H213" s="8"/>
    </row>
    <row r="214">
      <c r="A214" s="18"/>
      <c r="B214" s="14">
        <f>IFERROR(__xludf.DUMMYFUNCTION("""COMPUTED_VALUE"""),430256.0)</f>
        <v>430256</v>
      </c>
      <c r="C214" s="14" t="str">
        <f>IFERROR(__xludf.DUMMYFUNCTION("""COMPUTED_VALUE"""),"陳奕秀")</f>
        <v>陳奕秀</v>
      </c>
      <c r="D214" s="16" t="str">
        <f>IFERROR(__xludf.DUMMYFUNCTION("""COMPUTED_VALUE"""),"d10*****7@yahoo.com.tw")</f>
        <v>d10*****7@yahoo.com.tw</v>
      </c>
      <c r="E214" s="17" t="str">
        <f>IFERROR(__xludf.DUMMYFUNCTION("""COMPUTED_VALUE"""),"臺北市士林區三玉國民小學")</f>
        <v>臺北市士林區三玉國民小學</v>
      </c>
      <c r="F214" s="14" t="str">
        <f>IFERROR(__xludf.DUMMYFUNCTION("""COMPUTED_VALUE"""),"六年級")</f>
        <v>六年級</v>
      </c>
      <c r="G214" s="14" t="str">
        <f>IFERROR(__xludf.DUMMYFUNCTION("""COMPUTED_VALUE"""),"獎狀")</f>
        <v>獎狀</v>
      </c>
      <c r="H214" s="8"/>
    </row>
    <row r="215">
      <c r="A215" s="18"/>
      <c r="B215" s="14">
        <f>IFERROR(__xludf.DUMMYFUNCTION("""COMPUTED_VALUE"""),1070701.0)</f>
        <v>1070701</v>
      </c>
      <c r="C215" s="14" t="str">
        <f>IFERROR(__xludf.DUMMYFUNCTION("""COMPUTED_VALUE"""),"許皓穎")</f>
        <v>許皓穎</v>
      </c>
      <c r="D215" s="16" t="str">
        <f>IFERROR(__xludf.DUMMYFUNCTION("""COMPUTED_VALUE"""),"tmu*****323@mail.edu.tw")</f>
        <v>tmu*****323@mail.edu.tw</v>
      </c>
      <c r="E215" s="17" t="str">
        <f>IFERROR(__xludf.DUMMYFUNCTION("""COMPUTED_VALUE"""),"臺北市士林區天母國民小學")</f>
        <v>臺北市士林區天母國民小學</v>
      </c>
      <c r="F215" s="14" t="str">
        <f>IFERROR(__xludf.DUMMYFUNCTION("""COMPUTED_VALUE"""),"三年級")</f>
        <v>三年級</v>
      </c>
      <c r="G215" s="14" t="str">
        <f>IFERROR(__xludf.DUMMYFUNCTION("""COMPUTED_VALUE"""),"獎狀")</f>
        <v>獎狀</v>
      </c>
      <c r="H215" s="8"/>
    </row>
    <row r="216">
      <c r="A216" s="18"/>
      <c r="B216" s="14">
        <f>IFERROR(__xludf.DUMMYFUNCTION("""COMPUTED_VALUE"""),523692.0)</f>
        <v>523692</v>
      </c>
      <c r="C216" s="14" t="str">
        <f>IFERROR(__xludf.DUMMYFUNCTION("""COMPUTED_VALUE"""),"王允言")</f>
        <v>王允言</v>
      </c>
      <c r="D216" s="16" t="str">
        <f>IFERROR(__xludf.DUMMYFUNCTION("""COMPUTED_VALUE"""),"072*****lia@gmail.com")</f>
        <v>072*****lia@gmail.com</v>
      </c>
      <c r="E216" s="17" t="str">
        <f>IFERROR(__xludf.DUMMYFUNCTION("""COMPUTED_VALUE"""),"臺北市士林區天母國民小學")</f>
        <v>臺北市士林區天母國民小學</v>
      </c>
      <c r="F216" s="14" t="str">
        <f>IFERROR(__xludf.DUMMYFUNCTION("""COMPUTED_VALUE"""),"五年級")</f>
        <v>五年級</v>
      </c>
      <c r="G216" s="14" t="str">
        <f>IFERROR(__xludf.DUMMYFUNCTION("""COMPUTED_VALUE"""),"獎狀")</f>
        <v>獎狀</v>
      </c>
      <c r="H216" s="8"/>
    </row>
    <row r="217">
      <c r="A217" s="18"/>
      <c r="B217" s="14">
        <f>IFERROR(__xludf.DUMMYFUNCTION("""COMPUTED_VALUE"""),849146.0)</f>
        <v>849146</v>
      </c>
      <c r="C217" s="14" t="str">
        <f>IFERROR(__xludf.DUMMYFUNCTION("""COMPUTED_VALUE"""),"蔡承哲")</f>
        <v>蔡承哲</v>
      </c>
      <c r="D217" s="16" t="str">
        <f>IFERROR(__xludf.DUMMYFUNCTION("""COMPUTED_VALUE"""),"s10*****tmups.tp.edu.tw")</f>
        <v>s10*****tmups.tp.edu.tw</v>
      </c>
      <c r="E217" s="17" t="str">
        <f>IFERROR(__xludf.DUMMYFUNCTION("""COMPUTED_VALUE"""),"臺北市士林區天母國民小學")</f>
        <v>臺北市士林區天母國民小學</v>
      </c>
      <c r="F217" s="14" t="str">
        <f>IFERROR(__xludf.DUMMYFUNCTION("""COMPUTED_VALUE"""),"五年級")</f>
        <v>五年級</v>
      </c>
      <c r="G217" s="14" t="str">
        <f>IFERROR(__xludf.DUMMYFUNCTION("""COMPUTED_VALUE"""),"獎狀")</f>
        <v>獎狀</v>
      </c>
      <c r="H217" s="8"/>
    </row>
    <row r="218">
      <c r="A218" s="18"/>
      <c r="B218" s="14">
        <f>IFERROR(__xludf.DUMMYFUNCTION("""COMPUTED_VALUE"""),358919.0)</f>
        <v>358919</v>
      </c>
      <c r="C218" s="14" t="str">
        <f>IFERROR(__xludf.DUMMYFUNCTION("""COMPUTED_VALUE"""),"范羽辰")</f>
        <v>范羽辰</v>
      </c>
      <c r="D218" s="16" t="str">
        <f>IFERROR(__xludf.DUMMYFUNCTION("""COMPUTED_VALUE"""),"yne*****60@mail.edu.tw")</f>
        <v>yne*****60@mail.edu.tw</v>
      </c>
      <c r="E218" s="17" t="str">
        <f>IFERROR(__xludf.DUMMYFUNCTION("""COMPUTED_VALUE"""),"臺北市士林區雨農國民小學")</f>
        <v>臺北市士林區雨農國民小學</v>
      </c>
      <c r="F218" s="14" t="str">
        <f>IFERROR(__xludf.DUMMYFUNCTION("""COMPUTED_VALUE"""),"四年級")</f>
        <v>四年級</v>
      </c>
      <c r="G218" s="14" t="str">
        <f>IFERROR(__xludf.DUMMYFUNCTION("""COMPUTED_VALUE"""),"獎狀")</f>
        <v>獎狀</v>
      </c>
      <c r="H218" s="8"/>
    </row>
    <row r="219">
      <c r="A219" s="18"/>
      <c r="B219" s="14">
        <f>IFERROR(__xludf.DUMMYFUNCTION("""COMPUTED_VALUE"""),354237.0)</f>
        <v>354237</v>
      </c>
      <c r="C219" s="14" t="str">
        <f>IFERROR(__xludf.DUMMYFUNCTION("""COMPUTED_VALUE"""),"范羽彤")</f>
        <v>范羽彤</v>
      </c>
      <c r="D219" s="16" t="str">
        <f>IFERROR(__xludf.DUMMYFUNCTION("""COMPUTED_VALUE"""),"yne*****06@mail.edu.tw")</f>
        <v>yne*****06@mail.edu.tw</v>
      </c>
      <c r="E219" s="17" t="str">
        <f>IFERROR(__xludf.DUMMYFUNCTION("""COMPUTED_VALUE"""),"臺北市士林區雨農國民小學")</f>
        <v>臺北市士林區雨農國民小學</v>
      </c>
      <c r="F219" s="14" t="str">
        <f>IFERROR(__xludf.DUMMYFUNCTION("""COMPUTED_VALUE"""),"六年級")</f>
        <v>六年級</v>
      </c>
      <c r="G219" s="14" t="str">
        <f>IFERROR(__xludf.DUMMYFUNCTION("""COMPUTED_VALUE"""),"獎狀")</f>
        <v>獎狀</v>
      </c>
      <c r="H219" s="8"/>
    </row>
    <row r="220">
      <c r="A220" s="18"/>
      <c r="B220" s="14">
        <f>IFERROR(__xludf.DUMMYFUNCTION("""COMPUTED_VALUE"""),588421.0)</f>
        <v>588421</v>
      </c>
      <c r="C220" s="14" t="str">
        <f>IFERROR(__xludf.DUMMYFUNCTION("""COMPUTED_VALUE"""),"陳羽靖")</f>
        <v>陳羽靖</v>
      </c>
      <c r="D220" s="16" t="str">
        <f>IFERROR(__xludf.DUMMYFUNCTION("""COMPUTED_VALUE"""),"shi*****2@gmail.com")</f>
        <v>shi*****2@gmail.com</v>
      </c>
      <c r="E220" s="17" t="str">
        <f>IFERROR(__xludf.DUMMYFUNCTION("""COMPUTED_VALUE"""),"華興學校財團法人臺北市私立華興高級中等學校小學部")</f>
        <v>華興學校財團法人臺北市私立華興高級中等學校小學部</v>
      </c>
      <c r="F220" s="14" t="str">
        <f>IFERROR(__xludf.DUMMYFUNCTION("""COMPUTED_VALUE"""),"五年級")</f>
        <v>五年級</v>
      </c>
      <c r="G220" s="14" t="str">
        <f>IFERROR(__xludf.DUMMYFUNCTION("""COMPUTED_VALUE"""),"●小禮物")</f>
        <v>●小禮物</v>
      </c>
      <c r="H220" s="8"/>
    </row>
    <row r="221">
      <c r="A221" s="18"/>
      <c r="B221" s="14">
        <f>IFERROR(__xludf.DUMMYFUNCTION("""COMPUTED_VALUE"""),543784.0)</f>
        <v>543784</v>
      </c>
      <c r="C221" s="14" t="str">
        <f>IFERROR(__xludf.DUMMYFUNCTION("""COMPUTED_VALUE"""),"林靖翔")</f>
        <v>林靖翔</v>
      </c>
      <c r="D221" s="16" t="str">
        <f>IFERROR(__xludf.DUMMYFUNCTION("""COMPUTED_VALUE"""),"hhh*****42.tp@mail.edu.tw")</f>
        <v>hhh*****42.tp@mail.edu.tw</v>
      </c>
      <c r="E221" s="17" t="str">
        <f>IFERROR(__xludf.DUMMYFUNCTION("""COMPUTED_VALUE"""),"華興學校財團法人臺北市私立華興高級中等學校小學部")</f>
        <v>華興學校財團法人臺北市私立華興高級中等學校小學部</v>
      </c>
      <c r="F221" s="14" t="str">
        <f>IFERROR(__xludf.DUMMYFUNCTION("""COMPUTED_VALUE"""),"五年級")</f>
        <v>五年級</v>
      </c>
      <c r="G221" s="14" t="str">
        <f>IFERROR(__xludf.DUMMYFUNCTION("""COMPUTED_VALUE"""),"獎狀")</f>
        <v>獎狀</v>
      </c>
      <c r="H221" s="8"/>
    </row>
    <row r="222">
      <c r="A222" s="18"/>
      <c r="B222" s="14">
        <f>IFERROR(__xludf.DUMMYFUNCTION("""COMPUTED_VALUE"""),424540.0)</f>
        <v>424540</v>
      </c>
      <c r="C222" s="14" t="str">
        <f>IFERROR(__xludf.DUMMYFUNCTION("""COMPUTED_VALUE"""),"張品云")</f>
        <v>張品云</v>
      </c>
      <c r="D222" s="16" t="str">
        <f>IFERROR(__xludf.DUMMYFUNCTION("""COMPUTED_VALUE"""),"jud*****tt20@hotmail.com")</f>
        <v>jud*****tt20@hotmail.com</v>
      </c>
      <c r="E222" s="17" t="str">
        <f>IFERROR(__xludf.DUMMYFUNCTION("""COMPUTED_VALUE"""),"臺北市士林區芝山國民小學")</f>
        <v>臺北市士林區芝山國民小學</v>
      </c>
      <c r="F222" s="14" t="str">
        <f>IFERROR(__xludf.DUMMYFUNCTION("""COMPUTED_VALUE"""),"六年級")</f>
        <v>六年級</v>
      </c>
      <c r="G222" s="14" t="str">
        <f>IFERROR(__xludf.DUMMYFUNCTION("""COMPUTED_VALUE"""),"●小禮物")</f>
        <v>●小禮物</v>
      </c>
      <c r="H222" s="8"/>
    </row>
    <row r="223">
      <c r="A223" s="18"/>
      <c r="B223" s="14">
        <f>IFERROR(__xludf.DUMMYFUNCTION("""COMPUTED_VALUE"""),111660.0)</f>
        <v>111660</v>
      </c>
      <c r="C223" s="14" t="str">
        <f>IFERROR(__xludf.DUMMYFUNCTION("""COMPUTED_VALUE"""),"陳品勳")</f>
        <v>陳品勳</v>
      </c>
      <c r="D223" s="16" t="str">
        <f>IFERROR(__xludf.DUMMYFUNCTION("""COMPUTED_VALUE"""),"kat*****@gmail.com")</f>
        <v>kat*****@gmail.com</v>
      </c>
      <c r="E223" s="17" t="str">
        <f>IFERROR(__xludf.DUMMYFUNCTION("""COMPUTED_VALUE"""),"臺北市士林區百齡國民小學")</f>
        <v>臺北市士林區百齡國民小學</v>
      </c>
      <c r="F223" s="14" t="str">
        <f>IFERROR(__xludf.DUMMYFUNCTION("""COMPUTED_VALUE"""),"三年級")</f>
        <v>三年級</v>
      </c>
      <c r="G223" s="14" t="str">
        <f>IFERROR(__xludf.DUMMYFUNCTION("""COMPUTED_VALUE"""),"★禮券$200")</f>
        <v>★禮券$200</v>
      </c>
      <c r="H223" s="8"/>
    </row>
    <row r="224">
      <c r="A224" s="18"/>
      <c r="B224" s="14">
        <f>IFERROR(__xludf.DUMMYFUNCTION("""COMPUTED_VALUE"""),1107728.0)</f>
        <v>1107728</v>
      </c>
      <c r="C224" s="14" t="str">
        <f>IFERROR(__xludf.DUMMYFUNCTION("""COMPUTED_VALUE"""),"鍾承羲")</f>
        <v>鍾承羲</v>
      </c>
      <c r="D224" s="16" t="str">
        <f>IFERROR(__xludf.DUMMYFUNCTION("""COMPUTED_VALUE"""),"yil*****u@gmail.com")</f>
        <v>yil*****u@gmail.com</v>
      </c>
      <c r="E224" s="17" t="str">
        <f>IFERROR(__xludf.DUMMYFUNCTION("""COMPUTED_VALUE"""),"臺北市士林區百齡國民小學")</f>
        <v>臺北市士林區百齡國民小學</v>
      </c>
      <c r="F224" s="14" t="str">
        <f>IFERROR(__xludf.DUMMYFUNCTION("""COMPUTED_VALUE"""),"三年級")</f>
        <v>三年級</v>
      </c>
      <c r="G224" s="14" t="str">
        <f>IFERROR(__xludf.DUMMYFUNCTION("""COMPUTED_VALUE"""),"★禮券$200")</f>
        <v>★禮券$200</v>
      </c>
      <c r="H224" s="8"/>
    </row>
    <row r="225">
      <c r="A225" s="18"/>
      <c r="B225" s="14">
        <f>IFERROR(__xludf.DUMMYFUNCTION("""COMPUTED_VALUE"""),1210642.0)</f>
        <v>1210642</v>
      </c>
      <c r="C225" s="14" t="str">
        <f>IFERROR(__xludf.DUMMYFUNCTION("""COMPUTED_VALUE"""),"陳星月")</f>
        <v>陳星月</v>
      </c>
      <c r="D225" s="16" t="str">
        <f>IFERROR(__xludf.DUMMYFUNCTION("""COMPUTED_VALUE"""),"201*****leluna@gmail.com")</f>
        <v>201*****leluna@gmail.com</v>
      </c>
      <c r="E225" s="17" t="str">
        <f>IFERROR(__xludf.DUMMYFUNCTION("""COMPUTED_VALUE"""),"臺北市士林區百齡國民小學")</f>
        <v>臺北市士林區百齡國民小學</v>
      </c>
      <c r="F225" s="14" t="str">
        <f>IFERROR(__xludf.DUMMYFUNCTION("""COMPUTED_VALUE"""),"三年級")</f>
        <v>三年級</v>
      </c>
      <c r="G225" s="14" t="str">
        <f>IFERROR(__xludf.DUMMYFUNCTION("""COMPUTED_VALUE"""),"獎狀")</f>
        <v>獎狀</v>
      </c>
      <c r="H225" s="8"/>
    </row>
    <row r="226">
      <c r="A226" s="18"/>
      <c r="B226" s="14">
        <f>IFERROR(__xludf.DUMMYFUNCTION("""COMPUTED_VALUE"""),1216201.0)</f>
        <v>1216201</v>
      </c>
      <c r="C226" s="14" t="str">
        <f>IFERROR(__xludf.DUMMYFUNCTION("""COMPUTED_VALUE"""),"吳子弘")</f>
        <v>吳子弘</v>
      </c>
      <c r="D226" s="16" t="str">
        <f>IFERROR(__xludf.DUMMYFUNCTION("""COMPUTED_VALUE"""),"joy*****mw0413@gmail.com")</f>
        <v>joy*****mw0413@gmail.com</v>
      </c>
      <c r="E226" s="17" t="str">
        <f>IFERROR(__xludf.DUMMYFUNCTION("""COMPUTED_VALUE"""),"臺北市士林區百齡國民小學")</f>
        <v>臺北市士林區百齡國民小學</v>
      </c>
      <c r="F226" s="14" t="str">
        <f>IFERROR(__xludf.DUMMYFUNCTION("""COMPUTED_VALUE"""),"四年級")</f>
        <v>四年級</v>
      </c>
      <c r="G226" s="14" t="str">
        <f>IFERROR(__xludf.DUMMYFUNCTION("""COMPUTED_VALUE"""),"獎狀")</f>
        <v>獎狀</v>
      </c>
      <c r="H226" s="8"/>
    </row>
    <row r="227">
      <c r="A227" s="18"/>
      <c r="B227" s="14">
        <f>IFERROR(__xludf.DUMMYFUNCTION("""COMPUTED_VALUE"""),748759.0)</f>
        <v>748759</v>
      </c>
      <c r="C227" s="14" t="str">
        <f>IFERROR(__xludf.DUMMYFUNCTION("""COMPUTED_VALUE"""),"林紹彥")</f>
        <v>林紹彥</v>
      </c>
      <c r="D227" s="16" t="str">
        <f>IFERROR(__xludf.DUMMYFUNCTION("""COMPUTED_VALUE"""),"ble*****16.tp@mail.edu.tw")</f>
        <v>ble*****16.tp@mail.edu.tw</v>
      </c>
      <c r="E227" s="17" t="str">
        <f>IFERROR(__xludf.DUMMYFUNCTION("""COMPUTED_VALUE"""),"臺北市士林區百齡國民小學")</f>
        <v>臺北市士林區百齡國民小學</v>
      </c>
      <c r="F227" s="14" t="str">
        <f>IFERROR(__xludf.DUMMYFUNCTION("""COMPUTED_VALUE"""),"五年級")</f>
        <v>五年級</v>
      </c>
      <c r="G227" s="14" t="str">
        <f>IFERROR(__xludf.DUMMYFUNCTION("""COMPUTED_VALUE"""),"獎狀")</f>
        <v>獎狀</v>
      </c>
      <c r="H227" s="8"/>
    </row>
    <row r="228">
      <c r="A228" s="18"/>
      <c r="B228" s="14">
        <f>IFERROR(__xludf.DUMMYFUNCTION("""COMPUTED_VALUE"""),475396.0)</f>
        <v>475396</v>
      </c>
      <c r="C228" s="14" t="str">
        <f>IFERROR(__xludf.DUMMYFUNCTION("""COMPUTED_VALUE"""),"鍾承叡")</f>
        <v>鍾承叡</v>
      </c>
      <c r="D228" s="16" t="str">
        <f>IFERROR(__xludf.DUMMYFUNCTION("""COMPUTED_VALUE"""),"ela*****9@gmail.com")</f>
        <v>ela*****9@gmail.com</v>
      </c>
      <c r="E228" s="17" t="str">
        <f>IFERROR(__xludf.DUMMYFUNCTION("""COMPUTED_VALUE"""),"臺北市士林區百齡國民小學")</f>
        <v>臺北市士林區百齡國民小學</v>
      </c>
      <c r="F228" s="14" t="str">
        <f>IFERROR(__xludf.DUMMYFUNCTION("""COMPUTED_VALUE"""),"五年級")</f>
        <v>五年級</v>
      </c>
      <c r="G228" s="14" t="str">
        <f>IFERROR(__xludf.DUMMYFUNCTION("""COMPUTED_VALUE"""),"●小禮物")</f>
        <v>●小禮物</v>
      </c>
      <c r="H228" s="8"/>
    </row>
    <row r="229">
      <c r="A229" s="18"/>
      <c r="B229" s="14">
        <f>IFERROR(__xludf.DUMMYFUNCTION("""COMPUTED_VALUE"""),583039.0)</f>
        <v>583039</v>
      </c>
      <c r="C229" s="14" t="str">
        <f>IFERROR(__xludf.DUMMYFUNCTION("""COMPUTED_VALUE"""),"林昱澔")</f>
        <v>林昱澔</v>
      </c>
      <c r="D229" s="16" t="str">
        <f>IFERROR(__xludf.DUMMYFUNCTION("""COMPUTED_VALUE"""),"ble*****42.tp@mail.edu.tw")</f>
        <v>ble*****42.tp@mail.edu.tw</v>
      </c>
      <c r="E229" s="17" t="str">
        <f>IFERROR(__xludf.DUMMYFUNCTION("""COMPUTED_VALUE"""),"臺北市士林區百齡國民小學")</f>
        <v>臺北市士林區百齡國民小學</v>
      </c>
      <c r="F229" s="14" t="str">
        <f>IFERROR(__xludf.DUMMYFUNCTION("""COMPUTED_VALUE"""),"五年級")</f>
        <v>五年級</v>
      </c>
      <c r="G229" s="14" t="str">
        <f>IFERROR(__xludf.DUMMYFUNCTION("""COMPUTED_VALUE"""),"★禮券$200")</f>
        <v>★禮券$200</v>
      </c>
      <c r="H229" s="8"/>
    </row>
    <row r="230">
      <c r="A230" s="18"/>
      <c r="B230" s="14">
        <f>IFERROR(__xludf.DUMMYFUNCTION("""COMPUTED_VALUE"""),594173.0)</f>
        <v>594173</v>
      </c>
      <c r="C230" s="14" t="str">
        <f>IFERROR(__xludf.DUMMYFUNCTION("""COMPUTED_VALUE"""),"賴宥宏")</f>
        <v>賴宥宏</v>
      </c>
      <c r="D230" s="16" t="str">
        <f>IFERROR(__xludf.DUMMYFUNCTION("""COMPUTED_VALUE"""),"ble*****47.tp@mail.edu.tw")</f>
        <v>ble*****47.tp@mail.edu.tw</v>
      </c>
      <c r="E230" s="17" t="str">
        <f>IFERROR(__xludf.DUMMYFUNCTION("""COMPUTED_VALUE"""),"臺北市士林區百齡國民小學")</f>
        <v>臺北市士林區百齡國民小學</v>
      </c>
      <c r="F230" s="14" t="str">
        <f>IFERROR(__xludf.DUMMYFUNCTION("""COMPUTED_VALUE"""),"五年級")</f>
        <v>五年級</v>
      </c>
      <c r="G230" s="14" t="str">
        <f>IFERROR(__xludf.DUMMYFUNCTION("""COMPUTED_VALUE"""),"獎狀")</f>
        <v>獎狀</v>
      </c>
      <c r="H230" s="8"/>
    </row>
    <row r="231">
      <c r="A231" s="18"/>
      <c r="B231" s="14">
        <f>IFERROR(__xludf.DUMMYFUNCTION("""COMPUTED_VALUE"""),431901.0)</f>
        <v>431901</v>
      </c>
      <c r="C231" s="14" t="str">
        <f>IFERROR(__xludf.DUMMYFUNCTION("""COMPUTED_VALUE"""),"陳波妞")</f>
        <v>陳波妞</v>
      </c>
      <c r="D231" s="16" t="str">
        <f>IFERROR(__xludf.DUMMYFUNCTION("""COMPUTED_VALUE"""),"ble*****31@mail.edu.tw")</f>
        <v>ble*****31@mail.edu.tw</v>
      </c>
      <c r="E231" s="17" t="str">
        <f>IFERROR(__xludf.DUMMYFUNCTION("""COMPUTED_VALUE"""),"臺北市士林區百齡國民小學")</f>
        <v>臺北市士林區百齡國民小學</v>
      </c>
      <c r="F231" s="14" t="str">
        <f>IFERROR(__xludf.DUMMYFUNCTION("""COMPUTED_VALUE"""),"六年級")</f>
        <v>六年級</v>
      </c>
      <c r="G231" s="14" t="str">
        <f>IFERROR(__xludf.DUMMYFUNCTION("""COMPUTED_VALUE"""),"獎狀")</f>
        <v>獎狀</v>
      </c>
      <c r="H231" s="8"/>
    </row>
    <row r="232">
      <c r="A232" s="18"/>
      <c r="B232" s="14">
        <f>IFERROR(__xludf.DUMMYFUNCTION("""COMPUTED_VALUE"""),1187027.0)</f>
        <v>1187027</v>
      </c>
      <c r="C232" s="14" t="str">
        <f>IFERROR(__xludf.DUMMYFUNCTION("""COMPUTED_VALUE"""),"彭鈺倢")</f>
        <v>彭鈺倢</v>
      </c>
      <c r="D232" s="16" t="str">
        <f>IFERROR(__xludf.DUMMYFUNCTION("""COMPUTED_VALUE"""),"108*****lps.tp.edu.tw")</f>
        <v>108*****lps.tp.edu.tw</v>
      </c>
      <c r="E232" s="17" t="str">
        <f>IFERROR(__xludf.DUMMYFUNCTION("""COMPUTED_VALUE"""),"臺北市士林區士林國民小學")</f>
        <v>臺北市士林區士林國民小學</v>
      </c>
      <c r="F232" s="14" t="str">
        <f>IFERROR(__xludf.DUMMYFUNCTION("""COMPUTED_VALUE"""),"四年級")</f>
        <v>四年級</v>
      </c>
      <c r="G232" s="14" t="str">
        <f>IFERROR(__xludf.DUMMYFUNCTION("""COMPUTED_VALUE"""),"獎狀")</f>
        <v>獎狀</v>
      </c>
      <c r="H232" s="8"/>
    </row>
    <row r="233">
      <c r="A233" s="18"/>
      <c r="B233" s="14">
        <f>IFERROR(__xludf.DUMMYFUNCTION("""COMPUTED_VALUE"""),1080528.0)</f>
        <v>1080528</v>
      </c>
      <c r="C233" s="14" t="str">
        <f>IFERROR(__xludf.DUMMYFUNCTION("""COMPUTED_VALUE"""),"陳昱豪")</f>
        <v>陳昱豪</v>
      </c>
      <c r="D233" s="16" t="str">
        <f>IFERROR(__xludf.DUMMYFUNCTION("""COMPUTED_VALUE"""),"yuh*****n1115@gmail.com")</f>
        <v>yuh*****n1115@gmail.com</v>
      </c>
      <c r="E233" s="17" t="str">
        <f>IFERROR(__xludf.DUMMYFUNCTION("""COMPUTED_VALUE"""),"臺北市士林區士林國民小學")</f>
        <v>臺北市士林區士林國民小學</v>
      </c>
      <c r="F233" s="14" t="str">
        <f>IFERROR(__xludf.DUMMYFUNCTION("""COMPUTED_VALUE"""),"四年級")</f>
        <v>四年級</v>
      </c>
      <c r="G233" s="14" t="str">
        <f>IFERROR(__xludf.DUMMYFUNCTION("""COMPUTED_VALUE"""),"獎狀")</f>
        <v>獎狀</v>
      </c>
      <c r="H233" s="8"/>
    </row>
    <row r="234">
      <c r="A234" s="18"/>
      <c r="B234" s="14">
        <f>IFERROR(__xludf.DUMMYFUNCTION("""COMPUTED_VALUE"""),558029.0)</f>
        <v>558029</v>
      </c>
      <c r="C234" s="14" t="str">
        <f>IFERROR(__xludf.DUMMYFUNCTION("""COMPUTED_VALUE"""),"范弘碩")</f>
        <v>范弘碩</v>
      </c>
      <c r="D234" s="16" t="str">
        <f>IFERROR(__xludf.DUMMYFUNCTION("""COMPUTED_VALUE"""),"chi*****07@hotmail.com")</f>
        <v>chi*****07@hotmail.com</v>
      </c>
      <c r="E234" s="17" t="str">
        <f>IFERROR(__xludf.DUMMYFUNCTION("""COMPUTED_VALUE"""),"臺北市士林區士林國民小學")</f>
        <v>臺北市士林區士林國民小學</v>
      </c>
      <c r="F234" s="14" t="str">
        <f>IFERROR(__xludf.DUMMYFUNCTION("""COMPUTED_VALUE"""),"五年級")</f>
        <v>五年級</v>
      </c>
      <c r="G234" s="14" t="str">
        <f>IFERROR(__xludf.DUMMYFUNCTION("""COMPUTED_VALUE"""),"獎狀")</f>
        <v>獎狀</v>
      </c>
      <c r="H234" s="8"/>
    </row>
    <row r="235">
      <c r="A235" s="18"/>
      <c r="B235" s="14">
        <f>IFERROR(__xludf.DUMMYFUNCTION("""COMPUTED_VALUE"""),970185.0)</f>
        <v>970185</v>
      </c>
      <c r="C235" s="14" t="str">
        <f>IFERROR(__xludf.DUMMYFUNCTION("""COMPUTED_VALUE"""),"蔣士廷")</f>
        <v>蔣士廷</v>
      </c>
      <c r="D235" s="16" t="str">
        <f>IFERROR(__xludf.DUMMYFUNCTION("""COMPUTED_VALUE"""),"109*****sses.tp.edu.tw")</f>
        <v>109*****sses.tp.edu.tw</v>
      </c>
      <c r="E235" s="17" t="str">
        <f>IFERROR(__xludf.DUMMYFUNCTION("""COMPUTED_VALUE"""),"臺北市士林區雙溪國民小學")</f>
        <v>臺北市士林區雙溪國民小學</v>
      </c>
      <c r="F235" s="14" t="str">
        <f>IFERROR(__xludf.DUMMYFUNCTION("""COMPUTED_VALUE"""),"三年級")</f>
        <v>三年級</v>
      </c>
      <c r="G235" s="14" t="str">
        <f>IFERROR(__xludf.DUMMYFUNCTION("""COMPUTED_VALUE"""),"●小禮物")</f>
        <v>●小禮物</v>
      </c>
      <c r="H235" s="8"/>
    </row>
    <row r="236">
      <c r="A236" s="18"/>
      <c r="B236" s="14">
        <f>IFERROR(__xludf.DUMMYFUNCTION("""COMPUTED_VALUE"""),968845.0)</f>
        <v>968845</v>
      </c>
      <c r="C236" s="14" t="str">
        <f>IFERROR(__xludf.DUMMYFUNCTION("""COMPUTED_VALUE"""),"蔣可薇")</f>
        <v>蔣可薇</v>
      </c>
      <c r="D236" s="16" t="str">
        <f>IFERROR(__xludf.DUMMYFUNCTION("""COMPUTED_VALUE"""),"108*****ses.tp.edu.tw")</f>
        <v>108*****ses.tp.edu.tw</v>
      </c>
      <c r="E236" s="17" t="str">
        <f>IFERROR(__xludf.DUMMYFUNCTION("""COMPUTED_VALUE"""),"臺北市士林區雙溪國民小學")</f>
        <v>臺北市士林區雙溪國民小學</v>
      </c>
      <c r="F236" s="14" t="str">
        <f>IFERROR(__xludf.DUMMYFUNCTION("""COMPUTED_VALUE"""),"四年級")</f>
        <v>四年級</v>
      </c>
      <c r="G236" s="14" t="str">
        <f>IFERROR(__xludf.DUMMYFUNCTION("""COMPUTED_VALUE"""),"獎狀")</f>
        <v>獎狀</v>
      </c>
      <c r="H236" s="8"/>
    </row>
    <row r="237">
      <c r="A237" s="18"/>
      <c r="B237" s="14">
        <f>IFERROR(__xludf.DUMMYFUNCTION("""COMPUTED_VALUE"""),1014115.0)</f>
        <v>1014115</v>
      </c>
      <c r="C237" s="14" t="str">
        <f>IFERROR(__xludf.DUMMYFUNCTION("""COMPUTED_VALUE"""),"辛潔皿")</f>
        <v>辛潔皿</v>
      </c>
      <c r="D237" s="16" t="str">
        <f>IFERROR(__xludf.DUMMYFUNCTION("""COMPUTED_VALUE"""),"106*****ses.tp.edu.tw")</f>
        <v>106*****ses.tp.edu.tw</v>
      </c>
      <c r="E237" s="17" t="str">
        <f>IFERROR(__xludf.DUMMYFUNCTION("""COMPUTED_VALUE"""),"臺北市士林區雙溪國民小學")</f>
        <v>臺北市士林區雙溪國民小學</v>
      </c>
      <c r="F237" s="14" t="str">
        <f>IFERROR(__xludf.DUMMYFUNCTION("""COMPUTED_VALUE"""),"六年級")</f>
        <v>六年級</v>
      </c>
      <c r="G237" s="14" t="str">
        <f>IFERROR(__xludf.DUMMYFUNCTION("""COMPUTED_VALUE"""),"●小禮物")</f>
        <v>●小禮物</v>
      </c>
      <c r="H237" s="8"/>
    </row>
    <row r="238">
      <c r="A238" s="18"/>
      <c r="B238" s="14">
        <f>IFERROR(__xludf.DUMMYFUNCTION("""COMPUTED_VALUE"""),1090762.0)</f>
        <v>1090762</v>
      </c>
      <c r="C238" s="14" t="str">
        <f>IFERROR(__xludf.DUMMYFUNCTION("""COMPUTED_VALUE"""),"徐涵彥")</f>
        <v>徐涵彥</v>
      </c>
      <c r="D238" s="16" t="str">
        <f>IFERROR(__xludf.DUMMYFUNCTION("""COMPUTED_VALUE"""),"106*****ses.tp.edu.tw")</f>
        <v>106*****ses.tp.edu.tw</v>
      </c>
      <c r="E238" s="17" t="str">
        <f>IFERROR(__xludf.DUMMYFUNCTION("""COMPUTED_VALUE"""),"臺北市士林區雙溪國民小學")</f>
        <v>臺北市士林區雙溪國民小學</v>
      </c>
      <c r="F238" s="14" t="str">
        <f>IFERROR(__xludf.DUMMYFUNCTION("""COMPUTED_VALUE"""),"六年級")</f>
        <v>六年級</v>
      </c>
      <c r="G238" s="14" t="str">
        <f>IFERROR(__xludf.DUMMYFUNCTION("""COMPUTED_VALUE"""),"●小禮物")</f>
        <v>●小禮物</v>
      </c>
      <c r="H238" s="8"/>
    </row>
    <row r="239">
      <c r="A239" s="18"/>
      <c r="B239" s="14">
        <f>IFERROR(__xludf.DUMMYFUNCTION("""COMPUTED_VALUE"""),1008804.0)</f>
        <v>1008804</v>
      </c>
      <c r="C239" s="14" t="str">
        <f>IFERROR(__xludf.DUMMYFUNCTION("""COMPUTED_VALUE"""),"何亮肜")</f>
        <v>何亮肜</v>
      </c>
      <c r="D239" s="16" t="str">
        <f>IFERROR(__xludf.DUMMYFUNCTION("""COMPUTED_VALUE"""),"106*****ses.tp.edu.tw")</f>
        <v>106*****ses.tp.edu.tw</v>
      </c>
      <c r="E239" s="17" t="str">
        <f>IFERROR(__xludf.DUMMYFUNCTION("""COMPUTED_VALUE"""),"臺北市士林區雙溪國民小學")</f>
        <v>臺北市士林區雙溪國民小學</v>
      </c>
      <c r="F239" s="14" t="str">
        <f>IFERROR(__xludf.DUMMYFUNCTION("""COMPUTED_VALUE"""),"六年級")</f>
        <v>六年級</v>
      </c>
      <c r="G239" s="14" t="str">
        <f>IFERROR(__xludf.DUMMYFUNCTION("""COMPUTED_VALUE"""),"獎狀")</f>
        <v>獎狀</v>
      </c>
      <c r="H239" s="8"/>
    </row>
    <row r="240">
      <c r="A240" s="18"/>
      <c r="B240" s="14">
        <f>IFERROR(__xludf.DUMMYFUNCTION("""COMPUTED_VALUE"""),1090773.0)</f>
        <v>1090773</v>
      </c>
      <c r="C240" s="14" t="str">
        <f>IFERROR(__xludf.DUMMYFUNCTION("""COMPUTED_VALUE"""),"林以綠")</f>
        <v>林以綠</v>
      </c>
      <c r="D240" s="16" t="str">
        <f>IFERROR(__xludf.DUMMYFUNCTION("""COMPUTED_VALUE"""),"106*****ses.tp.edu.tw")</f>
        <v>106*****ses.tp.edu.tw</v>
      </c>
      <c r="E240" s="17" t="str">
        <f>IFERROR(__xludf.DUMMYFUNCTION("""COMPUTED_VALUE"""),"臺北市士林區雙溪國民小學")</f>
        <v>臺北市士林區雙溪國民小學</v>
      </c>
      <c r="F240" s="14" t="str">
        <f>IFERROR(__xludf.DUMMYFUNCTION("""COMPUTED_VALUE"""),"六年級")</f>
        <v>六年級</v>
      </c>
      <c r="G240" s="14" t="str">
        <f>IFERROR(__xludf.DUMMYFUNCTION("""COMPUTED_VALUE"""),"獎狀")</f>
        <v>獎狀</v>
      </c>
      <c r="H240" s="8"/>
    </row>
    <row r="241">
      <c r="A241" s="18"/>
      <c r="B241" s="14">
        <f>IFERROR(__xludf.DUMMYFUNCTION("""COMPUTED_VALUE"""),1090774.0)</f>
        <v>1090774</v>
      </c>
      <c r="C241" s="14" t="str">
        <f>IFERROR(__xludf.DUMMYFUNCTION("""COMPUTED_VALUE"""),"林若芯")</f>
        <v>林若芯</v>
      </c>
      <c r="D241" s="16" t="str">
        <f>IFERROR(__xludf.DUMMYFUNCTION("""COMPUTED_VALUE"""),"106*****ses.tp.edu.tw")</f>
        <v>106*****ses.tp.edu.tw</v>
      </c>
      <c r="E241" s="17" t="str">
        <f>IFERROR(__xludf.DUMMYFUNCTION("""COMPUTED_VALUE"""),"臺北市士林區雙溪國民小學")</f>
        <v>臺北市士林區雙溪國民小學</v>
      </c>
      <c r="F241" s="14" t="str">
        <f>IFERROR(__xludf.DUMMYFUNCTION("""COMPUTED_VALUE"""),"六年級")</f>
        <v>六年級</v>
      </c>
      <c r="G241" s="14" t="str">
        <f>IFERROR(__xludf.DUMMYFUNCTION("""COMPUTED_VALUE"""),"獎狀")</f>
        <v>獎狀</v>
      </c>
      <c r="H241" s="8"/>
    </row>
    <row r="242">
      <c r="A242" s="18"/>
      <c r="B242" s="14">
        <f>IFERROR(__xludf.DUMMYFUNCTION("""COMPUTED_VALUE"""),969372.0)</f>
        <v>969372</v>
      </c>
      <c r="C242" s="14" t="str">
        <f>IFERROR(__xludf.DUMMYFUNCTION("""COMPUTED_VALUE"""),"林祺蓉")</f>
        <v>林祺蓉</v>
      </c>
      <c r="D242" s="16" t="str">
        <f>IFERROR(__xludf.DUMMYFUNCTION("""COMPUTED_VALUE"""),"106*****ses.tp.edu.tw")</f>
        <v>106*****ses.tp.edu.tw</v>
      </c>
      <c r="E242" s="17" t="str">
        <f>IFERROR(__xludf.DUMMYFUNCTION("""COMPUTED_VALUE"""),"臺北市士林區雙溪國民小學")</f>
        <v>臺北市士林區雙溪國民小學</v>
      </c>
      <c r="F242" s="14" t="str">
        <f>IFERROR(__xludf.DUMMYFUNCTION("""COMPUTED_VALUE"""),"六年級")</f>
        <v>六年級</v>
      </c>
      <c r="G242" s="14" t="str">
        <f>IFERROR(__xludf.DUMMYFUNCTION("""COMPUTED_VALUE"""),"獎狀")</f>
        <v>獎狀</v>
      </c>
      <c r="H242" s="8"/>
    </row>
    <row r="243">
      <c r="A243" s="18"/>
      <c r="B243" s="14">
        <f>IFERROR(__xludf.DUMMYFUNCTION("""COMPUTED_VALUE"""),969373.0)</f>
        <v>969373</v>
      </c>
      <c r="C243" s="14" t="str">
        <f>IFERROR(__xludf.DUMMYFUNCTION("""COMPUTED_VALUE"""),"曾啟恩")</f>
        <v>曾啟恩</v>
      </c>
      <c r="D243" s="16" t="str">
        <f>IFERROR(__xludf.DUMMYFUNCTION("""COMPUTED_VALUE"""),"106*****ses.tp.edu.tw")</f>
        <v>106*****ses.tp.edu.tw</v>
      </c>
      <c r="E243" s="17" t="str">
        <f>IFERROR(__xludf.DUMMYFUNCTION("""COMPUTED_VALUE"""),"臺北市士林區雙溪國民小學")</f>
        <v>臺北市士林區雙溪國民小學</v>
      </c>
      <c r="F243" s="14" t="str">
        <f>IFERROR(__xludf.DUMMYFUNCTION("""COMPUTED_VALUE"""),"六年級")</f>
        <v>六年級</v>
      </c>
      <c r="G243" s="14" t="str">
        <f>IFERROR(__xludf.DUMMYFUNCTION("""COMPUTED_VALUE"""),"獎狀")</f>
        <v>獎狀</v>
      </c>
      <c r="H243" s="8"/>
    </row>
    <row r="244">
      <c r="A244" s="18"/>
      <c r="B244" s="14">
        <f>IFERROR(__xludf.DUMMYFUNCTION("""COMPUTED_VALUE"""),969379.0)</f>
        <v>969379</v>
      </c>
      <c r="C244" s="14" t="str">
        <f>IFERROR(__xludf.DUMMYFUNCTION("""COMPUTED_VALUE"""),"戴彤軒")</f>
        <v>戴彤軒</v>
      </c>
      <c r="D244" s="16" t="str">
        <f>IFERROR(__xludf.DUMMYFUNCTION("""COMPUTED_VALUE"""),"106*****ses.tp.edu.tw")</f>
        <v>106*****ses.tp.edu.tw</v>
      </c>
      <c r="E244" s="17" t="str">
        <f>IFERROR(__xludf.DUMMYFUNCTION("""COMPUTED_VALUE"""),"臺北市士林區雙溪國民小學")</f>
        <v>臺北市士林區雙溪國民小學</v>
      </c>
      <c r="F244" s="14" t="str">
        <f>IFERROR(__xludf.DUMMYFUNCTION("""COMPUTED_VALUE"""),"六年級")</f>
        <v>六年級</v>
      </c>
      <c r="G244" s="14" t="str">
        <f>IFERROR(__xludf.DUMMYFUNCTION("""COMPUTED_VALUE"""),"獎狀")</f>
        <v>獎狀</v>
      </c>
      <c r="H244" s="8"/>
    </row>
    <row r="245">
      <c r="A245" s="18"/>
      <c r="B245" s="14">
        <f>IFERROR(__xludf.DUMMYFUNCTION("""COMPUTED_VALUE"""),745676.0)</f>
        <v>745676</v>
      </c>
      <c r="C245" s="14" t="str">
        <f>IFERROR(__xludf.DUMMYFUNCTION("""COMPUTED_VALUE"""),"楊睿彤")</f>
        <v>楊睿彤</v>
      </c>
      <c r="D245" s="16" t="str">
        <f>IFERROR(__xludf.DUMMYFUNCTION("""COMPUTED_VALUE"""),"amb*****.young@gmail.com")</f>
        <v>amb*****.young@gmail.com</v>
      </c>
      <c r="E245" s="17" t="str">
        <f>IFERROR(__xludf.DUMMYFUNCTION("""COMPUTED_VALUE"""),"臺北市士林區葫蘆國民小學")</f>
        <v>臺北市士林區葫蘆國民小學</v>
      </c>
      <c r="F245" s="14" t="str">
        <f>IFERROR(__xludf.DUMMYFUNCTION("""COMPUTED_VALUE"""),"四年級")</f>
        <v>四年級</v>
      </c>
      <c r="G245" s="14" t="str">
        <f>IFERROR(__xludf.DUMMYFUNCTION("""COMPUTED_VALUE"""),"●小禮物")</f>
        <v>●小禮物</v>
      </c>
      <c r="H245" s="8"/>
    </row>
    <row r="246">
      <c r="A246" s="18"/>
      <c r="B246" s="14">
        <f>IFERROR(__xludf.DUMMYFUNCTION("""COMPUTED_VALUE"""),755403.0)</f>
        <v>755403</v>
      </c>
      <c r="C246" s="14" t="str">
        <f>IFERROR(__xludf.DUMMYFUNCTION("""COMPUTED_VALUE"""),"劉富芯")</f>
        <v>劉富芯</v>
      </c>
      <c r="D246" s="16" t="str">
        <f>IFERROR(__xludf.DUMMYFUNCTION("""COMPUTED_VALUE"""),"ste*****23@stes.tp.edu.tw")</f>
        <v>ste*****23@stes.tp.edu.tw</v>
      </c>
      <c r="E246" s="17" t="str">
        <f>IFERROR(__xludf.DUMMYFUNCTION("""COMPUTED_VALUE"""),"臺北市士林區士東國民小學")</f>
        <v>臺北市士林區士東國民小學</v>
      </c>
      <c r="F246" s="14" t="str">
        <f>IFERROR(__xludf.DUMMYFUNCTION("""COMPUTED_VALUE"""),"四年級")</f>
        <v>四年級</v>
      </c>
      <c r="G246" s="14" t="str">
        <f>IFERROR(__xludf.DUMMYFUNCTION("""COMPUTED_VALUE"""),"獎狀")</f>
        <v>獎狀</v>
      </c>
      <c r="H246" s="8"/>
    </row>
    <row r="247">
      <c r="A247" s="18"/>
      <c r="B247" s="14">
        <f>IFERROR(__xludf.DUMMYFUNCTION("""COMPUTED_VALUE"""),1139977.0)</f>
        <v>1139977</v>
      </c>
      <c r="C247" s="14" t="str">
        <f>IFERROR(__xludf.DUMMYFUNCTION("""COMPUTED_VALUE"""),"許東硯")</f>
        <v>許東硯</v>
      </c>
      <c r="D247" s="16" t="str">
        <f>IFERROR(__xludf.DUMMYFUNCTION("""COMPUTED_VALUE"""),"ste*****65@stes.tp.edu.tw")</f>
        <v>ste*****65@stes.tp.edu.tw</v>
      </c>
      <c r="E247" s="17" t="str">
        <f>IFERROR(__xludf.DUMMYFUNCTION("""COMPUTED_VALUE"""),"臺北市士林區士東國民小學")</f>
        <v>臺北市士林區士東國民小學</v>
      </c>
      <c r="F247" s="14" t="str">
        <f>IFERROR(__xludf.DUMMYFUNCTION("""COMPUTED_VALUE"""),"四年級")</f>
        <v>四年級</v>
      </c>
      <c r="G247" s="14" t="str">
        <f>IFERROR(__xludf.DUMMYFUNCTION("""COMPUTED_VALUE"""),"●小禮物")</f>
        <v>●小禮物</v>
      </c>
      <c r="H247" s="8"/>
    </row>
    <row r="248">
      <c r="A248" s="18"/>
      <c r="B248" s="14">
        <f>IFERROR(__xludf.DUMMYFUNCTION("""COMPUTED_VALUE"""),953220.0)</f>
        <v>953220</v>
      </c>
      <c r="C248" s="14" t="str">
        <f>IFERROR(__xludf.DUMMYFUNCTION("""COMPUTED_VALUE"""),"邱宇彤")</f>
        <v>邱宇彤</v>
      </c>
      <c r="D248" s="16" t="str">
        <f>IFERROR(__xludf.DUMMYFUNCTION("""COMPUTED_VALUE"""),"ste*****25@stes.tp.edu.tw")</f>
        <v>ste*****25@stes.tp.edu.tw</v>
      </c>
      <c r="E248" s="17" t="str">
        <f>IFERROR(__xludf.DUMMYFUNCTION("""COMPUTED_VALUE"""),"臺北市士林區士東國民小學")</f>
        <v>臺北市士林區士東國民小學</v>
      </c>
      <c r="F248" s="14" t="str">
        <f>IFERROR(__xludf.DUMMYFUNCTION("""COMPUTED_VALUE"""),"六年級")</f>
        <v>六年級</v>
      </c>
      <c r="G248" s="14" t="str">
        <f>IFERROR(__xludf.DUMMYFUNCTION("""COMPUTED_VALUE"""),"獎狀")</f>
        <v>獎狀</v>
      </c>
      <c r="H248" s="8"/>
    </row>
    <row r="249">
      <c r="A249" s="18"/>
      <c r="B249" s="14">
        <f>IFERROR(__xludf.DUMMYFUNCTION("""COMPUTED_VALUE"""),880238.0)</f>
        <v>880238</v>
      </c>
      <c r="C249" s="14" t="str">
        <f>IFERROR(__xludf.DUMMYFUNCTION("""COMPUTED_VALUE"""),"王云希")</f>
        <v>王云希</v>
      </c>
      <c r="D249" s="16" t="str">
        <f>IFERROR(__xludf.DUMMYFUNCTION("""COMPUTED_VALUE"""),"107*****pps.kdps.tp.edu.tw")</f>
        <v>107*****pps.kdps.tp.edu.tw</v>
      </c>
      <c r="E249" s="17" t="str">
        <f>IFERROR(__xludf.DUMMYFUNCTION("""COMPUTED_VALUE"""),"臺北市北投區關渡國民小學")</f>
        <v>臺北市北投區關渡國民小學</v>
      </c>
      <c r="F249" s="14" t="str">
        <f>IFERROR(__xludf.DUMMYFUNCTION("""COMPUTED_VALUE"""),"五年級")</f>
        <v>五年級</v>
      </c>
      <c r="G249" s="14" t="str">
        <f>IFERROR(__xludf.DUMMYFUNCTION("""COMPUTED_VALUE"""),"獎狀")</f>
        <v>獎狀</v>
      </c>
      <c r="H249" s="8"/>
    </row>
    <row r="250">
      <c r="A250" s="18"/>
      <c r="B250" s="14">
        <f>IFERROR(__xludf.DUMMYFUNCTION("""COMPUTED_VALUE"""),674358.0)</f>
        <v>674358</v>
      </c>
      <c r="C250" s="14" t="str">
        <f>IFERROR(__xludf.DUMMYFUNCTION("""COMPUTED_VALUE"""),"賴雨澤")</f>
        <v>賴雨澤</v>
      </c>
      <c r="D250" s="16" t="str">
        <f>IFERROR(__xludf.DUMMYFUNCTION("""COMPUTED_VALUE"""),"rya*****207@gmail.com")</f>
        <v>rya*****207@gmail.com</v>
      </c>
      <c r="E250" s="17" t="str">
        <f>IFERROR(__xludf.DUMMYFUNCTION("""COMPUTED_VALUE"""),"臺北市北投區文化國民小學")</f>
        <v>臺北市北投區文化國民小學</v>
      </c>
      <c r="F250" s="14" t="str">
        <f>IFERROR(__xludf.DUMMYFUNCTION("""COMPUTED_VALUE"""),"四年級")</f>
        <v>四年級</v>
      </c>
      <c r="G250" s="14" t="str">
        <f>IFERROR(__xludf.DUMMYFUNCTION("""COMPUTED_VALUE"""),"獎狀")</f>
        <v>獎狀</v>
      </c>
      <c r="H250" s="8"/>
    </row>
    <row r="251">
      <c r="A251" s="18"/>
      <c r="B251" s="14">
        <f>IFERROR(__xludf.DUMMYFUNCTION("""COMPUTED_VALUE"""),420492.0)</f>
        <v>420492</v>
      </c>
      <c r="C251" s="14" t="str">
        <f>IFERROR(__xludf.DUMMYFUNCTION("""COMPUTED_VALUE"""),"陳思瑀")</f>
        <v>陳思瑀</v>
      </c>
      <c r="D251" s="16" t="str">
        <f>IFERROR(__xludf.DUMMYFUNCTION("""COMPUTED_VALUE"""),"car*****2@gmail.com")</f>
        <v>car*****2@gmail.com</v>
      </c>
      <c r="E251" s="17" t="str">
        <f>IFERROR(__xludf.DUMMYFUNCTION("""COMPUTED_VALUE"""),"臺北市北投區文化國民小學")</f>
        <v>臺北市北投區文化國民小學</v>
      </c>
      <c r="F251" s="14" t="str">
        <f>IFERROR(__xludf.DUMMYFUNCTION("""COMPUTED_VALUE"""),"五年級")</f>
        <v>五年級</v>
      </c>
      <c r="G251" s="14" t="str">
        <f>IFERROR(__xludf.DUMMYFUNCTION("""COMPUTED_VALUE"""),"獎狀")</f>
        <v>獎狀</v>
      </c>
      <c r="H251" s="8"/>
    </row>
    <row r="252">
      <c r="A252" s="18"/>
      <c r="B252" s="14">
        <f>IFERROR(__xludf.DUMMYFUNCTION("""COMPUTED_VALUE"""),1202257.0)</f>
        <v>1202257</v>
      </c>
      <c r="C252" s="14" t="str">
        <f>IFERROR(__xludf.DUMMYFUNCTION("""COMPUTED_VALUE"""),"王彥晴")</f>
        <v>王彥晴</v>
      </c>
      <c r="D252" s="16" t="str">
        <f>IFERROR(__xludf.DUMMYFUNCTION("""COMPUTED_VALUE"""),"spp*****85.tp@mail.edu.tw")</f>
        <v>spp*****85.tp@mail.edu.tw</v>
      </c>
      <c r="E252" s="17" t="str">
        <f>IFERROR(__xludf.DUMMYFUNCTION("""COMPUTED_VALUE"""),"臺北市北投區石牌國民小學")</f>
        <v>臺北市北投區石牌國民小學</v>
      </c>
      <c r="F252" s="14" t="str">
        <f>IFERROR(__xludf.DUMMYFUNCTION("""COMPUTED_VALUE"""),"四年級")</f>
        <v>四年級</v>
      </c>
      <c r="G252" s="14" t="str">
        <f>IFERROR(__xludf.DUMMYFUNCTION("""COMPUTED_VALUE"""),"●小禮物")</f>
        <v>●小禮物</v>
      </c>
      <c r="H252" s="8"/>
    </row>
    <row r="253">
      <c r="A253" s="18"/>
      <c r="B253" s="14">
        <f>IFERROR(__xludf.DUMMYFUNCTION("""COMPUTED_VALUE"""),1202254.0)</f>
        <v>1202254</v>
      </c>
      <c r="C253" s="14" t="str">
        <f>IFERROR(__xludf.DUMMYFUNCTION("""COMPUTED_VALUE"""),"江昀靜")</f>
        <v>江昀靜</v>
      </c>
      <c r="D253" s="16" t="str">
        <f>IFERROR(__xludf.DUMMYFUNCTION("""COMPUTED_VALUE"""),"spp*****54.tp@mail.edu.tw")</f>
        <v>spp*****54.tp@mail.edu.tw</v>
      </c>
      <c r="E253" s="17" t="str">
        <f>IFERROR(__xludf.DUMMYFUNCTION("""COMPUTED_VALUE"""),"臺北市北投區石牌國民小學")</f>
        <v>臺北市北投區石牌國民小學</v>
      </c>
      <c r="F253" s="14" t="str">
        <f>IFERROR(__xludf.DUMMYFUNCTION("""COMPUTED_VALUE"""),"四年級")</f>
        <v>四年級</v>
      </c>
      <c r="G253" s="14" t="str">
        <f>IFERROR(__xludf.DUMMYFUNCTION("""COMPUTED_VALUE"""),"獎狀")</f>
        <v>獎狀</v>
      </c>
      <c r="H253" s="8"/>
    </row>
    <row r="254">
      <c r="A254" s="18"/>
      <c r="B254" s="14">
        <f>IFERROR(__xludf.DUMMYFUNCTION("""COMPUTED_VALUE"""),1182784.0)</f>
        <v>1182784</v>
      </c>
      <c r="C254" s="14" t="str">
        <f>IFERROR(__xludf.DUMMYFUNCTION("""COMPUTED_VALUE"""),"林宸宇")</f>
        <v>林宸宇</v>
      </c>
      <c r="D254" s="16" t="str">
        <f>IFERROR(__xludf.DUMMYFUNCTION("""COMPUTED_VALUE"""),"spp*****43.tp@mail.edu.tw")</f>
        <v>spp*****43.tp@mail.edu.tw</v>
      </c>
      <c r="E254" s="17" t="str">
        <f>IFERROR(__xludf.DUMMYFUNCTION("""COMPUTED_VALUE"""),"臺北市北投區石牌國民小學")</f>
        <v>臺北市北投區石牌國民小學</v>
      </c>
      <c r="F254" s="14" t="str">
        <f>IFERROR(__xludf.DUMMYFUNCTION("""COMPUTED_VALUE"""),"四年級")</f>
        <v>四年級</v>
      </c>
      <c r="G254" s="14" t="str">
        <f>IFERROR(__xludf.DUMMYFUNCTION("""COMPUTED_VALUE"""),"獎狀")</f>
        <v>獎狀</v>
      </c>
      <c r="H254" s="8"/>
    </row>
    <row r="255">
      <c r="A255" s="18"/>
      <c r="B255" s="14">
        <f>IFERROR(__xludf.DUMMYFUNCTION("""COMPUTED_VALUE"""),1202258.0)</f>
        <v>1202258</v>
      </c>
      <c r="C255" s="14" t="str">
        <f>IFERROR(__xludf.DUMMYFUNCTION("""COMPUTED_VALUE"""),"柯允哲")</f>
        <v>柯允哲</v>
      </c>
      <c r="D255" s="16" t="str">
        <f>IFERROR(__xludf.DUMMYFUNCTION("""COMPUTED_VALUE"""),"spp*****44.tp@mail.edu.tw")</f>
        <v>spp*****44.tp@mail.edu.tw</v>
      </c>
      <c r="E255" s="17" t="str">
        <f>IFERROR(__xludf.DUMMYFUNCTION("""COMPUTED_VALUE"""),"臺北市北投區石牌國民小學")</f>
        <v>臺北市北投區石牌國民小學</v>
      </c>
      <c r="F255" s="14" t="str">
        <f>IFERROR(__xludf.DUMMYFUNCTION("""COMPUTED_VALUE"""),"四年級")</f>
        <v>四年級</v>
      </c>
      <c r="G255" s="14" t="str">
        <f>IFERROR(__xludf.DUMMYFUNCTION("""COMPUTED_VALUE"""),"獎狀")</f>
        <v>獎狀</v>
      </c>
      <c r="H255" s="8"/>
    </row>
    <row r="256">
      <c r="A256" s="18"/>
      <c r="B256" s="14">
        <f>IFERROR(__xludf.DUMMYFUNCTION("""COMPUTED_VALUE"""),1182782.0)</f>
        <v>1182782</v>
      </c>
      <c r="C256" s="14" t="str">
        <f>IFERROR(__xludf.DUMMYFUNCTION("""COMPUTED_VALUE"""),"徐詠緹")</f>
        <v>徐詠緹</v>
      </c>
      <c r="D256" s="16" t="str">
        <f>IFERROR(__xludf.DUMMYFUNCTION("""COMPUTED_VALUE"""),"spp*****09.tp@mail.edu.tw")</f>
        <v>spp*****09.tp@mail.edu.tw</v>
      </c>
      <c r="E256" s="17" t="str">
        <f>IFERROR(__xludf.DUMMYFUNCTION("""COMPUTED_VALUE"""),"臺北市北投區石牌國民小學")</f>
        <v>臺北市北投區石牌國民小學</v>
      </c>
      <c r="F256" s="14" t="str">
        <f>IFERROR(__xludf.DUMMYFUNCTION("""COMPUTED_VALUE"""),"四年級")</f>
        <v>四年級</v>
      </c>
      <c r="G256" s="14" t="str">
        <f>IFERROR(__xludf.DUMMYFUNCTION("""COMPUTED_VALUE"""),"獎狀")</f>
        <v>獎狀</v>
      </c>
      <c r="H256" s="8"/>
    </row>
    <row r="257">
      <c r="A257" s="18"/>
      <c r="B257" s="14">
        <f>IFERROR(__xludf.DUMMYFUNCTION("""COMPUTED_VALUE"""),1182768.0)</f>
        <v>1182768</v>
      </c>
      <c r="C257" s="14" t="str">
        <f>IFERROR(__xludf.DUMMYFUNCTION("""COMPUTED_VALUE"""),"黃亦嘉")</f>
        <v>黃亦嘉</v>
      </c>
      <c r="D257" s="16" t="str">
        <f>IFERROR(__xludf.DUMMYFUNCTION("""COMPUTED_VALUE"""),"spp*****40.tp@mail.edu.tw")</f>
        <v>spp*****40.tp@mail.edu.tw</v>
      </c>
      <c r="E257" s="17" t="str">
        <f>IFERROR(__xludf.DUMMYFUNCTION("""COMPUTED_VALUE"""),"臺北市北投區石牌國民小學")</f>
        <v>臺北市北投區石牌國民小學</v>
      </c>
      <c r="F257" s="14" t="str">
        <f>IFERROR(__xludf.DUMMYFUNCTION("""COMPUTED_VALUE"""),"四年級")</f>
        <v>四年級</v>
      </c>
      <c r="G257" s="14" t="str">
        <f>IFERROR(__xludf.DUMMYFUNCTION("""COMPUTED_VALUE"""),"獎狀")</f>
        <v>獎狀</v>
      </c>
      <c r="H257" s="8"/>
    </row>
    <row r="258">
      <c r="A258" s="18"/>
      <c r="B258" s="14">
        <f>IFERROR(__xludf.DUMMYFUNCTION("""COMPUTED_VALUE"""),1182769.0)</f>
        <v>1182769</v>
      </c>
      <c r="C258" s="14" t="str">
        <f>IFERROR(__xludf.DUMMYFUNCTION("""COMPUTED_VALUE"""),"潘振維")</f>
        <v>潘振維</v>
      </c>
      <c r="D258" s="16" t="str">
        <f>IFERROR(__xludf.DUMMYFUNCTION("""COMPUTED_VALUE"""),"spp*****83.tp@mail.edu.tw")</f>
        <v>spp*****83.tp@mail.edu.tw</v>
      </c>
      <c r="E258" s="17" t="str">
        <f>IFERROR(__xludf.DUMMYFUNCTION("""COMPUTED_VALUE"""),"臺北市北投區石牌國民小學")</f>
        <v>臺北市北投區石牌國民小學</v>
      </c>
      <c r="F258" s="14" t="str">
        <f>IFERROR(__xludf.DUMMYFUNCTION("""COMPUTED_VALUE"""),"四年級")</f>
        <v>四年級</v>
      </c>
      <c r="G258" s="14" t="str">
        <f>IFERROR(__xludf.DUMMYFUNCTION("""COMPUTED_VALUE"""),"獎狀")</f>
        <v>獎狀</v>
      </c>
      <c r="H258" s="8"/>
    </row>
    <row r="259">
      <c r="A259" s="18"/>
      <c r="B259" s="14">
        <f>IFERROR(__xludf.DUMMYFUNCTION("""COMPUTED_VALUE"""),1202255.0)</f>
        <v>1202255</v>
      </c>
      <c r="C259" s="14" t="str">
        <f>IFERROR(__xludf.DUMMYFUNCTION("""COMPUTED_VALUE"""),"鄭鈺潔")</f>
        <v>鄭鈺潔</v>
      </c>
      <c r="D259" s="16" t="str">
        <f>IFERROR(__xludf.DUMMYFUNCTION("""COMPUTED_VALUE"""),"evi*****7@mail.edu.tw")</f>
        <v>evi*****7@mail.edu.tw</v>
      </c>
      <c r="E259" s="17" t="str">
        <f>IFERROR(__xludf.DUMMYFUNCTION("""COMPUTED_VALUE"""),"臺北市北投區石牌國民小學")</f>
        <v>臺北市北投區石牌國民小學</v>
      </c>
      <c r="F259" s="14" t="str">
        <f>IFERROR(__xludf.DUMMYFUNCTION("""COMPUTED_VALUE"""),"四年級")</f>
        <v>四年級</v>
      </c>
      <c r="G259" s="14" t="str">
        <f>IFERROR(__xludf.DUMMYFUNCTION("""COMPUTED_VALUE"""),"獎狀")</f>
        <v>獎狀</v>
      </c>
      <c r="H259" s="8"/>
    </row>
    <row r="260">
      <c r="A260" s="18"/>
      <c r="B260" s="14">
        <f>IFERROR(__xludf.DUMMYFUNCTION("""COMPUTED_VALUE"""),1177417.0)</f>
        <v>1177417</v>
      </c>
      <c r="C260" s="14" t="str">
        <f>IFERROR(__xludf.DUMMYFUNCTION("""COMPUTED_VALUE"""),"李宥萱")</f>
        <v>李宥萱</v>
      </c>
      <c r="D260" s="16" t="str">
        <f>IFERROR(__xludf.DUMMYFUNCTION("""COMPUTED_VALUE"""),"vit*****2105@mail.edu.tw")</f>
        <v>vit*****2105@mail.edu.tw</v>
      </c>
      <c r="E260" s="17" t="str">
        <f>IFERROR(__xludf.DUMMYFUNCTION("""COMPUTED_VALUE"""),"臺北市北投區石牌國民小學")</f>
        <v>臺北市北投區石牌國民小學</v>
      </c>
      <c r="F260" s="14" t="str">
        <f>IFERROR(__xludf.DUMMYFUNCTION("""COMPUTED_VALUE"""),"五年級")</f>
        <v>五年級</v>
      </c>
      <c r="G260" s="14" t="str">
        <f>IFERROR(__xludf.DUMMYFUNCTION("""COMPUTED_VALUE"""),"獎狀")</f>
        <v>獎狀</v>
      </c>
      <c r="H260" s="8"/>
    </row>
    <row r="261">
      <c r="A261" s="18"/>
      <c r="B261" s="14">
        <f>IFERROR(__xludf.DUMMYFUNCTION("""COMPUTED_VALUE"""),951267.0)</f>
        <v>951267</v>
      </c>
      <c r="C261" s="14" t="str">
        <f>IFERROR(__xludf.DUMMYFUNCTION("""COMPUTED_VALUE"""),"廖珮雅")</f>
        <v>廖珮雅</v>
      </c>
      <c r="D261" s="16" t="str">
        <f>IFERROR(__xludf.DUMMYFUNCTION("""COMPUTED_VALUE"""),"spp*****40.tp@mail.edu.tw")</f>
        <v>spp*****40.tp@mail.edu.tw</v>
      </c>
      <c r="E261" s="17" t="str">
        <f>IFERROR(__xludf.DUMMYFUNCTION("""COMPUTED_VALUE"""),"臺北市北投區石牌國民小學")</f>
        <v>臺北市北投區石牌國民小學</v>
      </c>
      <c r="F261" s="14" t="str">
        <f>IFERROR(__xludf.DUMMYFUNCTION("""COMPUTED_VALUE"""),"五年級")</f>
        <v>五年級</v>
      </c>
      <c r="G261" s="14" t="str">
        <f>IFERROR(__xludf.DUMMYFUNCTION("""COMPUTED_VALUE"""),"獎狀")</f>
        <v>獎狀</v>
      </c>
      <c r="H261" s="8"/>
    </row>
    <row r="262">
      <c r="A262" s="18"/>
      <c r="B262" s="14">
        <f>IFERROR(__xludf.DUMMYFUNCTION("""COMPUTED_VALUE"""),1191196.0)</f>
        <v>1191196</v>
      </c>
      <c r="C262" s="14" t="str">
        <f>IFERROR(__xludf.DUMMYFUNCTION("""COMPUTED_VALUE"""),"林祺淵")</f>
        <v>林祺淵</v>
      </c>
      <c r="D262" s="16" t="str">
        <f>IFERROR(__xludf.DUMMYFUNCTION("""COMPUTED_VALUE"""),"spp*****23.tp@mail.edu.tw")</f>
        <v>spp*****23.tp@mail.edu.tw</v>
      </c>
      <c r="E262" s="17" t="str">
        <f>IFERROR(__xludf.DUMMYFUNCTION("""COMPUTED_VALUE"""),"臺北市北投區石牌國民小學")</f>
        <v>臺北市北投區石牌國民小學</v>
      </c>
      <c r="F262" s="14" t="str">
        <f>IFERROR(__xludf.DUMMYFUNCTION("""COMPUTED_VALUE"""),"五年級")</f>
        <v>五年級</v>
      </c>
      <c r="G262" s="14" t="str">
        <f>IFERROR(__xludf.DUMMYFUNCTION("""COMPUTED_VALUE"""),"●小禮物")</f>
        <v>●小禮物</v>
      </c>
      <c r="H262" s="8"/>
    </row>
    <row r="263">
      <c r="A263" s="18"/>
      <c r="B263" s="14">
        <f>IFERROR(__xludf.DUMMYFUNCTION("""COMPUTED_VALUE"""),949403.0)</f>
        <v>949403</v>
      </c>
      <c r="C263" s="14" t="str">
        <f>IFERROR(__xludf.DUMMYFUNCTION("""COMPUTED_VALUE"""),"張書瑀")</f>
        <v>張書瑀</v>
      </c>
      <c r="D263" s="16" t="str">
        <f>IFERROR(__xludf.DUMMYFUNCTION("""COMPUTED_VALUE"""),"spp*****53.tp@mail.edu.tw")</f>
        <v>spp*****53.tp@mail.edu.tw</v>
      </c>
      <c r="E263" s="17" t="str">
        <f>IFERROR(__xludf.DUMMYFUNCTION("""COMPUTED_VALUE"""),"臺北市北投區石牌國民小學")</f>
        <v>臺北市北投區石牌國民小學</v>
      </c>
      <c r="F263" s="14" t="str">
        <f>IFERROR(__xludf.DUMMYFUNCTION("""COMPUTED_VALUE"""),"五年級")</f>
        <v>五年級</v>
      </c>
      <c r="G263" s="14" t="str">
        <f>IFERROR(__xludf.DUMMYFUNCTION("""COMPUTED_VALUE"""),"●小禮物")</f>
        <v>●小禮物</v>
      </c>
      <c r="H263" s="8"/>
    </row>
    <row r="264">
      <c r="A264" s="18"/>
      <c r="B264" s="14">
        <f>IFERROR(__xludf.DUMMYFUNCTION("""COMPUTED_VALUE"""),1191195.0)</f>
        <v>1191195</v>
      </c>
      <c r="C264" s="14" t="str">
        <f>IFERROR(__xludf.DUMMYFUNCTION("""COMPUTED_VALUE"""),"陳有強")</f>
        <v>陳有強</v>
      </c>
      <c r="D264" s="16" t="str">
        <f>IFERROR(__xludf.DUMMYFUNCTION("""COMPUTED_VALUE"""),"spp*****2.tp@mail.edu.tw")</f>
        <v>spp*****2.tp@mail.edu.tw</v>
      </c>
      <c r="E264" s="17" t="str">
        <f>IFERROR(__xludf.DUMMYFUNCTION("""COMPUTED_VALUE"""),"臺北市北投區石牌國民小學")</f>
        <v>臺北市北投區石牌國民小學</v>
      </c>
      <c r="F264" s="14" t="str">
        <f>IFERROR(__xludf.DUMMYFUNCTION("""COMPUTED_VALUE"""),"五年級")</f>
        <v>五年級</v>
      </c>
      <c r="G264" s="14" t="str">
        <f>IFERROR(__xludf.DUMMYFUNCTION("""COMPUTED_VALUE"""),"獎狀")</f>
        <v>獎狀</v>
      </c>
      <c r="H264" s="8"/>
    </row>
    <row r="265">
      <c r="A265" s="18"/>
      <c r="B265" s="14">
        <f>IFERROR(__xludf.DUMMYFUNCTION("""COMPUTED_VALUE"""),598414.0)</f>
        <v>598414</v>
      </c>
      <c r="C265" s="14" t="str">
        <f>IFERROR(__xludf.DUMMYFUNCTION("""COMPUTED_VALUE"""),"黃若華")</f>
        <v>黃若華</v>
      </c>
      <c r="D265" s="16" t="str">
        <f>IFERROR(__xludf.DUMMYFUNCTION("""COMPUTED_VALUE"""),"fan*****033@yahoo.com.tw")</f>
        <v>fan*****033@yahoo.com.tw</v>
      </c>
      <c r="E265" s="17" t="str">
        <f>IFERROR(__xludf.DUMMYFUNCTION("""COMPUTED_VALUE"""),"臺北市北投區石牌國民小學")</f>
        <v>臺北市北投區石牌國民小學</v>
      </c>
      <c r="F265" s="14" t="str">
        <f>IFERROR(__xludf.DUMMYFUNCTION("""COMPUTED_VALUE"""),"五年級")</f>
        <v>五年級</v>
      </c>
      <c r="G265" s="14" t="str">
        <f>IFERROR(__xludf.DUMMYFUNCTION("""COMPUTED_VALUE"""),"★禮券$200")</f>
        <v>★禮券$200</v>
      </c>
      <c r="H265" s="8"/>
    </row>
    <row r="266">
      <c r="A266" s="18"/>
      <c r="B266" s="14">
        <f>IFERROR(__xludf.DUMMYFUNCTION("""COMPUTED_VALUE"""),771727.0)</f>
        <v>771727</v>
      </c>
      <c r="C266" s="14" t="str">
        <f>IFERROR(__xludf.DUMMYFUNCTION("""COMPUTED_VALUE"""),"胡喬勛")</f>
        <v>胡喬勛</v>
      </c>
      <c r="D266" s="16" t="str">
        <f>IFERROR(__xludf.DUMMYFUNCTION("""COMPUTED_VALUE"""),"2fi*****dy@yahoo.com.tw")</f>
        <v>2fi*****dy@yahoo.com.tw</v>
      </c>
      <c r="E266" s="17" t="str">
        <f>IFERROR(__xludf.DUMMYFUNCTION("""COMPUTED_VALUE"""),"臺北市北投區石牌國民小學")</f>
        <v>臺北市北投區石牌國民小學</v>
      </c>
      <c r="F266" s="14" t="str">
        <f>IFERROR(__xludf.DUMMYFUNCTION("""COMPUTED_VALUE"""),"五年級")</f>
        <v>五年級</v>
      </c>
      <c r="G266" s="14" t="str">
        <f>IFERROR(__xludf.DUMMYFUNCTION("""COMPUTED_VALUE"""),"●小禮物")</f>
        <v>●小禮物</v>
      </c>
      <c r="H266" s="8"/>
    </row>
    <row r="267">
      <c r="A267" s="18"/>
      <c r="B267" s="14">
        <f>IFERROR(__xludf.DUMMYFUNCTION("""COMPUTED_VALUE"""),1182984.0)</f>
        <v>1182984</v>
      </c>
      <c r="C267" s="14" t="str">
        <f>IFERROR(__xludf.DUMMYFUNCTION("""COMPUTED_VALUE"""),"蔡欣穎")</f>
        <v>蔡欣穎</v>
      </c>
      <c r="D267" s="16" t="str">
        <f>IFERROR(__xludf.DUMMYFUNCTION("""COMPUTED_VALUE"""),"spp*****49.tp@mail.edu.tw")</f>
        <v>spp*****49.tp@mail.edu.tw</v>
      </c>
      <c r="E267" s="17" t="str">
        <f>IFERROR(__xludf.DUMMYFUNCTION("""COMPUTED_VALUE"""),"臺北市北投區石牌國民小學")</f>
        <v>臺北市北投區石牌國民小學</v>
      </c>
      <c r="F267" s="14" t="str">
        <f>IFERROR(__xludf.DUMMYFUNCTION("""COMPUTED_VALUE"""),"六年級")</f>
        <v>六年級</v>
      </c>
      <c r="G267" s="14" t="str">
        <f>IFERROR(__xludf.DUMMYFUNCTION("""COMPUTED_VALUE"""),"獎狀")</f>
        <v>獎狀</v>
      </c>
      <c r="H267" s="8"/>
    </row>
    <row r="268">
      <c r="A268" s="18"/>
      <c r="B268" s="14">
        <f>IFERROR(__xludf.DUMMYFUNCTION("""COMPUTED_VALUE"""),593143.0)</f>
        <v>593143</v>
      </c>
      <c r="C268" s="14" t="str">
        <f>IFERROR(__xludf.DUMMYFUNCTION("""COMPUTED_VALUE"""),"陳榆昇")</f>
        <v>陳榆昇</v>
      </c>
      <c r="D268" s="16" t="str">
        <f>IFERROR(__xludf.DUMMYFUNCTION("""COMPUTED_VALUE"""),"spp*****64@spps.tp.edu.tw")</f>
        <v>spp*****64@spps.tp.edu.tw</v>
      </c>
      <c r="E268" s="17" t="str">
        <f>IFERROR(__xludf.DUMMYFUNCTION("""COMPUTED_VALUE"""),"臺北市北投區石牌國民小學")</f>
        <v>臺北市北投區石牌國民小學</v>
      </c>
      <c r="F268" s="14" t="str">
        <f>IFERROR(__xludf.DUMMYFUNCTION("""COMPUTED_VALUE"""),"六年級")</f>
        <v>六年級</v>
      </c>
      <c r="G268" s="14" t="str">
        <f>IFERROR(__xludf.DUMMYFUNCTION("""COMPUTED_VALUE"""),"●小禮物")</f>
        <v>●小禮物</v>
      </c>
      <c r="H268" s="8"/>
    </row>
    <row r="269">
      <c r="A269" s="18"/>
      <c r="B269" s="14">
        <f>IFERROR(__xludf.DUMMYFUNCTION("""COMPUTED_VALUE"""),1118996.0)</f>
        <v>1118996</v>
      </c>
      <c r="C269" s="14" t="str">
        <f>IFERROR(__xludf.DUMMYFUNCTION("""COMPUTED_VALUE"""),"蘇勇仁")</f>
        <v>蘇勇仁</v>
      </c>
      <c r="D269" s="16" t="str">
        <f>IFERROR(__xludf.DUMMYFUNCTION("""COMPUTED_VALUE"""),"109*****tu.cjps.tp.edu.tw")</f>
        <v>109*****tu.cjps.tp.edu.tw</v>
      </c>
      <c r="E269" s="17" t="str">
        <f>IFERROR(__xludf.DUMMYFUNCTION("""COMPUTED_VALUE"""),"臺北市北投區清江國民小學")</f>
        <v>臺北市北投區清江國民小學</v>
      </c>
      <c r="F269" s="14" t="str">
        <f>IFERROR(__xludf.DUMMYFUNCTION("""COMPUTED_VALUE"""),"三年級")</f>
        <v>三年級</v>
      </c>
      <c r="G269" s="14" t="str">
        <f>IFERROR(__xludf.DUMMYFUNCTION("""COMPUTED_VALUE"""),"獎狀")</f>
        <v>獎狀</v>
      </c>
      <c r="H269" s="8"/>
    </row>
    <row r="270">
      <c r="A270" s="18"/>
      <c r="B270" s="14">
        <f>IFERROR(__xludf.DUMMYFUNCTION("""COMPUTED_VALUE"""),1135613.0)</f>
        <v>1135613</v>
      </c>
      <c r="C270" s="14" t="str">
        <f>IFERROR(__xludf.DUMMYFUNCTION("""COMPUTED_VALUE"""),"蘇品嘉")</f>
        <v>蘇品嘉</v>
      </c>
      <c r="D270" s="16" t="str">
        <f>IFERROR(__xludf.DUMMYFUNCTION("""COMPUTED_VALUE"""),"107*****tu.cjps.tp.edu.tw")</f>
        <v>107*****tu.cjps.tp.edu.tw</v>
      </c>
      <c r="E270" s="17" t="str">
        <f>IFERROR(__xludf.DUMMYFUNCTION("""COMPUTED_VALUE"""),"臺北市北投區清江國民小學")</f>
        <v>臺北市北投區清江國民小學</v>
      </c>
      <c r="F270" s="14" t="str">
        <f>IFERROR(__xludf.DUMMYFUNCTION("""COMPUTED_VALUE"""),"五年級")</f>
        <v>五年級</v>
      </c>
      <c r="G270" s="14" t="str">
        <f>IFERROR(__xludf.DUMMYFUNCTION("""COMPUTED_VALUE"""),"●小禮物")</f>
        <v>●小禮物</v>
      </c>
      <c r="H270" s="8"/>
    </row>
    <row r="271">
      <c r="A271" s="18"/>
      <c r="B271" s="14">
        <f>IFERROR(__xludf.DUMMYFUNCTION("""COMPUTED_VALUE"""),821165.0)</f>
        <v>821165</v>
      </c>
      <c r="C271" s="14" t="str">
        <f>IFERROR(__xludf.DUMMYFUNCTION("""COMPUTED_VALUE"""),"溫亮")</f>
        <v>溫亮</v>
      </c>
      <c r="D271" s="16" t="str">
        <f>IFERROR(__xludf.DUMMYFUNCTION("""COMPUTED_VALUE"""),"pte*****30@st.ptes.tp.edu.tw")</f>
        <v>pte*****30@st.ptes.tp.edu.tw</v>
      </c>
      <c r="E271" s="17" t="str">
        <f>IFERROR(__xludf.DUMMYFUNCTION("""COMPUTED_VALUE"""),"臺北市北投區北投國民小學")</f>
        <v>臺北市北投區北投國民小學</v>
      </c>
      <c r="F271" s="14" t="str">
        <f>IFERROR(__xludf.DUMMYFUNCTION("""COMPUTED_VALUE"""),"四年級")</f>
        <v>四年級</v>
      </c>
      <c r="G271" s="14" t="str">
        <f>IFERROR(__xludf.DUMMYFUNCTION("""COMPUTED_VALUE"""),"●小禮物")</f>
        <v>●小禮物</v>
      </c>
      <c r="H271" s="8"/>
    </row>
    <row r="272">
      <c r="A272" s="18"/>
      <c r="B272" s="14">
        <f>IFERROR(__xludf.DUMMYFUNCTION("""COMPUTED_VALUE"""),667213.0)</f>
        <v>667213</v>
      </c>
      <c r="C272" s="14" t="str">
        <f>IFERROR(__xludf.DUMMYFUNCTION("""COMPUTED_VALUE"""),"李瑾涵")</f>
        <v>李瑾涵</v>
      </c>
      <c r="D272" s="16" t="str">
        <f>IFERROR(__xludf.DUMMYFUNCTION("""COMPUTED_VALUE"""),"pte*****03@st.ptes.tp.edu.tw")</f>
        <v>pte*****03@st.ptes.tp.edu.tw</v>
      </c>
      <c r="E272" s="17" t="str">
        <f>IFERROR(__xludf.DUMMYFUNCTION("""COMPUTED_VALUE"""),"臺北市北投區北投國民小學")</f>
        <v>臺北市北投區北投國民小學</v>
      </c>
      <c r="F272" s="14" t="str">
        <f>IFERROR(__xludf.DUMMYFUNCTION("""COMPUTED_VALUE"""),"五年級")</f>
        <v>五年級</v>
      </c>
      <c r="G272" s="14" t="str">
        <f>IFERROR(__xludf.DUMMYFUNCTION("""COMPUTED_VALUE"""),"●小禮物")</f>
        <v>●小禮物</v>
      </c>
      <c r="H272" s="8"/>
    </row>
    <row r="273">
      <c r="A273" s="18"/>
      <c r="B273" s="14">
        <f>IFERROR(__xludf.DUMMYFUNCTION("""COMPUTED_VALUE"""),430176.0)</f>
        <v>430176</v>
      </c>
      <c r="C273" s="14" t="str">
        <f>IFERROR(__xludf.DUMMYFUNCTION("""COMPUTED_VALUE"""),"魏廷聿")</f>
        <v>魏廷聿</v>
      </c>
      <c r="D273" s="16" t="str">
        <f>IFERROR(__xludf.DUMMYFUNCTION("""COMPUTED_VALUE"""),"tim*****lion@gmail.com")</f>
        <v>tim*****lion@gmail.com</v>
      </c>
      <c r="E273" s="17" t="str">
        <f>IFERROR(__xludf.DUMMYFUNCTION("""COMPUTED_VALUE"""),"臺北市私立薇閣國民小學")</f>
        <v>臺北市私立薇閣國民小學</v>
      </c>
      <c r="F273" s="14" t="str">
        <f>IFERROR(__xludf.DUMMYFUNCTION("""COMPUTED_VALUE"""),"五年級")</f>
        <v>五年級</v>
      </c>
      <c r="G273" s="14" t="str">
        <f>IFERROR(__xludf.DUMMYFUNCTION("""COMPUTED_VALUE"""),"獎狀")</f>
        <v>獎狀</v>
      </c>
      <c r="H273" s="8"/>
    </row>
    <row r="274">
      <c r="A274" s="18"/>
      <c r="B274" s="14">
        <f>IFERROR(__xludf.DUMMYFUNCTION("""COMPUTED_VALUE"""),1044199.0)</f>
        <v>1044199</v>
      </c>
      <c r="C274" s="14" t="str">
        <f>IFERROR(__xludf.DUMMYFUNCTION("""COMPUTED_VALUE"""),"陳怡文")</f>
        <v>陳怡文</v>
      </c>
      <c r="D274" s="16" t="str">
        <f>IFERROR(__xludf.DUMMYFUNCTION("""COMPUTED_VALUE"""),"che*****chen0106@gmail.com")</f>
        <v>che*****chen0106@gmail.com</v>
      </c>
      <c r="E274" s="17" t="str">
        <f>IFERROR(__xludf.DUMMYFUNCTION("""COMPUTED_VALUE"""),"臺北市私立薇閣國民小學")</f>
        <v>臺北市私立薇閣國民小學</v>
      </c>
      <c r="F274" s="14" t="str">
        <f>IFERROR(__xludf.DUMMYFUNCTION("""COMPUTED_VALUE"""),"六年級")</f>
        <v>六年級</v>
      </c>
      <c r="G274" s="14" t="str">
        <f>IFERROR(__xludf.DUMMYFUNCTION("""COMPUTED_VALUE"""),"●小禮物")</f>
        <v>●小禮物</v>
      </c>
      <c r="H274" s="8"/>
    </row>
    <row r="275">
      <c r="A275" s="18"/>
      <c r="B275" s="14">
        <f>IFERROR(__xludf.DUMMYFUNCTION("""COMPUTED_VALUE"""),948043.0)</f>
        <v>948043</v>
      </c>
      <c r="C275" s="14" t="str">
        <f>IFERROR(__xludf.DUMMYFUNCTION("""COMPUTED_VALUE"""),"林庭樂")</f>
        <v>林庭樂</v>
      </c>
      <c r="D275" s="16" t="str">
        <f>IFERROR(__xludf.DUMMYFUNCTION("""COMPUTED_VALUE"""),"108*****2.dhps.tp.edu.tw")</f>
        <v>108*****2.dhps.tp.edu.tw</v>
      </c>
      <c r="E275" s="17" t="str">
        <f>IFERROR(__xludf.DUMMYFUNCTION("""COMPUTED_VALUE"""),"臺北市內湖區大湖國民小學")</f>
        <v>臺北市內湖區大湖國民小學</v>
      </c>
      <c r="F275" s="14" t="str">
        <f>IFERROR(__xludf.DUMMYFUNCTION("""COMPUTED_VALUE"""),"四年級")</f>
        <v>四年級</v>
      </c>
      <c r="G275" s="14" t="str">
        <f>IFERROR(__xludf.DUMMYFUNCTION("""COMPUTED_VALUE"""),"獎狀")</f>
        <v>獎狀</v>
      </c>
      <c r="H275" s="8"/>
    </row>
    <row r="276">
      <c r="A276" s="18"/>
      <c r="B276" s="14">
        <f>IFERROR(__xludf.DUMMYFUNCTION("""COMPUTED_VALUE"""),588687.0)</f>
        <v>588687</v>
      </c>
      <c r="C276" s="14" t="str">
        <f>IFERROR(__xludf.DUMMYFUNCTION("""COMPUTED_VALUE"""),"馬亦萱")</f>
        <v>馬亦萱</v>
      </c>
      <c r="D276" s="16" t="str">
        <f>IFERROR(__xludf.DUMMYFUNCTION("""COMPUTED_VALUE"""),"hon*****a@gmail.com")</f>
        <v>hon*****a@gmail.com</v>
      </c>
      <c r="E276" s="17" t="str">
        <f>IFERROR(__xludf.DUMMYFUNCTION("""COMPUTED_VALUE"""),"臺北市內湖區大湖國民小學")</f>
        <v>臺北市內湖區大湖國民小學</v>
      </c>
      <c r="F276" s="14" t="str">
        <f>IFERROR(__xludf.DUMMYFUNCTION("""COMPUTED_VALUE"""),"五年級")</f>
        <v>五年級</v>
      </c>
      <c r="G276" s="14" t="str">
        <f>IFERROR(__xludf.DUMMYFUNCTION("""COMPUTED_VALUE"""),"獎狀")</f>
        <v>獎狀</v>
      </c>
      <c r="H276" s="8"/>
    </row>
    <row r="277">
      <c r="A277" s="18"/>
      <c r="B277" s="14">
        <f>IFERROR(__xludf.DUMMYFUNCTION("""COMPUTED_VALUE"""),552653.0)</f>
        <v>552653</v>
      </c>
      <c r="C277" s="14" t="str">
        <f>IFERROR(__xludf.DUMMYFUNCTION("""COMPUTED_VALUE"""),"王昱翔")</f>
        <v>王昱翔</v>
      </c>
      <c r="D277" s="16" t="str">
        <f>IFERROR(__xludf.DUMMYFUNCTION("""COMPUTED_VALUE"""),"sea*****0602@mail.edu.tw")</f>
        <v>sea*****0602@mail.edu.tw</v>
      </c>
      <c r="E277" s="17" t="str">
        <f>IFERROR(__xludf.DUMMYFUNCTION("""COMPUTED_VALUE"""),"臺北市內湖區碧湖國民小學")</f>
        <v>臺北市內湖區碧湖國民小學</v>
      </c>
      <c r="F277" s="14" t="str">
        <f>IFERROR(__xludf.DUMMYFUNCTION("""COMPUTED_VALUE"""),"五年級")</f>
        <v>五年級</v>
      </c>
      <c r="G277" s="14" t="str">
        <f>IFERROR(__xludf.DUMMYFUNCTION("""COMPUTED_VALUE"""),"獎狀")</f>
        <v>獎狀</v>
      </c>
      <c r="H277" s="8"/>
    </row>
    <row r="278">
      <c r="A278" s="18"/>
      <c r="B278" s="14">
        <f>IFERROR(__xludf.DUMMYFUNCTION("""COMPUTED_VALUE"""),992853.0)</f>
        <v>992853</v>
      </c>
      <c r="C278" s="14" t="str">
        <f>IFERROR(__xludf.DUMMYFUNCTION("""COMPUTED_VALUE"""),"王宥絜")</f>
        <v>王宥絜</v>
      </c>
      <c r="D278" s="16" t="str">
        <f>IFERROR(__xludf.DUMMYFUNCTION("""COMPUTED_VALUE"""),"106*****ail.bhps.tp.edu.tw")</f>
        <v>106*****ail.bhps.tp.edu.tw</v>
      </c>
      <c r="E278" s="17" t="str">
        <f>IFERROR(__xludf.DUMMYFUNCTION("""COMPUTED_VALUE"""),"臺北市內湖區碧湖國民小學")</f>
        <v>臺北市內湖區碧湖國民小學</v>
      </c>
      <c r="F278" s="14" t="str">
        <f>IFERROR(__xludf.DUMMYFUNCTION("""COMPUTED_VALUE"""),"六年級")</f>
        <v>六年級</v>
      </c>
      <c r="G278" s="14" t="str">
        <f>IFERROR(__xludf.DUMMYFUNCTION("""COMPUTED_VALUE"""),"獎狀")</f>
        <v>獎狀</v>
      </c>
      <c r="H278" s="8"/>
    </row>
    <row r="279">
      <c r="A279" s="18"/>
      <c r="B279" s="14">
        <f>IFERROR(__xludf.DUMMYFUNCTION("""COMPUTED_VALUE"""),423630.0)</f>
        <v>423630</v>
      </c>
      <c r="C279" s="14" t="str">
        <f>IFERROR(__xludf.DUMMYFUNCTION("""COMPUTED_VALUE"""),"陳怡臻")</f>
        <v>陳怡臻</v>
      </c>
      <c r="D279" s="16" t="str">
        <f>IFERROR(__xludf.DUMMYFUNCTION("""COMPUTED_VALUE"""),"tai*****meschen@gmail.com")</f>
        <v>tai*****meschen@gmail.com</v>
      </c>
      <c r="E279" s="17" t="str">
        <f>IFERROR(__xludf.DUMMYFUNCTION("""COMPUTED_VALUE"""),"臺北市內湖區西湖國民小學")</f>
        <v>臺北市內湖區西湖國民小學</v>
      </c>
      <c r="F279" s="14" t="str">
        <f>IFERROR(__xludf.DUMMYFUNCTION("""COMPUTED_VALUE"""),"六年級")</f>
        <v>六年級</v>
      </c>
      <c r="G279" s="14" t="str">
        <f>IFERROR(__xludf.DUMMYFUNCTION("""COMPUTED_VALUE"""),"●小禮物")</f>
        <v>●小禮物</v>
      </c>
      <c r="H279" s="8"/>
    </row>
    <row r="280">
      <c r="A280" s="18"/>
      <c r="B280" s="14">
        <f>IFERROR(__xludf.DUMMYFUNCTION("""COMPUTED_VALUE"""),1039695.0)</f>
        <v>1039695</v>
      </c>
      <c r="C280" s="14" t="str">
        <f>IFERROR(__xludf.DUMMYFUNCTION("""COMPUTED_VALUE"""),"鄭愛")</f>
        <v>鄭愛</v>
      </c>
      <c r="D280" s="16" t="str">
        <f>IFERROR(__xludf.DUMMYFUNCTION("""COMPUTED_VALUE"""),"tai*****l@gmail.com")</f>
        <v>tai*****l@gmail.com</v>
      </c>
      <c r="E280" s="17" t="str">
        <f>IFERROR(__xludf.DUMMYFUNCTION("""COMPUTED_VALUE"""),"臺北市內湖區東湖國民小學")</f>
        <v>臺北市內湖區東湖國民小學</v>
      </c>
      <c r="F280" s="14" t="str">
        <f>IFERROR(__xludf.DUMMYFUNCTION("""COMPUTED_VALUE"""),"四年級")</f>
        <v>四年級</v>
      </c>
      <c r="G280" s="14" t="str">
        <f>IFERROR(__xludf.DUMMYFUNCTION("""COMPUTED_VALUE"""),"獎狀")</f>
        <v>獎狀</v>
      </c>
      <c r="H280" s="8"/>
    </row>
    <row r="281">
      <c r="A281" s="18"/>
      <c r="B281" s="14">
        <f>IFERROR(__xludf.DUMMYFUNCTION("""COMPUTED_VALUE"""),796434.0)</f>
        <v>796434</v>
      </c>
      <c r="C281" s="14" t="str">
        <f>IFERROR(__xludf.DUMMYFUNCTION("""COMPUTED_VALUE"""),"初子瞻")</f>
        <v>初子瞻</v>
      </c>
      <c r="D281" s="16" t="str">
        <f>IFERROR(__xludf.DUMMYFUNCTION("""COMPUTED_VALUE"""),"eth*****chu@mail.edu.tw")</f>
        <v>eth*****chu@mail.edu.tw</v>
      </c>
      <c r="E281" s="17" t="str">
        <f>IFERROR(__xludf.DUMMYFUNCTION("""COMPUTED_VALUE"""),"臺北市內湖區明湖國民小學")</f>
        <v>臺北市內湖區明湖國民小學</v>
      </c>
      <c r="F281" s="14" t="str">
        <f>IFERROR(__xludf.DUMMYFUNCTION("""COMPUTED_VALUE"""),"三年級")</f>
        <v>三年級</v>
      </c>
      <c r="G281" s="14" t="str">
        <f>IFERROR(__xludf.DUMMYFUNCTION("""COMPUTED_VALUE"""),"獎狀")</f>
        <v>獎狀</v>
      </c>
      <c r="H281" s="8"/>
    </row>
    <row r="282">
      <c r="A282" s="18"/>
      <c r="B282" s="14">
        <f>IFERROR(__xludf.DUMMYFUNCTION("""COMPUTED_VALUE"""),1126275.0)</f>
        <v>1126275</v>
      </c>
      <c r="C282" s="14" t="str">
        <f>IFERROR(__xludf.DUMMYFUNCTION("""COMPUTED_VALUE"""),"程茂廷")</f>
        <v>程茂廷</v>
      </c>
      <c r="D282" s="16" t="str">
        <f>IFERROR(__xludf.DUMMYFUNCTION("""COMPUTED_VALUE"""),"mhu*****266@mail.edu.tw")</f>
        <v>mhu*****266@mail.edu.tw</v>
      </c>
      <c r="E282" s="17" t="str">
        <f>IFERROR(__xludf.DUMMYFUNCTION("""COMPUTED_VALUE"""),"臺北市內湖區明湖國民小學")</f>
        <v>臺北市內湖區明湖國民小學</v>
      </c>
      <c r="F282" s="14" t="str">
        <f>IFERROR(__xludf.DUMMYFUNCTION("""COMPUTED_VALUE"""),"三年級")</f>
        <v>三年級</v>
      </c>
      <c r="G282" s="14" t="str">
        <f>IFERROR(__xludf.DUMMYFUNCTION("""COMPUTED_VALUE"""),"●小禮物")</f>
        <v>●小禮物</v>
      </c>
      <c r="H282" s="8"/>
    </row>
    <row r="283">
      <c r="A283" s="18"/>
      <c r="B283" s="14">
        <f>IFERROR(__xludf.DUMMYFUNCTION("""COMPUTED_VALUE"""),1083310.0)</f>
        <v>1083310</v>
      </c>
      <c r="C283" s="14" t="str">
        <f>IFERROR(__xludf.DUMMYFUNCTION("""COMPUTED_VALUE"""),"陳志銓")</f>
        <v>陳志銓</v>
      </c>
      <c r="D283" s="16" t="str">
        <f>IFERROR(__xludf.DUMMYFUNCTION("""COMPUTED_VALUE"""),"108*****tu.mhups.tp.edu.tw")</f>
        <v>108*****tu.mhups.tp.edu.tw</v>
      </c>
      <c r="E283" s="17" t="str">
        <f>IFERROR(__xludf.DUMMYFUNCTION("""COMPUTED_VALUE"""),"臺北市內湖區明湖國民小學")</f>
        <v>臺北市內湖區明湖國民小學</v>
      </c>
      <c r="F283" s="14" t="str">
        <f>IFERROR(__xludf.DUMMYFUNCTION("""COMPUTED_VALUE"""),"四年級")</f>
        <v>四年級</v>
      </c>
      <c r="G283" s="14" t="str">
        <f>IFERROR(__xludf.DUMMYFUNCTION("""COMPUTED_VALUE"""),"獎狀")</f>
        <v>獎狀</v>
      </c>
      <c r="H283" s="8"/>
    </row>
    <row r="284">
      <c r="A284" s="18"/>
      <c r="B284" s="14">
        <f>IFERROR(__xludf.DUMMYFUNCTION("""COMPUTED_VALUE"""),1145911.0)</f>
        <v>1145911</v>
      </c>
      <c r="C284" s="14" t="str">
        <f>IFERROR(__xludf.DUMMYFUNCTION("""COMPUTED_VALUE"""),"張喬雁")</f>
        <v>張喬雁</v>
      </c>
      <c r="D284" s="16" t="str">
        <f>IFERROR(__xludf.DUMMYFUNCTION("""COMPUTED_VALUE"""),"joa*****hang@mail.edu.tw")</f>
        <v>joa*****hang@mail.edu.tw</v>
      </c>
      <c r="E284" s="17" t="str">
        <f>IFERROR(__xludf.DUMMYFUNCTION("""COMPUTED_VALUE"""),"臺北市內湖區明湖國民小學")</f>
        <v>臺北市內湖區明湖國民小學</v>
      </c>
      <c r="F284" s="14" t="str">
        <f>IFERROR(__xludf.DUMMYFUNCTION("""COMPUTED_VALUE"""),"四年級")</f>
        <v>四年級</v>
      </c>
      <c r="G284" s="14" t="str">
        <f>IFERROR(__xludf.DUMMYFUNCTION("""COMPUTED_VALUE"""),"★禮券$500")</f>
        <v>★禮券$500</v>
      </c>
      <c r="H284" s="8"/>
    </row>
    <row r="285">
      <c r="A285" s="18"/>
      <c r="B285" s="14">
        <f>IFERROR(__xludf.DUMMYFUNCTION("""COMPUTED_VALUE"""),1047662.0)</f>
        <v>1047662</v>
      </c>
      <c r="C285" s="14" t="str">
        <f>IFERROR(__xludf.DUMMYFUNCTION("""COMPUTED_VALUE"""),"陳蔓苓")</f>
        <v>陳蔓苓</v>
      </c>
      <c r="D285" s="16" t="str">
        <f>IFERROR(__xludf.DUMMYFUNCTION("""COMPUTED_VALUE"""),"mhu*****298@mail.edu.tw")</f>
        <v>mhu*****298@mail.edu.tw</v>
      </c>
      <c r="E285" s="17" t="str">
        <f>IFERROR(__xludf.DUMMYFUNCTION("""COMPUTED_VALUE"""),"臺北市內湖區明湖國民小學")</f>
        <v>臺北市內湖區明湖國民小學</v>
      </c>
      <c r="F285" s="14" t="str">
        <f>IFERROR(__xludf.DUMMYFUNCTION("""COMPUTED_VALUE"""),"四年級")</f>
        <v>四年級</v>
      </c>
      <c r="G285" s="14" t="str">
        <f>IFERROR(__xludf.DUMMYFUNCTION("""COMPUTED_VALUE"""),"獎狀")</f>
        <v>獎狀</v>
      </c>
      <c r="H285" s="8"/>
    </row>
    <row r="286">
      <c r="A286" s="18"/>
      <c r="B286" s="14">
        <f>IFERROR(__xludf.DUMMYFUNCTION("""COMPUTED_VALUE"""),1015883.0)</f>
        <v>1015883</v>
      </c>
      <c r="C286" s="14" t="str">
        <f>IFERROR(__xludf.DUMMYFUNCTION("""COMPUTED_VALUE"""),"程子涓")</f>
        <v>程子涓</v>
      </c>
      <c r="D286" s="16" t="str">
        <f>IFERROR(__xludf.DUMMYFUNCTION("""COMPUTED_VALUE"""),"108*****tu.mhups.tp.edu.tw")</f>
        <v>108*****tu.mhups.tp.edu.tw</v>
      </c>
      <c r="E286" s="17" t="str">
        <f>IFERROR(__xludf.DUMMYFUNCTION("""COMPUTED_VALUE"""),"臺北市內湖區明湖國民小學")</f>
        <v>臺北市內湖區明湖國民小學</v>
      </c>
      <c r="F286" s="14" t="str">
        <f>IFERROR(__xludf.DUMMYFUNCTION("""COMPUTED_VALUE"""),"四年級")</f>
        <v>四年級</v>
      </c>
      <c r="G286" s="14" t="str">
        <f>IFERROR(__xludf.DUMMYFUNCTION("""COMPUTED_VALUE"""),"獎狀")</f>
        <v>獎狀</v>
      </c>
      <c r="H286" s="8"/>
    </row>
    <row r="287">
      <c r="A287" s="18"/>
      <c r="B287" s="14">
        <f>IFERROR(__xludf.DUMMYFUNCTION("""COMPUTED_VALUE"""),600189.0)</f>
        <v>600189</v>
      </c>
      <c r="C287" s="14" t="str">
        <f>IFERROR(__xludf.DUMMYFUNCTION("""COMPUTED_VALUE"""),"鄭兆辰")</f>
        <v>鄭兆辰</v>
      </c>
      <c r="D287" s="16" t="str">
        <f>IFERROR(__xludf.DUMMYFUNCTION("""COMPUTED_VALUE"""),"mhu*****042@mail.edu.tw")</f>
        <v>mhu*****042@mail.edu.tw</v>
      </c>
      <c r="E287" s="17" t="str">
        <f>IFERROR(__xludf.DUMMYFUNCTION("""COMPUTED_VALUE"""),"臺北市內湖區明湖國民小學")</f>
        <v>臺北市內湖區明湖國民小學</v>
      </c>
      <c r="F287" s="14" t="str">
        <f>IFERROR(__xludf.DUMMYFUNCTION("""COMPUTED_VALUE"""),"五年級")</f>
        <v>五年級</v>
      </c>
      <c r="G287" s="14" t="str">
        <f>IFERROR(__xludf.DUMMYFUNCTION("""COMPUTED_VALUE"""),"獎狀")</f>
        <v>獎狀</v>
      </c>
      <c r="H287" s="8"/>
    </row>
    <row r="288">
      <c r="A288" s="18"/>
      <c r="B288" s="14">
        <f>IFERROR(__xludf.DUMMYFUNCTION("""COMPUTED_VALUE"""),970679.0)</f>
        <v>970679</v>
      </c>
      <c r="C288" s="14" t="str">
        <f>IFERROR(__xludf.DUMMYFUNCTION("""COMPUTED_VALUE"""),"杜振旭")</f>
        <v>杜振旭</v>
      </c>
      <c r="D288" s="16" t="str">
        <f>IFERROR(__xludf.DUMMYFUNCTION("""COMPUTED_VALUE"""),"kim*****@gmail.com")</f>
        <v>kim*****@gmail.com</v>
      </c>
      <c r="E288" s="17" t="str">
        <f>IFERROR(__xludf.DUMMYFUNCTION("""COMPUTED_VALUE"""),"臺北市內湖區明湖國民小學")</f>
        <v>臺北市內湖區明湖國民小學</v>
      </c>
      <c r="F288" s="14" t="str">
        <f>IFERROR(__xludf.DUMMYFUNCTION("""COMPUTED_VALUE"""),"五年級")</f>
        <v>五年級</v>
      </c>
      <c r="G288" s="14" t="str">
        <f>IFERROR(__xludf.DUMMYFUNCTION("""COMPUTED_VALUE"""),"★禮券$200")</f>
        <v>★禮券$200</v>
      </c>
      <c r="H288" s="8"/>
    </row>
    <row r="289">
      <c r="A289" s="18"/>
      <c r="B289" s="14">
        <f>IFERROR(__xludf.DUMMYFUNCTION("""COMPUTED_VALUE"""),584997.0)</f>
        <v>584997</v>
      </c>
      <c r="C289" s="14" t="str">
        <f>IFERROR(__xludf.DUMMYFUNCTION("""COMPUTED_VALUE"""),"陳宣羽")</f>
        <v>陳宣羽</v>
      </c>
      <c r="D289" s="16" t="str">
        <f>IFERROR(__xludf.DUMMYFUNCTION("""COMPUTED_VALUE"""),"mhu*****052@mail.edu.tw")</f>
        <v>mhu*****052@mail.edu.tw</v>
      </c>
      <c r="E289" s="17" t="str">
        <f>IFERROR(__xludf.DUMMYFUNCTION("""COMPUTED_VALUE"""),"臺北市內湖區明湖國民小學")</f>
        <v>臺北市內湖區明湖國民小學</v>
      </c>
      <c r="F289" s="14" t="str">
        <f>IFERROR(__xludf.DUMMYFUNCTION("""COMPUTED_VALUE"""),"五年級")</f>
        <v>五年級</v>
      </c>
      <c r="G289" s="14" t="str">
        <f>IFERROR(__xludf.DUMMYFUNCTION("""COMPUTED_VALUE"""),"獎狀")</f>
        <v>獎狀</v>
      </c>
      <c r="H289" s="8"/>
    </row>
    <row r="290">
      <c r="A290" s="18"/>
      <c r="B290" s="14">
        <f>IFERROR(__xludf.DUMMYFUNCTION("""COMPUTED_VALUE"""),1119242.0)</f>
        <v>1119242</v>
      </c>
      <c r="C290" s="14" t="str">
        <f>IFERROR(__xludf.DUMMYFUNCTION("""COMPUTED_VALUE"""),"林綺倢")</f>
        <v>林綺倢</v>
      </c>
      <c r="D290" s="16" t="str">
        <f>IFERROR(__xludf.DUMMYFUNCTION("""COMPUTED_VALUE"""),"106*****tu.mhups.tp.edu.tw")</f>
        <v>106*****tu.mhups.tp.edu.tw</v>
      </c>
      <c r="E290" s="17" t="str">
        <f>IFERROR(__xludf.DUMMYFUNCTION("""COMPUTED_VALUE"""),"臺北市內湖區明湖國民小學")</f>
        <v>臺北市內湖區明湖國民小學</v>
      </c>
      <c r="F290" s="14" t="str">
        <f>IFERROR(__xludf.DUMMYFUNCTION("""COMPUTED_VALUE"""),"六年級")</f>
        <v>六年級</v>
      </c>
      <c r="G290" s="14" t="str">
        <f>IFERROR(__xludf.DUMMYFUNCTION("""COMPUTED_VALUE"""),"●小禮物")</f>
        <v>●小禮物</v>
      </c>
      <c r="H290" s="8"/>
    </row>
    <row r="291">
      <c r="A291" s="18"/>
      <c r="B291" s="14">
        <f>IFERROR(__xludf.DUMMYFUNCTION("""COMPUTED_VALUE"""),1127104.0)</f>
        <v>1127104</v>
      </c>
      <c r="C291" s="14" t="str">
        <f>IFERROR(__xludf.DUMMYFUNCTION("""COMPUTED_VALUE"""),"蔡樸宇")</f>
        <v>蔡樸宇</v>
      </c>
      <c r="D291" s="16" t="str">
        <f>IFERROR(__xludf.DUMMYFUNCTION("""COMPUTED_VALUE"""),"s10*****lhes.tp.edu.tw")</f>
        <v>s10*****lhes.tp.edu.tw</v>
      </c>
      <c r="E291" s="17" t="str">
        <f>IFERROR(__xludf.DUMMYFUNCTION("""COMPUTED_VALUE"""),"臺北市內湖區麗湖國民小學")</f>
        <v>臺北市內湖區麗湖國民小學</v>
      </c>
      <c r="F291" s="14" t="str">
        <f>IFERROR(__xludf.DUMMYFUNCTION("""COMPUTED_VALUE"""),"三年級")</f>
        <v>三年級</v>
      </c>
      <c r="G291" s="14" t="str">
        <f>IFERROR(__xludf.DUMMYFUNCTION("""COMPUTED_VALUE"""),"●小禮物")</f>
        <v>●小禮物</v>
      </c>
      <c r="H291" s="8"/>
    </row>
    <row r="292">
      <c r="A292" s="18"/>
      <c r="B292" s="14">
        <f>IFERROR(__xludf.DUMMYFUNCTION("""COMPUTED_VALUE"""),167659.0)</f>
        <v>167659</v>
      </c>
      <c r="C292" s="14" t="str">
        <f>IFERROR(__xludf.DUMMYFUNCTION("""COMPUTED_VALUE"""),"沈恩緯")</f>
        <v>沈恩緯</v>
      </c>
      <c r="D292" s="16" t="str">
        <f>IFERROR(__xludf.DUMMYFUNCTION("""COMPUTED_VALUE"""),"yia*****mail.com")</f>
        <v>yia*****mail.com</v>
      </c>
      <c r="E292" s="17" t="str">
        <f>IFERROR(__xludf.DUMMYFUNCTION("""COMPUTED_VALUE"""),"臺北市內湖區麗山國民小學")</f>
        <v>臺北市內湖區麗山國民小學</v>
      </c>
      <c r="F292" s="14" t="str">
        <f>IFERROR(__xludf.DUMMYFUNCTION("""COMPUTED_VALUE"""),"四年級")</f>
        <v>四年級</v>
      </c>
      <c r="G292" s="14" t="str">
        <f>IFERROR(__xludf.DUMMYFUNCTION("""COMPUTED_VALUE"""),"獎狀")</f>
        <v>獎狀</v>
      </c>
      <c r="H292" s="8"/>
    </row>
    <row r="293">
      <c r="A293" s="18"/>
      <c r="B293" s="14">
        <f>IFERROR(__xludf.DUMMYFUNCTION("""COMPUTED_VALUE"""),564971.0)</f>
        <v>564971</v>
      </c>
      <c r="C293" s="14" t="str">
        <f>IFERROR(__xludf.DUMMYFUNCTION("""COMPUTED_VALUE"""),"李品箴")</f>
        <v>李品箴</v>
      </c>
      <c r="D293" s="16" t="str">
        <f>IFERROR(__xludf.DUMMYFUNCTION("""COMPUTED_VALUE"""),"lnp*****23.tp@mail.edu.tw")</f>
        <v>lnp*****23.tp@mail.edu.tw</v>
      </c>
      <c r="E293" s="17" t="str">
        <f>IFERROR(__xludf.DUMMYFUNCTION("""COMPUTED_VALUE"""),"臺北市內湖區麗山國民小學")</f>
        <v>臺北市內湖區麗山國民小學</v>
      </c>
      <c r="F293" s="14" t="str">
        <f>IFERROR(__xludf.DUMMYFUNCTION("""COMPUTED_VALUE"""),"五年級")</f>
        <v>五年級</v>
      </c>
      <c r="G293" s="14" t="str">
        <f>IFERROR(__xludf.DUMMYFUNCTION("""COMPUTED_VALUE"""),"獎狀")</f>
        <v>獎狀</v>
      </c>
      <c r="H293" s="8"/>
    </row>
    <row r="294">
      <c r="A294" s="18"/>
      <c r="B294" s="14">
        <f>IFERROR(__xludf.DUMMYFUNCTION("""COMPUTED_VALUE"""),1140797.0)</f>
        <v>1140797</v>
      </c>
      <c r="C294" s="14" t="str">
        <f>IFERROR(__xludf.DUMMYFUNCTION("""COMPUTED_VALUE"""),"王崇雋")</f>
        <v>王崇雋</v>
      </c>
      <c r="D294" s="16" t="str">
        <f>IFERROR(__xludf.DUMMYFUNCTION("""COMPUTED_VALUE"""),"st1*****@gm.nhps.tp.edu.tw")</f>
        <v>st1*****@gm.nhps.tp.edu.tw</v>
      </c>
      <c r="E294" s="17" t="str">
        <f>IFERROR(__xludf.DUMMYFUNCTION("""COMPUTED_VALUE"""),"臺北市內湖區南湖國民小學")</f>
        <v>臺北市內湖區南湖國民小學</v>
      </c>
      <c r="F294" s="14" t="str">
        <f>IFERROR(__xludf.DUMMYFUNCTION("""COMPUTED_VALUE"""),"三年級")</f>
        <v>三年級</v>
      </c>
      <c r="G294" s="14" t="str">
        <f>IFERROR(__xludf.DUMMYFUNCTION("""COMPUTED_VALUE"""),"獎狀")</f>
        <v>獎狀</v>
      </c>
      <c r="H294" s="8"/>
    </row>
    <row r="295">
      <c r="A295" s="18"/>
      <c r="B295" s="14">
        <f>IFERROR(__xludf.DUMMYFUNCTION("""COMPUTED_VALUE"""),1198274.0)</f>
        <v>1198274</v>
      </c>
      <c r="C295" s="14" t="str">
        <f>IFERROR(__xludf.DUMMYFUNCTION("""COMPUTED_VALUE"""),"鐔芊")</f>
        <v>鐔芊</v>
      </c>
      <c r="D295" s="16" t="str">
        <f>IFERROR(__xludf.DUMMYFUNCTION("""COMPUTED_VALUE"""),"st1*****@gm.nhps.tp.edu.tw")</f>
        <v>st1*****@gm.nhps.tp.edu.tw</v>
      </c>
      <c r="E295" s="17" t="str">
        <f>IFERROR(__xludf.DUMMYFUNCTION("""COMPUTED_VALUE"""),"臺北市內湖區南湖國民小學")</f>
        <v>臺北市內湖區南湖國民小學</v>
      </c>
      <c r="F295" s="14" t="str">
        <f>IFERROR(__xludf.DUMMYFUNCTION("""COMPUTED_VALUE"""),"三年級")</f>
        <v>三年級</v>
      </c>
      <c r="G295" s="14" t="str">
        <f>IFERROR(__xludf.DUMMYFUNCTION("""COMPUTED_VALUE"""),"獎狀")</f>
        <v>獎狀</v>
      </c>
      <c r="H295" s="8"/>
    </row>
    <row r="296">
      <c r="A296" s="18"/>
      <c r="B296" s="14">
        <f>IFERROR(__xludf.DUMMYFUNCTION("""COMPUTED_VALUE"""),733178.0)</f>
        <v>733178</v>
      </c>
      <c r="C296" s="14" t="str">
        <f>IFERROR(__xludf.DUMMYFUNCTION("""COMPUTED_VALUE"""),"游理茲")</f>
        <v>游理茲</v>
      </c>
      <c r="D296" s="16" t="str">
        <f>IFERROR(__xludf.DUMMYFUNCTION("""COMPUTED_VALUE"""),"st1*****@gm.nhps.tp.edu.tw")</f>
        <v>st1*****@gm.nhps.tp.edu.tw</v>
      </c>
      <c r="E296" s="17" t="str">
        <f>IFERROR(__xludf.DUMMYFUNCTION("""COMPUTED_VALUE"""),"臺北市內湖區南湖國民小學")</f>
        <v>臺北市內湖區南湖國民小學</v>
      </c>
      <c r="F296" s="14" t="str">
        <f>IFERROR(__xludf.DUMMYFUNCTION("""COMPUTED_VALUE"""),"五年級")</f>
        <v>五年級</v>
      </c>
      <c r="G296" s="14" t="str">
        <f>IFERROR(__xludf.DUMMYFUNCTION("""COMPUTED_VALUE"""),"獎狀")</f>
        <v>獎狀</v>
      </c>
      <c r="H296" s="8"/>
    </row>
    <row r="297">
      <c r="A297" s="18"/>
      <c r="B297" s="14">
        <f>IFERROR(__xludf.DUMMYFUNCTION("""COMPUTED_VALUE"""),733173.0)</f>
        <v>733173</v>
      </c>
      <c r="C297" s="14" t="str">
        <f>IFERROR(__xludf.DUMMYFUNCTION("""COMPUTED_VALUE"""),"游理曜")</f>
        <v>游理曜</v>
      </c>
      <c r="D297" s="16" t="str">
        <f>IFERROR(__xludf.DUMMYFUNCTION("""COMPUTED_VALUE"""),"st1*****@gm.nhps.tp.edu.tw")</f>
        <v>st1*****@gm.nhps.tp.edu.tw</v>
      </c>
      <c r="E297" s="17" t="str">
        <f>IFERROR(__xludf.DUMMYFUNCTION("""COMPUTED_VALUE"""),"臺北市內湖區南湖國民小學")</f>
        <v>臺北市內湖區南湖國民小學</v>
      </c>
      <c r="F297" s="14" t="str">
        <f>IFERROR(__xludf.DUMMYFUNCTION("""COMPUTED_VALUE"""),"五年級")</f>
        <v>五年級</v>
      </c>
      <c r="G297" s="14" t="str">
        <f>IFERROR(__xludf.DUMMYFUNCTION("""COMPUTED_VALUE"""),"獎狀")</f>
        <v>獎狀</v>
      </c>
      <c r="H297" s="8"/>
    </row>
    <row r="298">
      <c r="A298" s="18"/>
      <c r="B298" s="14">
        <f>IFERROR(__xludf.DUMMYFUNCTION("""COMPUTED_VALUE"""),591936.0)</f>
        <v>591936</v>
      </c>
      <c r="C298" s="14" t="str">
        <f>IFERROR(__xludf.DUMMYFUNCTION("""COMPUTED_VALUE"""),"洪敏恩")</f>
        <v>洪敏恩</v>
      </c>
      <c r="D298" s="16" t="str">
        <f>IFERROR(__xludf.DUMMYFUNCTION("""COMPUTED_VALUE"""),"st1*****@gm.nhps.tp.edu.tw")</f>
        <v>st1*****@gm.nhps.tp.edu.tw</v>
      </c>
      <c r="E298" s="17" t="str">
        <f>IFERROR(__xludf.DUMMYFUNCTION("""COMPUTED_VALUE"""),"臺北市內湖區南湖國民小學")</f>
        <v>臺北市內湖區南湖國民小學</v>
      </c>
      <c r="F298" s="14" t="str">
        <f>IFERROR(__xludf.DUMMYFUNCTION("""COMPUTED_VALUE"""),"六年級")</f>
        <v>六年級</v>
      </c>
      <c r="G298" s="14" t="str">
        <f>IFERROR(__xludf.DUMMYFUNCTION("""COMPUTED_VALUE"""),"獎狀")</f>
        <v>獎狀</v>
      </c>
      <c r="H298" s="8"/>
    </row>
    <row r="299">
      <c r="A299" s="18"/>
      <c r="B299" s="14">
        <f>IFERROR(__xludf.DUMMYFUNCTION("""COMPUTED_VALUE"""),971556.0)</f>
        <v>971556</v>
      </c>
      <c r="C299" s="14" t="str">
        <f>IFERROR(__xludf.DUMMYFUNCTION("""COMPUTED_VALUE"""),"張又文")</f>
        <v>張又文</v>
      </c>
      <c r="D299" s="16" t="str">
        <f>IFERROR(__xludf.DUMMYFUNCTION("""COMPUTED_VALUE"""),"108*****kps.tp.edu.tw")</f>
        <v>108*****kps.tp.edu.tw</v>
      </c>
      <c r="E299" s="17" t="str">
        <f>IFERROR(__xludf.DUMMYFUNCTION("""COMPUTED_VALUE"""),"臺北市南港區南港國民小學")</f>
        <v>臺北市南港區南港國民小學</v>
      </c>
      <c r="F299" s="14" t="str">
        <f>IFERROR(__xludf.DUMMYFUNCTION("""COMPUTED_VALUE"""),"四年級")</f>
        <v>四年級</v>
      </c>
      <c r="G299" s="14" t="str">
        <f>IFERROR(__xludf.DUMMYFUNCTION("""COMPUTED_VALUE"""),"獎狀")</f>
        <v>獎狀</v>
      </c>
      <c r="H299" s="8"/>
    </row>
    <row r="300">
      <c r="A300" s="18"/>
      <c r="B300" s="14">
        <f>IFERROR(__xludf.DUMMYFUNCTION("""COMPUTED_VALUE"""),1099493.0)</f>
        <v>1099493</v>
      </c>
      <c r="C300" s="14" t="str">
        <f>IFERROR(__xludf.DUMMYFUNCTION("""COMPUTED_VALUE"""),"邱星瑜")</f>
        <v>邱星瑜</v>
      </c>
      <c r="D300" s="16" t="str">
        <f>IFERROR(__xludf.DUMMYFUNCTION("""COMPUTED_VALUE"""),"108*****kps.tp.edu.tw")</f>
        <v>108*****kps.tp.edu.tw</v>
      </c>
      <c r="E300" s="17" t="str">
        <f>IFERROR(__xludf.DUMMYFUNCTION("""COMPUTED_VALUE"""),"臺北市南港區南港國民小學")</f>
        <v>臺北市南港區南港國民小學</v>
      </c>
      <c r="F300" s="14" t="str">
        <f>IFERROR(__xludf.DUMMYFUNCTION("""COMPUTED_VALUE"""),"四年級")</f>
        <v>四年級</v>
      </c>
      <c r="G300" s="14" t="str">
        <f>IFERROR(__xludf.DUMMYFUNCTION("""COMPUTED_VALUE"""),"獎狀")</f>
        <v>獎狀</v>
      </c>
      <c r="H300" s="8"/>
    </row>
    <row r="301">
      <c r="A301" s="18"/>
      <c r="B301" s="14">
        <f>IFERROR(__xludf.DUMMYFUNCTION("""COMPUTED_VALUE"""),1010132.0)</f>
        <v>1010132</v>
      </c>
      <c r="C301" s="14" t="str">
        <f>IFERROR(__xludf.DUMMYFUNCTION("""COMPUTED_VALUE"""),"陳可喬")</f>
        <v>陳可喬</v>
      </c>
      <c r="D301" s="16" t="str">
        <f>IFERROR(__xludf.DUMMYFUNCTION("""COMPUTED_VALUE"""),"107*****kps.tp.edu.tw")</f>
        <v>107*****kps.tp.edu.tw</v>
      </c>
      <c r="E301" s="17" t="str">
        <f>IFERROR(__xludf.DUMMYFUNCTION("""COMPUTED_VALUE"""),"臺北市南港區南港國民小學")</f>
        <v>臺北市南港區南港國民小學</v>
      </c>
      <c r="F301" s="14" t="str">
        <f>IFERROR(__xludf.DUMMYFUNCTION("""COMPUTED_VALUE"""),"五年級")</f>
        <v>五年級</v>
      </c>
      <c r="G301" s="14" t="str">
        <f>IFERROR(__xludf.DUMMYFUNCTION("""COMPUTED_VALUE"""),"獎狀")</f>
        <v>獎狀</v>
      </c>
      <c r="H301" s="8"/>
    </row>
    <row r="302">
      <c r="A302" s="18"/>
      <c r="B302" s="14">
        <f>IFERROR(__xludf.DUMMYFUNCTION("""COMPUTED_VALUE"""),1010113.0)</f>
        <v>1010113</v>
      </c>
      <c r="C302" s="14" t="str">
        <f>IFERROR(__xludf.DUMMYFUNCTION("""COMPUTED_VALUE"""),"陳立竤")</f>
        <v>陳立竤</v>
      </c>
      <c r="D302" s="16" t="str">
        <f>IFERROR(__xludf.DUMMYFUNCTION("""COMPUTED_VALUE"""),"107*****kps.tp.edu.tw")</f>
        <v>107*****kps.tp.edu.tw</v>
      </c>
      <c r="E302" s="17" t="str">
        <f>IFERROR(__xludf.DUMMYFUNCTION("""COMPUTED_VALUE"""),"臺北市南港區南港國民小學")</f>
        <v>臺北市南港區南港國民小學</v>
      </c>
      <c r="F302" s="14" t="str">
        <f>IFERROR(__xludf.DUMMYFUNCTION("""COMPUTED_VALUE"""),"五年級")</f>
        <v>五年級</v>
      </c>
      <c r="G302" s="14" t="str">
        <f>IFERROR(__xludf.DUMMYFUNCTION("""COMPUTED_VALUE"""),"獎狀")</f>
        <v>獎狀</v>
      </c>
      <c r="H302" s="8"/>
    </row>
    <row r="303">
      <c r="A303" s="18"/>
      <c r="B303" s="14">
        <f>IFERROR(__xludf.DUMMYFUNCTION("""COMPUTED_VALUE"""),745855.0)</f>
        <v>745855</v>
      </c>
      <c r="C303" s="14" t="str">
        <f>IFERROR(__xludf.DUMMYFUNCTION("""COMPUTED_VALUE"""),"沈皓翔")</f>
        <v>沈皓翔</v>
      </c>
      <c r="D303" s="16" t="str">
        <f>IFERROR(__xludf.DUMMYFUNCTION("""COMPUTED_VALUE"""),"sha*****4@mail.edu.tw")</f>
        <v>sha*****4@mail.edu.tw</v>
      </c>
      <c r="E303" s="17" t="str">
        <f>IFERROR(__xludf.DUMMYFUNCTION("""COMPUTED_VALUE"""),"臺北市南港區胡適國民小學")</f>
        <v>臺北市南港區胡適國民小學</v>
      </c>
      <c r="F303" s="14" t="str">
        <f>IFERROR(__xludf.DUMMYFUNCTION("""COMPUTED_VALUE"""),"四年級")</f>
        <v>四年級</v>
      </c>
      <c r="G303" s="14" t="str">
        <f>IFERROR(__xludf.DUMMYFUNCTION("""COMPUTED_VALUE"""),"●小禮物")</f>
        <v>●小禮物</v>
      </c>
      <c r="H303" s="8"/>
    </row>
    <row r="304">
      <c r="A304" s="18"/>
      <c r="B304" s="14">
        <f>IFERROR(__xludf.DUMMYFUNCTION("""COMPUTED_VALUE"""),1088667.0)</f>
        <v>1088667</v>
      </c>
      <c r="C304" s="14" t="str">
        <f>IFERROR(__xludf.DUMMYFUNCTION("""COMPUTED_VALUE"""),"沈皓翊")</f>
        <v>沈皓翊</v>
      </c>
      <c r="D304" s="16" t="str">
        <f>IFERROR(__xludf.DUMMYFUNCTION("""COMPUTED_VALUE"""),"ian*****ail.edu.tw")</f>
        <v>ian*****ail.edu.tw</v>
      </c>
      <c r="E304" s="17" t="str">
        <f>IFERROR(__xludf.DUMMYFUNCTION("""COMPUTED_VALUE"""),"臺北市南港區胡適國民小學")</f>
        <v>臺北市南港區胡適國民小學</v>
      </c>
      <c r="F304" s="14" t="str">
        <f>IFERROR(__xludf.DUMMYFUNCTION("""COMPUTED_VALUE"""),"四年級")</f>
        <v>四年級</v>
      </c>
      <c r="G304" s="14" t="str">
        <f>IFERROR(__xludf.DUMMYFUNCTION("""COMPUTED_VALUE"""),"●小禮物")</f>
        <v>●小禮物</v>
      </c>
      <c r="H304" s="8"/>
    </row>
    <row r="305">
      <c r="A305" s="18"/>
      <c r="B305" s="14">
        <f>IFERROR(__xludf.DUMMYFUNCTION("""COMPUTED_VALUE"""),804271.0)</f>
        <v>804271</v>
      </c>
      <c r="C305" s="14" t="str">
        <f>IFERROR(__xludf.DUMMYFUNCTION("""COMPUTED_VALUE"""),"江苡卉")</f>
        <v>江苡卉</v>
      </c>
      <c r="D305" s="16" t="str">
        <f>IFERROR(__xludf.DUMMYFUNCTION("""COMPUTED_VALUE"""),"nao*****ail.edu.tw")</f>
        <v>nao*****ail.edu.tw</v>
      </c>
      <c r="E305" s="17" t="str">
        <f>IFERROR(__xludf.DUMMYFUNCTION("""COMPUTED_VALUE"""),"臺北市南港區修德國民小學")</f>
        <v>臺北市南港區修德國民小學</v>
      </c>
      <c r="F305" s="14" t="str">
        <f>IFERROR(__xludf.DUMMYFUNCTION("""COMPUTED_VALUE"""),"三年級")</f>
        <v>三年級</v>
      </c>
      <c r="G305" s="14" t="str">
        <f>IFERROR(__xludf.DUMMYFUNCTION("""COMPUTED_VALUE"""),"●小禮物")</f>
        <v>●小禮物</v>
      </c>
      <c r="H305" s="8"/>
    </row>
    <row r="306">
      <c r="A306" s="18"/>
      <c r="B306" s="14">
        <f>IFERROR(__xludf.DUMMYFUNCTION("""COMPUTED_VALUE"""),841013.0)</f>
        <v>841013</v>
      </c>
      <c r="C306" s="14" t="str">
        <f>IFERROR(__xludf.DUMMYFUNCTION("""COMPUTED_VALUE"""),"胡可昕")</f>
        <v>胡可昕</v>
      </c>
      <c r="D306" s="16" t="str">
        <f>IFERROR(__xludf.DUMMYFUNCTION("""COMPUTED_VALUE"""),"s10*****w2.ctps.tp.edu.tw")</f>
        <v>s10*****w2.ctps.tp.edu.tw</v>
      </c>
      <c r="E306" s="17" t="str">
        <f>IFERROR(__xludf.DUMMYFUNCTION("""COMPUTED_VALUE"""),"臺北市南港區成德國民小學")</f>
        <v>臺北市南港區成德國民小學</v>
      </c>
      <c r="F306" s="14" t="str">
        <f>IFERROR(__xludf.DUMMYFUNCTION("""COMPUTED_VALUE"""),"四年級")</f>
        <v>四年級</v>
      </c>
      <c r="G306" s="14" t="str">
        <f>IFERROR(__xludf.DUMMYFUNCTION("""COMPUTED_VALUE"""),"獎狀")</f>
        <v>獎狀</v>
      </c>
      <c r="H306" s="8"/>
    </row>
    <row r="307">
      <c r="A307" s="18"/>
      <c r="B307" s="14">
        <f>IFERROR(__xludf.DUMMYFUNCTION("""COMPUTED_VALUE"""),646581.0)</f>
        <v>646581</v>
      </c>
      <c r="C307" s="14" t="str">
        <f>IFERROR(__xludf.DUMMYFUNCTION("""COMPUTED_VALUE"""),"羅宥晴")</f>
        <v>羅宥晴</v>
      </c>
      <c r="D307" s="16" t="str">
        <f>IFERROR(__xludf.DUMMYFUNCTION("""COMPUTED_VALUE"""),"jer*****113@gmail.com")</f>
        <v>jer*****113@gmail.com</v>
      </c>
      <c r="E307" s="17" t="str">
        <f>IFERROR(__xludf.DUMMYFUNCTION("""COMPUTED_VALUE"""),"臺北市文山區木柵國民小學")</f>
        <v>臺北市文山區木柵國民小學</v>
      </c>
      <c r="F307" s="14" t="str">
        <f>IFERROR(__xludf.DUMMYFUNCTION("""COMPUTED_VALUE"""),"四年級")</f>
        <v>四年級</v>
      </c>
      <c r="G307" s="14" t="str">
        <f>IFERROR(__xludf.DUMMYFUNCTION("""COMPUTED_VALUE"""),"獎狀")</f>
        <v>獎狀</v>
      </c>
      <c r="H307" s="8"/>
    </row>
    <row r="308">
      <c r="A308" s="18"/>
      <c r="B308" s="14">
        <f>IFERROR(__xludf.DUMMYFUNCTION("""COMPUTED_VALUE"""),613308.0)</f>
        <v>613308</v>
      </c>
      <c r="C308" s="14" t="str">
        <f>IFERROR(__xludf.DUMMYFUNCTION("""COMPUTED_VALUE"""),"黃晨淇")</f>
        <v>黃晨淇</v>
      </c>
      <c r="D308" s="16" t="str">
        <f>IFERROR(__xludf.DUMMYFUNCTION("""COMPUTED_VALUE"""),"107*****jes.tp.edu.tw")</f>
        <v>107*****jes.tp.edu.tw</v>
      </c>
      <c r="E308" s="17" t="str">
        <f>IFERROR(__xludf.DUMMYFUNCTION("""COMPUTED_VALUE"""),"臺北市文山區木柵國民小學")</f>
        <v>臺北市文山區木柵國民小學</v>
      </c>
      <c r="F308" s="14" t="str">
        <f>IFERROR(__xludf.DUMMYFUNCTION("""COMPUTED_VALUE"""),"五年級")</f>
        <v>五年級</v>
      </c>
      <c r="G308" s="14" t="str">
        <f>IFERROR(__xludf.DUMMYFUNCTION("""COMPUTED_VALUE"""),"獎狀")</f>
        <v>獎狀</v>
      </c>
      <c r="H308" s="8"/>
    </row>
    <row r="309">
      <c r="A309" s="18"/>
      <c r="B309" s="14">
        <f>IFERROR(__xludf.DUMMYFUNCTION("""COMPUTED_VALUE"""),1145555.0)</f>
        <v>1145555</v>
      </c>
      <c r="C309" s="14" t="str">
        <f>IFERROR(__xludf.DUMMYFUNCTION("""COMPUTED_VALUE"""),"羅宥林")</f>
        <v>羅宥林</v>
      </c>
      <c r="D309" s="16" t="str">
        <f>IFERROR(__xludf.DUMMYFUNCTION("""COMPUTED_VALUE"""),"106*****jes.tp.edu.tw")</f>
        <v>106*****jes.tp.edu.tw</v>
      </c>
      <c r="E309" s="17" t="str">
        <f>IFERROR(__xludf.DUMMYFUNCTION("""COMPUTED_VALUE"""),"臺北市文山區木柵國民小學")</f>
        <v>臺北市文山區木柵國民小學</v>
      </c>
      <c r="F309" s="14" t="str">
        <f>IFERROR(__xludf.DUMMYFUNCTION("""COMPUTED_VALUE"""),"六年級")</f>
        <v>六年級</v>
      </c>
      <c r="G309" s="14" t="str">
        <f>IFERROR(__xludf.DUMMYFUNCTION("""COMPUTED_VALUE"""),"●小禮物")</f>
        <v>●小禮物</v>
      </c>
      <c r="H309" s="8"/>
    </row>
    <row r="310">
      <c r="A310" s="18"/>
      <c r="B310" s="14">
        <f>IFERROR(__xludf.DUMMYFUNCTION("""COMPUTED_VALUE"""),1181449.0)</f>
        <v>1181449</v>
      </c>
      <c r="C310" s="14" t="str">
        <f>IFERROR(__xludf.DUMMYFUNCTION("""COMPUTED_VALUE"""),"林茉書")</f>
        <v>林茉書</v>
      </c>
      <c r="D310" s="16" t="str">
        <f>IFERROR(__xludf.DUMMYFUNCTION("""COMPUTED_VALUE"""),"109*****jcskg.tp.edu.tw")</f>
        <v>109*****jcskg.tp.edu.tw</v>
      </c>
      <c r="E310" s="17" t="str">
        <f>IFERROR(__xludf.DUMMYFUNCTION("""COMPUTED_VALUE"""),"臺北市私立中山國民小學")</f>
        <v>臺北市私立中山國民小學</v>
      </c>
      <c r="F310" s="14" t="str">
        <f>IFERROR(__xludf.DUMMYFUNCTION("""COMPUTED_VALUE"""),"三年級")</f>
        <v>三年級</v>
      </c>
      <c r="G310" s="14" t="str">
        <f>IFERROR(__xludf.DUMMYFUNCTION("""COMPUTED_VALUE"""),"獎狀")</f>
        <v>獎狀</v>
      </c>
      <c r="H310" s="8"/>
    </row>
    <row r="311">
      <c r="A311" s="18"/>
      <c r="B311" s="14">
        <f>IFERROR(__xludf.DUMMYFUNCTION("""COMPUTED_VALUE"""),1211613.0)</f>
        <v>1211613</v>
      </c>
      <c r="C311" s="14" t="str">
        <f>IFERROR(__xludf.DUMMYFUNCTION("""COMPUTED_VALUE"""),"蘇鐘育")</f>
        <v>蘇鐘育</v>
      </c>
      <c r="D311" s="16" t="str">
        <f>IFERROR(__xludf.DUMMYFUNCTION("""COMPUTED_VALUE"""),"109*****jcskg.tp.edu.tw")</f>
        <v>109*****jcskg.tp.edu.tw</v>
      </c>
      <c r="E311" s="17" t="str">
        <f>IFERROR(__xludf.DUMMYFUNCTION("""COMPUTED_VALUE"""),"臺北市私立中山國民小學")</f>
        <v>臺北市私立中山國民小學</v>
      </c>
      <c r="F311" s="14" t="str">
        <f>IFERROR(__xludf.DUMMYFUNCTION("""COMPUTED_VALUE"""),"三年級")</f>
        <v>三年級</v>
      </c>
      <c r="G311" s="14" t="str">
        <f>IFERROR(__xludf.DUMMYFUNCTION("""COMPUTED_VALUE"""),"★禮券$200")</f>
        <v>★禮券$200</v>
      </c>
      <c r="H311" s="8"/>
    </row>
    <row r="312">
      <c r="A312" s="18"/>
      <c r="B312" s="14">
        <f>IFERROR(__xludf.DUMMYFUNCTION("""COMPUTED_VALUE"""),1211605.0)</f>
        <v>1211605</v>
      </c>
      <c r="C312" s="14" t="str">
        <f>IFERROR(__xludf.DUMMYFUNCTION("""COMPUTED_VALUE"""),"詹富晴")</f>
        <v>詹富晴</v>
      </c>
      <c r="D312" s="16" t="str">
        <f>IFERROR(__xludf.DUMMYFUNCTION("""COMPUTED_VALUE"""),"109*****jcskg.tp.edu.tw")</f>
        <v>109*****jcskg.tp.edu.tw</v>
      </c>
      <c r="E312" s="17" t="str">
        <f>IFERROR(__xludf.DUMMYFUNCTION("""COMPUTED_VALUE"""),"臺北市私立中山國民小學")</f>
        <v>臺北市私立中山國民小學</v>
      </c>
      <c r="F312" s="14" t="str">
        <f>IFERROR(__xludf.DUMMYFUNCTION("""COMPUTED_VALUE"""),"三年級")</f>
        <v>三年級</v>
      </c>
      <c r="G312" s="14" t="str">
        <f>IFERROR(__xludf.DUMMYFUNCTION("""COMPUTED_VALUE"""),"獎狀")</f>
        <v>獎狀</v>
      </c>
      <c r="H312" s="8"/>
    </row>
    <row r="313">
      <c r="A313" s="18"/>
      <c r="B313" s="14">
        <f>IFERROR(__xludf.DUMMYFUNCTION("""COMPUTED_VALUE"""),1202354.0)</f>
        <v>1202354</v>
      </c>
      <c r="C313" s="14" t="str">
        <f>IFERROR(__xludf.DUMMYFUNCTION("""COMPUTED_VALUE"""),"余睿朋")</f>
        <v>余睿朋</v>
      </c>
      <c r="D313" s="16" t="str">
        <f>IFERROR(__xludf.DUMMYFUNCTION("""COMPUTED_VALUE"""),"109*****jcskg.tp.edu.tw")</f>
        <v>109*****jcskg.tp.edu.tw</v>
      </c>
      <c r="E313" s="17" t="str">
        <f>IFERROR(__xludf.DUMMYFUNCTION("""COMPUTED_VALUE"""),"臺北市私立中山國民小學")</f>
        <v>臺北市私立中山國民小學</v>
      </c>
      <c r="F313" s="14" t="str">
        <f>IFERROR(__xludf.DUMMYFUNCTION("""COMPUTED_VALUE"""),"三年級")</f>
        <v>三年級</v>
      </c>
      <c r="G313" s="14" t="str">
        <f>IFERROR(__xludf.DUMMYFUNCTION("""COMPUTED_VALUE"""),"●小禮物")</f>
        <v>●小禮物</v>
      </c>
      <c r="H313" s="8"/>
    </row>
    <row r="314">
      <c r="A314" s="18"/>
      <c r="B314" s="14">
        <f>IFERROR(__xludf.DUMMYFUNCTION("""COMPUTED_VALUE"""),1130504.0)</f>
        <v>1130504</v>
      </c>
      <c r="C314" s="14" t="str">
        <f>IFERROR(__xludf.DUMMYFUNCTION("""COMPUTED_VALUE"""),"林宸緯")</f>
        <v>林宸緯</v>
      </c>
      <c r="D314" s="16" t="str">
        <f>IFERROR(__xludf.DUMMYFUNCTION("""COMPUTED_VALUE"""),"109*****jcskg.tp.edu.tw")</f>
        <v>109*****jcskg.tp.edu.tw</v>
      </c>
      <c r="E314" s="17" t="str">
        <f>IFERROR(__xludf.DUMMYFUNCTION("""COMPUTED_VALUE"""),"臺北市私立中山國民小學")</f>
        <v>臺北市私立中山國民小學</v>
      </c>
      <c r="F314" s="14" t="str">
        <f>IFERROR(__xludf.DUMMYFUNCTION("""COMPUTED_VALUE"""),"三年級")</f>
        <v>三年級</v>
      </c>
      <c r="G314" s="14" t="str">
        <f>IFERROR(__xludf.DUMMYFUNCTION("""COMPUTED_VALUE"""),"●小禮物")</f>
        <v>●小禮物</v>
      </c>
      <c r="H314" s="8"/>
    </row>
    <row r="315">
      <c r="A315" s="18"/>
      <c r="B315" s="14">
        <f>IFERROR(__xludf.DUMMYFUNCTION("""COMPUTED_VALUE"""),1202285.0)</f>
        <v>1202285</v>
      </c>
      <c r="C315" s="14" t="str">
        <f>IFERROR(__xludf.DUMMYFUNCTION("""COMPUTED_VALUE"""),"簡崨")</f>
        <v>簡崨</v>
      </c>
      <c r="D315" s="16" t="str">
        <f>IFERROR(__xludf.DUMMYFUNCTION("""COMPUTED_VALUE"""),"109*****jcskg.tp.edu.tw")</f>
        <v>109*****jcskg.tp.edu.tw</v>
      </c>
      <c r="E315" s="17" t="str">
        <f>IFERROR(__xludf.DUMMYFUNCTION("""COMPUTED_VALUE"""),"臺北市私立中山國民小學")</f>
        <v>臺北市私立中山國民小學</v>
      </c>
      <c r="F315" s="14" t="str">
        <f>IFERROR(__xludf.DUMMYFUNCTION("""COMPUTED_VALUE"""),"三年級")</f>
        <v>三年級</v>
      </c>
      <c r="G315" s="14" t="str">
        <f>IFERROR(__xludf.DUMMYFUNCTION("""COMPUTED_VALUE"""),"●小禮物")</f>
        <v>●小禮物</v>
      </c>
      <c r="H315" s="8"/>
    </row>
    <row r="316">
      <c r="A316" s="18"/>
      <c r="B316" s="14">
        <f>IFERROR(__xludf.DUMMYFUNCTION("""COMPUTED_VALUE"""),1194269.0)</f>
        <v>1194269</v>
      </c>
      <c r="C316" s="14" t="str">
        <f>IFERROR(__xludf.DUMMYFUNCTION("""COMPUTED_VALUE"""),"劉恩瑋")</f>
        <v>劉恩瑋</v>
      </c>
      <c r="D316" s="16" t="str">
        <f>IFERROR(__xludf.DUMMYFUNCTION("""COMPUTED_VALUE"""),"109*****jcskg.tp.edu.tw")</f>
        <v>109*****jcskg.tp.edu.tw</v>
      </c>
      <c r="E316" s="17" t="str">
        <f>IFERROR(__xludf.DUMMYFUNCTION("""COMPUTED_VALUE"""),"臺北市私立中山國民小學")</f>
        <v>臺北市私立中山國民小學</v>
      </c>
      <c r="F316" s="14" t="str">
        <f>IFERROR(__xludf.DUMMYFUNCTION("""COMPUTED_VALUE"""),"三年級")</f>
        <v>三年級</v>
      </c>
      <c r="G316" s="14" t="str">
        <f>IFERROR(__xludf.DUMMYFUNCTION("""COMPUTED_VALUE"""),"●小禮物")</f>
        <v>●小禮物</v>
      </c>
      <c r="H316" s="8"/>
    </row>
    <row r="317">
      <c r="A317" s="18"/>
      <c r="B317" s="14">
        <f>IFERROR(__xludf.DUMMYFUNCTION("""COMPUTED_VALUE"""),954748.0)</f>
        <v>954748</v>
      </c>
      <c r="C317" s="14" t="str">
        <f>IFERROR(__xludf.DUMMYFUNCTION("""COMPUTED_VALUE"""),"葉采瑄")</f>
        <v>葉采瑄</v>
      </c>
      <c r="D317" s="16" t="str">
        <f>IFERROR(__xludf.DUMMYFUNCTION("""COMPUTED_VALUE"""),"108*****jcskg.tp.edu.tw")</f>
        <v>108*****jcskg.tp.edu.tw</v>
      </c>
      <c r="E317" s="17" t="str">
        <f>IFERROR(__xludf.DUMMYFUNCTION("""COMPUTED_VALUE"""),"臺北市私立中山國民小學")</f>
        <v>臺北市私立中山國民小學</v>
      </c>
      <c r="F317" s="14" t="str">
        <f>IFERROR(__xludf.DUMMYFUNCTION("""COMPUTED_VALUE"""),"四年級")</f>
        <v>四年級</v>
      </c>
      <c r="G317" s="14" t="str">
        <f>IFERROR(__xludf.DUMMYFUNCTION("""COMPUTED_VALUE"""),"獎狀")</f>
        <v>獎狀</v>
      </c>
      <c r="H317" s="8"/>
    </row>
    <row r="318">
      <c r="A318" s="18"/>
      <c r="B318" s="14">
        <f>IFERROR(__xludf.DUMMYFUNCTION("""COMPUTED_VALUE"""),1194265.0)</f>
        <v>1194265</v>
      </c>
      <c r="C318" s="14" t="str">
        <f>IFERROR(__xludf.DUMMYFUNCTION("""COMPUTED_VALUE"""),"薛翔天")</f>
        <v>薛翔天</v>
      </c>
      <c r="D318" s="16" t="str">
        <f>IFERROR(__xludf.DUMMYFUNCTION("""COMPUTED_VALUE"""),"108*****jcskg.tp.edu.tw")</f>
        <v>108*****jcskg.tp.edu.tw</v>
      </c>
      <c r="E318" s="17" t="str">
        <f>IFERROR(__xludf.DUMMYFUNCTION("""COMPUTED_VALUE"""),"臺北市私立中山國民小學")</f>
        <v>臺北市私立中山國民小學</v>
      </c>
      <c r="F318" s="14" t="str">
        <f>IFERROR(__xludf.DUMMYFUNCTION("""COMPUTED_VALUE"""),"四年級")</f>
        <v>四年級</v>
      </c>
      <c r="G318" s="14" t="str">
        <f>IFERROR(__xludf.DUMMYFUNCTION("""COMPUTED_VALUE"""),"獎狀")</f>
        <v>獎狀</v>
      </c>
      <c r="H318" s="8"/>
    </row>
    <row r="319">
      <c r="A319" s="18"/>
      <c r="B319" s="14">
        <f>IFERROR(__xludf.DUMMYFUNCTION("""COMPUTED_VALUE"""),768657.0)</f>
        <v>768657</v>
      </c>
      <c r="C319" s="14" t="str">
        <f>IFERROR(__xludf.DUMMYFUNCTION("""COMPUTED_VALUE"""),"聶于翔")</f>
        <v>聶于翔</v>
      </c>
      <c r="D319" s="16" t="str">
        <f>IFERROR(__xludf.DUMMYFUNCTION("""COMPUTED_VALUE"""),"108*****jcskg.tp.edu.tw")</f>
        <v>108*****jcskg.tp.edu.tw</v>
      </c>
      <c r="E319" s="17" t="str">
        <f>IFERROR(__xludf.DUMMYFUNCTION("""COMPUTED_VALUE"""),"臺北市私立中山國民小學")</f>
        <v>臺北市私立中山國民小學</v>
      </c>
      <c r="F319" s="14" t="str">
        <f>IFERROR(__xludf.DUMMYFUNCTION("""COMPUTED_VALUE"""),"四年級")</f>
        <v>四年級</v>
      </c>
      <c r="G319" s="14" t="str">
        <f>IFERROR(__xludf.DUMMYFUNCTION("""COMPUTED_VALUE"""),"獎狀")</f>
        <v>獎狀</v>
      </c>
      <c r="H319" s="8"/>
    </row>
    <row r="320">
      <c r="A320" s="18"/>
      <c r="B320" s="14">
        <f>IFERROR(__xludf.DUMMYFUNCTION("""COMPUTED_VALUE"""),1194264.0)</f>
        <v>1194264</v>
      </c>
      <c r="C320" s="14" t="str">
        <f>IFERROR(__xludf.DUMMYFUNCTION("""COMPUTED_VALUE"""),"曾玲悅")</f>
        <v>曾玲悅</v>
      </c>
      <c r="D320" s="16" t="str">
        <f>IFERROR(__xludf.DUMMYFUNCTION("""COMPUTED_VALUE"""),"108*****jcskg.tp.edu.tw")</f>
        <v>108*****jcskg.tp.edu.tw</v>
      </c>
      <c r="E320" s="17" t="str">
        <f>IFERROR(__xludf.DUMMYFUNCTION("""COMPUTED_VALUE"""),"臺北市私立中山國民小學")</f>
        <v>臺北市私立中山國民小學</v>
      </c>
      <c r="F320" s="14" t="str">
        <f>IFERROR(__xludf.DUMMYFUNCTION("""COMPUTED_VALUE"""),"四年級")</f>
        <v>四年級</v>
      </c>
      <c r="G320" s="14" t="str">
        <f>IFERROR(__xludf.DUMMYFUNCTION("""COMPUTED_VALUE"""),"獎狀")</f>
        <v>獎狀</v>
      </c>
      <c r="H320" s="8"/>
    </row>
    <row r="321">
      <c r="A321" s="18"/>
      <c r="B321" s="14">
        <f>IFERROR(__xludf.DUMMYFUNCTION("""COMPUTED_VALUE"""),937529.0)</f>
        <v>937529</v>
      </c>
      <c r="C321" s="14" t="str">
        <f>IFERROR(__xludf.DUMMYFUNCTION("""COMPUTED_VALUE"""),"陳威榕")</f>
        <v>陳威榕</v>
      </c>
      <c r="D321" s="16" t="str">
        <f>IFERROR(__xludf.DUMMYFUNCTION("""COMPUTED_VALUE"""),"108*****jcskg.tp.edu.tw")</f>
        <v>108*****jcskg.tp.edu.tw</v>
      </c>
      <c r="E321" s="17" t="str">
        <f>IFERROR(__xludf.DUMMYFUNCTION("""COMPUTED_VALUE"""),"臺北市私立中山國民小學")</f>
        <v>臺北市私立中山國民小學</v>
      </c>
      <c r="F321" s="14" t="str">
        <f>IFERROR(__xludf.DUMMYFUNCTION("""COMPUTED_VALUE"""),"四年級")</f>
        <v>四年級</v>
      </c>
      <c r="G321" s="14" t="str">
        <f>IFERROR(__xludf.DUMMYFUNCTION("""COMPUTED_VALUE"""),"●小禮物")</f>
        <v>●小禮物</v>
      </c>
      <c r="H321" s="8"/>
    </row>
    <row r="322">
      <c r="A322" s="18"/>
      <c r="B322" s="14">
        <f>IFERROR(__xludf.DUMMYFUNCTION("""COMPUTED_VALUE"""),937432.0)</f>
        <v>937432</v>
      </c>
      <c r="C322" s="14" t="str">
        <f>IFERROR(__xludf.DUMMYFUNCTION("""COMPUTED_VALUE"""),"林旆綺")</f>
        <v>林旆綺</v>
      </c>
      <c r="D322" s="16" t="str">
        <f>IFERROR(__xludf.DUMMYFUNCTION("""COMPUTED_VALUE"""),"108*****jcskg.tp.edu.tw")</f>
        <v>108*****jcskg.tp.edu.tw</v>
      </c>
      <c r="E322" s="17" t="str">
        <f>IFERROR(__xludf.DUMMYFUNCTION("""COMPUTED_VALUE"""),"臺北市私立中山國民小學")</f>
        <v>臺北市私立中山國民小學</v>
      </c>
      <c r="F322" s="14" t="str">
        <f>IFERROR(__xludf.DUMMYFUNCTION("""COMPUTED_VALUE"""),"四年級")</f>
        <v>四年級</v>
      </c>
      <c r="G322" s="14" t="str">
        <f>IFERROR(__xludf.DUMMYFUNCTION("""COMPUTED_VALUE"""),"●小禮物")</f>
        <v>●小禮物</v>
      </c>
      <c r="H322" s="8"/>
    </row>
    <row r="323">
      <c r="A323" s="18"/>
      <c r="B323" s="14">
        <f>IFERROR(__xludf.DUMMYFUNCTION("""COMPUTED_VALUE"""),429270.0)</f>
        <v>429270</v>
      </c>
      <c r="C323" s="14" t="str">
        <f>IFERROR(__xludf.DUMMYFUNCTION("""COMPUTED_VALUE"""),"張洧榛")</f>
        <v>張洧榛</v>
      </c>
      <c r="D323" s="16" t="str">
        <f>IFERROR(__xludf.DUMMYFUNCTION("""COMPUTED_VALUE"""),"107*****jcskg.tp.edu.tw")</f>
        <v>107*****jcskg.tp.edu.tw</v>
      </c>
      <c r="E323" s="17" t="str">
        <f>IFERROR(__xludf.DUMMYFUNCTION("""COMPUTED_VALUE"""),"臺北市私立中山國民小學")</f>
        <v>臺北市私立中山國民小學</v>
      </c>
      <c r="F323" s="14" t="str">
        <f>IFERROR(__xludf.DUMMYFUNCTION("""COMPUTED_VALUE"""),"五年級")</f>
        <v>五年級</v>
      </c>
      <c r="G323" s="14" t="str">
        <f>IFERROR(__xludf.DUMMYFUNCTION("""COMPUTED_VALUE"""),"獎狀")</f>
        <v>獎狀</v>
      </c>
      <c r="H323" s="8"/>
    </row>
    <row r="324">
      <c r="A324" s="18"/>
      <c r="B324" s="14">
        <f>IFERROR(__xludf.DUMMYFUNCTION("""COMPUTED_VALUE"""),600170.0)</f>
        <v>600170</v>
      </c>
      <c r="C324" s="14" t="str">
        <f>IFERROR(__xludf.DUMMYFUNCTION("""COMPUTED_VALUE"""),"馬維彤")</f>
        <v>馬維彤</v>
      </c>
      <c r="D324" s="16" t="str">
        <f>IFERROR(__xludf.DUMMYFUNCTION("""COMPUTED_VALUE"""),"107*****jcskg.tp.edu.tw")</f>
        <v>107*****jcskg.tp.edu.tw</v>
      </c>
      <c r="E324" s="17" t="str">
        <f>IFERROR(__xludf.DUMMYFUNCTION("""COMPUTED_VALUE"""),"臺北市私立中山國民小學")</f>
        <v>臺北市私立中山國民小學</v>
      </c>
      <c r="F324" s="14" t="str">
        <f>IFERROR(__xludf.DUMMYFUNCTION("""COMPUTED_VALUE"""),"五年級")</f>
        <v>五年級</v>
      </c>
      <c r="G324" s="14" t="str">
        <f>IFERROR(__xludf.DUMMYFUNCTION("""COMPUTED_VALUE"""),"●小禮物")</f>
        <v>●小禮物</v>
      </c>
      <c r="H324" s="8"/>
    </row>
    <row r="325">
      <c r="A325" s="18"/>
      <c r="B325" s="14">
        <f>IFERROR(__xludf.DUMMYFUNCTION("""COMPUTED_VALUE"""),954825.0)</f>
        <v>954825</v>
      </c>
      <c r="C325" s="14" t="str">
        <f>IFERROR(__xludf.DUMMYFUNCTION("""COMPUTED_VALUE"""),"曾愛惟")</f>
        <v>曾愛惟</v>
      </c>
      <c r="D325" s="16" t="str">
        <f>IFERROR(__xludf.DUMMYFUNCTION("""COMPUTED_VALUE"""),"107*****jcskg.tp.edu.tw")</f>
        <v>107*****jcskg.tp.edu.tw</v>
      </c>
      <c r="E325" s="17" t="str">
        <f>IFERROR(__xludf.DUMMYFUNCTION("""COMPUTED_VALUE"""),"臺北市私立中山國民小學")</f>
        <v>臺北市私立中山國民小學</v>
      </c>
      <c r="F325" s="14" t="str">
        <f>IFERROR(__xludf.DUMMYFUNCTION("""COMPUTED_VALUE"""),"五年級")</f>
        <v>五年級</v>
      </c>
      <c r="G325" s="14" t="str">
        <f>IFERROR(__xludf.DUMMYFUNCTION("""COMPUTED_VALUE"""),"●小禮物")</f>
        <v>●小禮物</v>
      </c>
      <c r="H325" s="8"/>
    </row>
    <row r="326">
      <c r="A326" s="18"/>
      <c r="B326" s="14">
        <f>IFERROR(__xludf.DUMMYFUNCTION("""COMPUTED_VALUE"""),954836.0)</f>
        <v>954836</v>
      </c>
      <c r="C326" s="14" t="str">
        <f>IFERROR(__xludf.DUMMYFUNCTION("""COMPUTED_VALUE"""),"周品樺")</f>
        <v>周品樺</v>
      </c>
      <c r="D326" s="16" t="str">
        <f>IFERROR(__xludf.DUMMYFUNCTION("""COMPUTED_VALUE"""),"107*****jcskg.tp.edu.tw")</f>
        <v>107*****jcskg.tp.edu.tw</v>
      </c>
      <c r="E326" s="17" t="str">
        <f>IFERROR(__xludf.DUMMYFUNCTION("""COMPUTED_VALUE"""),"臺北市私立中山國民小學")</f>
        <v>臺北市私立中山國民小學</v>
      </c>
      <c r="F326" s="14" t="str">
        <f>IFERROR(__xludf.DUMMYFUNCTION("""COMPUTED_VALUE"""),"五年級")</f>
        <v>五年級</v>
      </c>
      <c r="G326" s="14" t="str">
        <f>IFERROR(__xludf.DUMMYFUNCTION("""COMPUTED_VALUE"""),"●小禮物")</f>
        <v>●小禮物</v>
      </c>
      <c r="H326" s="8"/>
    </row>
    <row r="327">
      <c r="A327" s="18"/>
      <c r="B327" s="14">
        <f>IFERROR(__xludf.DUMMYFUNCTION("""COMPUTED_VALUE"""),584930.0)</f>
        <v>584930</v>
      </c>
      <c r="C327" s="14" t="str">
        <f>IFERROR(__xludf.DUMMYFUNCTION("""COMPUTED_VALUE"""),"張凱柏")</f>
        <v>張凱柏</v>
      </c>
      <c r="D327" s="16" t="str">
        <f>IFERROR(__xludf.DUMMYFUNCTION("""COMPUTED_VALUE"""),"107*****jcskg.tp.edu.tw")</f>
        <v>107*****jcskg.tp.edu.tw</v>
      </c>
      <c r="E327" s="17" t="str">
        <f>IFERROR(__xludf.DUMMYFUNCTION("""COMPUTED_VALUE"""),"臺北市私立中山國民小學")</f>
        <v>臺北市私立中山國民小學</v>
      </c>
      <c r="F327" s="14" t="str">
        <f>IFERROR(__xludf.DUMMYFUNCTION("""COMPUTED_VALUE"""),"五年級")</f>
        <v>五年級</v>
      </c>
      <c r="G327" s="14" t="str">
        <f>IFERROR(__xludf.DUMMYFUNCTION("""COMPUTED_VALUE"""),"獎狀")</f>
        <v>獎狀</v>
      </c>
      <c r="H327" s="8"/>
    </row>
    <row r="328">
      <c r="A328" s="18"/>
      <c r="B328" s="14">
        <f>IFERROR(__xludf.DUMMYFUNCTION("""COMPUTED_VALUE"""),551402.0)</f>
        <v>551402</v>
      </c>
      <c r="C328" s="14" t="str">
        <f>IFERROR(__xludf.DUMMYFUNCTION("""COMPUTED_VALUE"""),"周佑軒")</f>
        <v>周佑軒</v>
      </c>
      <c r="D328" s="16" t="str">
        <f>IFERROR(__xludf.DUMMYFUNCTION("""COMPUTED_VALUE"""),"su-*****@yahoo.com.tw")</f>
        <v>su-*****@yahoo.com.tw</v>
      </c>
      <c r="E328" s="17" t="str">
        <f>IFERROR(__xludf.DUMMYFUNCTION("""COMPUTED_VALUE"""),"臺北市私立中山國民小學")</f>
        <v>臺北市私立中山國民小學</v>
      </c>
      <c r="F328" s="14" t="str">
        <f>IFERROR(__xludf.DUMMYFUNCTION("""COMPUTED_VALUE"""),"五年級")</f>
        <v>五年級</v>
      </c>
      <c r="G328" s="14" t="str">
        <f>IFERROR(__xludf.DUMMYFUNCTION("""COMPUTED_VALUE"""),"獎狀")</f>
        <v>獎狀</v>
      </c>
      <c r="H328" s="8"/>
    </row>
    <row r="329">
      <c r="A329" s="18"/>
      <c r="B329" s="14">
        <f>IFERROR(__xludf.DUMMYFUNCTION("""COMPUTED_VALUE"""),588889.0)</f>
        <v>588889</v>
      </c>
      <c r="C329" s="14" t="str">
        <f>IFERROR(__xludf.DUMMYFUNCTION("""COMPUTED_VALUE"""),"柯千綾")</f>
        <v>柯千綾</v>
      </c>
      <c r="D329" s="16" t="str">
        <f>IFERROR(__xludf.DUMMYFUNCTION("""COMPUTED_VALUE"""),"107*****jcskg.tp.edu.tw")</f>
        <v>107*****jcskg.tp.edu.tw</v>
      </c>
      <c r="E329" s="17" t="str">
        <f>IFERROR(__xludf.DUMMYFUNCTION("""COMPUTED_VALUE"""),"臺北市私立中山國民小學")</f>
        <v>臺北市私立中山國民小學</v>
      </c>
      <c r="F329" s="14" t="str">
        <f>IFERROR(__xludf.DUMMYFUNCTION("""COMPUTED_VALUE"""),"五年級")</f>
        <v>五年級</v>
      </c>
      <c r="G329" s="14" t="str">
        <f>IFERROR(__xludf.DUMMYFUNCTION("""COMPUTED_VALUE"""),"獎狀")</f>
        <v>獎狀</v>
      </c>
      <c r="H329" s="8"/>
    </row>
    <row r="330">
      <c r="A330" s="18"/>
      <c r="B330" s="14">
        <f>IFERROR(__xludf.DUMMYFUNCTION("""COMPUTED_VALUE"""),1194267.0)</f>
        <v>1194267</v>
      </c>
      <c r="C330" s="14" t="str">
        <f>IFERROR(__xludf.DUMMYFUNCTION("""COMPUTED_VALUE"""),"張沛芸")</f>
        <v>張沛芸</v>
      </c>
      <c r="D330" s="16" t="str">
        <f>IFERROR(__xludf.DUMMYFUNCTION("""COMPUTED_VALUE"""),"107*****jcskg.tp.edu.tw")</f>
        <v>107*****jcskg.tp.edu.tw</v>
      </c>
      <c r="E330" s="17" t="str">
        <f>IFERROR(__xludf.DUMMYFUNCTION("""COMPUTED_VALUE"""),"臺北市私立中山國民小學")</f>
        <v>臺北市私立中山國民小學</v>
      </c>
      <c r="F330" s="14" t="str">
        <f>IFERROR(__xludf.DUMMYFUNCTION("""COMPUTED_VALUE"""),"五年級")</f>
        <v>五年級</v>
      </c>
      <c r="G330" s="14" t="str">
        <f>IFERROR(__xludf.DUMMYFUNCTION("""COMPUTED_VALUE"""),"獎狀")</f>
        <v>獎狀</v>
      </c>
      <c r="H330" s="8"/>
    </row>
    <row r="331">
      <c r="A331" s="18"/>
      <c r="B331" s="14">
        <f>IFERROR(__xludf.DUMMYFUNCTION("""COMPUTED_VALUE"""),433725.0)</f>
        <v>433725</v>
      </c>
      <c r="C331" s="14" t="str">
        <f>IFERROR(__xludf.DUMMYFUNCTION("""COMPUTED_VALUE"""),"林祐宇")</f>
        <v>林祐宇</v>
      </c>
      <c r="D331" s="16" t="str">
        <f>IFERROR(__xludf.DUMMYFUNCTION("""COMPUTED_VALUE"""),"bub*****iu@gmail.com")</f>
        <v>bub*****iu@gmail.com</v>
      </c>
      <c r="E331" s="17" t="str">
        <f>IFERROR(__xludf.DUMMYFUNCTION("""COMPUTED_VALUE"""),"臺北市私立中山國民小學")</f>
        <v>臺北市私立中山國民小學</v>
      </c>
      <c r="F331" s="14" t="str">
        <f>IFERROR(__xludf.DUMMYFUNCTION("""COMPUTED_VALUE"""),"五年級")</f>
        <v>五年級</v>
      </c>
      <c r="G331" s="14" t="str">
        <f>IFERROR(__xludf.DUMMYFUNCTION("""COMPUTED_VALUE"""),"獎狀")</f>
        <v>獎狀</v>
      </c>
      <c r="H331" s="8"/>
    </row>
    <row r="332">
      <c r="A332" s="18"/>
      <c r="B332" s="14">
        <f>IFERROR(__xludf.DUMMYFUNCTION("""COMPUTED_VALUE"""),600315.0)</f>
        <v>600315</v>
      </c>
      <c r="C332" s="14" t="str">
        <f>IFERROR(__xludf.DUMMYFUNCTION("""COMPUTED_VALUE"""),"金楚玹")</f>
        <v>金楚玹</v>
      </c>
      <c r="D332" s="16" t="str">
        <f>IFERROR(__xludf.DUMMYFUNCTION("""COMPUTED_VALUE"""),"spa*****6666@hotmail.com")</f>
        <v>spa*****6666@hotmail.com</v>
      </c>
      <c r="E332" s="17" t="str">
        <f>IFERROR(__xludf.DUMMYFUNCTION("""COMPUTED_VALUE"""),"臺北市私立中山國民小學")</f>
        <v>臺北市私立中山國民小學</v>
      </c>
      <c r="F332" s="14" t="str">
        <f>IFERROR(__xludf.DUMMYFUNCTION("""COMPUTED_VALUE"""),"五年級")</f>
        <v>五年級</v>
      </c>
      <c r="G332" s="14" t="str">
        <f>IFERROR(__xludf.DUMMYFUNCTION("""COMPUTED_VALUE"""),"●小禮物")</f>
        <v>●小禮物</v>
      </c>
      <c r="H332" s="8"/>
    </row>
    <row r="333">
      <c r="A333" s="18"/>
      <c r="B333" s="14">
        <f>IFERROR(__xludf.DUMMYFUNCTION("""COMPUTED_VALUE"""),454734.0)</f>
        <v>454734</v>
      </c>
      <c r="C333" s="14" t="str">
        <f>IFERROR(__xludf.DUMMYFUNCTION("""COMPUTED_VALUE"""),"蘇品豪")</f>
        <v>蘇品豪</v>
      </c>
      <c r="D333" s="16" t="str">
        <f>IFERROR(__xludf.DUMMYFUNCTION("""COMPUTED_VALUE"""),"709*****y@gmail.com")</f>
        <v>709*****y@gmail.com</v>
      </c>
      <c r="E333" s="17" t="str">
        <f>IFERROR(__xludf.DUMMYFUNCTION("""COMPUTED_VALUE"""),"臺北市私立中山國民小學")</f>
        <v>臺北市私立中山國民小學</v>
      </c>
      <c r="F333" s="14" t="str">
        <f>IFERROR(__xludf.DUMMYFUNCTION("""COMPUTED_VALUE"""),"五年級")</f>
        <v>五年級</v>
      </c>
      <c r="G333" s="14" t="str">
        <f>IFERROR(__xludf.DUMMYFUNCTION("""COMPUTED_VALUE"""),"獎狀")</f>
        <v>獎狀</v>
      </c>
      <c r="H333" s="8"/>
    </row>
    <row r="334">
      <c r="A334" s="18"/>
      <c r="B334" s="14">
        <f>IFERROR(__xludf.DUMMYFUNCTION("""COMPUTED_VALUE"""),426049.0)</f>
        <v>426049</v>
      </c>
      <c r="C334" s="14" t="str">
        <f>IFERROR(__xludf.DUMMYFUNCTION("""COMPUTED_VALUE"""),"張淋淋")</f>
        <v>張淋淋</v>
      </c>
      <c r="D334" s="16" t="str">
        <f>IFERROR(__xludf.DUMMYFUNCTION("""COMPUTED_VALUE"""),"106*****jcskg.tp.edu.tw")</f>
        <v>106*****jcskg.tp.edu.tw</v>
      </c>
      <c r="E334" s="17" t="str">
        <f>IFERROR(__xludf.DUMMYFUNCTION("""COMPUTED_VALUE"""),"臺北市私立中山國民小學")</f>
        <v>臺北市私立中山國民小學</v>
      </c>
      <c r="F334" s="14" t="str">
        <f>IFERROR(__xludf.DUMMYFUNCTION("""COMPUTED_VALUE"""),"六年級")</f>
        <v>六年級</v>
      </c>
      <c r="G334" s="14" t="str">
        <f>IFERROR(__xludf.DUMMYFUNCTION("""COMPUTED_VALUE"""),"獎狀")</f>
        <v>獎狀</v>
      </c>
      <c r="H334" s="8"/>
    </row>
    <row r="335">
      <c r="A335" s="18"/>
      <c r="B335" s="14">
        <f>IFERROR(__xludf.DUMMYFUNCTION("""COMPUTED_VALUE"""),935334.0)</f>
        <v>935334</v>
      </c>
      <c r="C335" s="14" t="str">
        <f>IFERROR(__xludf.DUMMYFUNCTION("""COMPUTED_VALUE"""),"劉沛綺")</f>
        <v>劉沛綺</v>
      </c>
      <c r="D335" s="16" t="str">
        <f>IFERROR(__xludf.DUMMYFUNCTION("""COMPUTED_VALUE"""),"106*****jcskg.tp.edu.tw")</f>
        <v>106*****jcskg.tp.edu.tw</v>
      </c>
      <c r="E335" s="17" t="str">
        <f>IFERROR(__xludf.DUMMYFUNCTION("""COMPUTED_VALUE"""),"臺北市私立中山國民小學")</f>
        <v>臺北市私立中山國民小學</v>
      </c>
      <c r="F335" s="14" t="str">
        <f>IFERROR(__xludf.DUMMYFUNCTION("""COMPUTED_VALUE"""),"六年級")</f>
        <v>六年級</v>
      </c>
      <c r="G335" s="14" t="str">
        <f>IFERROR(__xludf.DUMMYFUNCTION("""COMPUTED_VALUE"""),"獎狀")</f>
        <v>獎狀</v>
      </c>
      <c r="H335" s="8"/>
    </row>
    <row r="336">
      <c r="A336" s="18"/>
      <c r="B336" s="14">
        <f>IFERROR(__xludf.DUMMYFUNCTION("""COMPUTED_VALUE"""),772845.0)</f>
        <v>772845</v>
      </c>
      <c r="C336" s="14" t="str">
        <f>IFERROR(__xludf.DUMMYFUNCTION("""COMPUTED_VALUE"""),"黃紹軒")</f>
        <v>黃紹軒</v>
      </c>
      <c r="D336" s="16" t="str">
        <f>IFERROR(__xludf.DUMMYFUNCTION("""COMPUTED_VALUE"""),"106*****jcskg.tp.edu.tw")</f>
        <v>106*****jcskg.tp.edu.tw</v>
      </c>
      <c r="E336" s="17" t="str">
        <f>IFERROR(__xludf.DUMMYFUNCTION("""COMPUTED_VALUE"""),"臺北市私立中山國民小學")</f>
        <v>臺北市私立中山國民小學</v>
      </c>
      <c r="F336" s="14" t="str">
        <f>IFERROR(__xludf.DUMMYFUNCTION("""COMPUTED_VALUE"""),"六年級")</f>
        <v>六年級</v>
      </c>
      <c r="G336" s="14" t="str">
        <f>IFERROR(__xludf.DUMMYFUNCTION("""COMPUTED_VALUE"""),"●小禮物")</f>
        <v>●小禮物</v>
      </c>
      <c r="H336" s="8"/>
    </row>
    <row r="337">
      <c r="A337" s="18"/>
      <c r="B337" s="14">
        <f>IFERROR(__xludf.DUMMYFUNCTION("""COMPUTED_VALUE"""),438225.0)</f>
        <v>438225</v>
      </c>
      <c r="C337" s="14" t="str">
        <f>IFERROR(__xludf.DUMMYFUNCTION("""COMPUTED_VALUE"""),"曾彥鈞")</f>
        <v>曾彥鈞</v>
      </c>
      <c r="D337" s="16" t="str">
        <f>IFERROR(__xludf.DUMMYFUNCTION("""COMPUTED_VALUE"""),"106*****jcskg.tp.edu.tw")</f>
        <v>106*****jcskg.tp.edu.tw</v>
      </c>
      <c r="E337" s="17" t="str">
        <f>IFERROR(__xludf.DUMMYFUNCTION("""COMPUTED_VALUE"""),"臺北市私立中山國民小學")</f>
        <v>臺北市私立中山國民小學</v>
      </c>
      <c r="F337" s="14" t="str">
        <f>IFERROR(__xludf.DUMMYFUNCTION("""COMPUTED_VALUE"""),"六年級")</f>
        <v>六年級</v>
      </c>
      <c r="G337" s="14" t="str">
        <f>IFERROR(__xludf.DUMMYFUNCTION("""COMPUTED_VALUE"""),"●小禮物")</f>
        <v>●小禮物</v>
      </c>
      <c r="H337" s="8"/>
    </row>
    <row r="338">
      <c r="A338" s="18"/>
      <c r="B338" s="14">
        <f>IFERROR(__xludf.DUMMYFUNCTION("""COMPUTED_VALUE"""),426040.0)</f>
        <v>426040</v>
      </c>
      <c r="C338" s="14" t="str">
        <f>IFERROR(__xludf.DUMMYFUNCTION("""COMPUTED_VALUE"""),"林依萱")</f>
        <v>林依萱</v>
      </c>
      <c r="D338" s="16" t="str">
        <f>IFERROR(__xludf.DUMMYFUNCTION("""COMPUTED_VALUE"""),"106*****jcskg.tp.edu.tw")</f>
        <v>106*****jcskg.tp.edu.tw</v>
      </c>
      <c r="E338" s="17" t="str">
        <f>IFERROR(__xludf.DUMMYFUNCTION("""COMPUTED_VALUE"""),"臺北市私立中山國民小學")</f>
        <v>臺北市私立中山國民小學</v>
      </c>
      <c r="F338" s="14" t="str">
        <f>IFERROR(__xludf.DUMMYFUNCTION("""COMPUTED_VALUE"""),"六年級")</f>
        <v>六年級</v>
      </c>
      <c r="G338" s="14" t="str">
        <f>IFERROR(__xludf.DUMMYFUNCTION("""COMPUTED_VALUE"""),"獎狀")</f>
        <v>獎狀</v>
      </c>
      <c r="H338" s="8"/>
    </row>
    <row r="339">
      <c r="A339" s="18"/>
      <c r="B339" s="14">
        <f>IFERROR(__xludf.DUMMYFUNCTION("""COMPUTED_VALUE"""),546542.0)</f>
        <v>546542</v>
      </c>
      <c r="C339" s="14" t="str">
        <f>IFERROR(__xludf.DUMMYFUNCTION("""COMPUTED_VALUE"""),"陳昱誠")</f>
        <v>陳昱誠</v>
      </c>
      <c r="D339" s="16" t="str">
        <f>IFERROR(__xludf.DUMMYFUNCTION("""COMPUTED_VALUE"""),"106*****jcskg.tp.edu.tw")</f>
        <v>106*****jcskg.tp.edu.tw</v>
      </c>
      <c r="E339" s="17" t="str">
        <f>IFERROR(__xludf.DUMMYFUNCTION("""COMPUTED_VALUE"""),"臺北市私立中山國民小學")</f>
        <v>臺北市私立中山國民小學</v>
      </c>
      <c r="F339" s="14" t="str">
        <f>IFERROR(__xludf.DUMMYFUNCTION("""COMPUTED_VALUE"""),"六年級")</f>
        <v>六年級</v>
      </c>
      <c r="G339" s="14" t="str">
        <f>IFERROR(__xludf.DUMMYFUNCTION("""COMPUTED_VALUE"""),"●小禮物")</f>
        <v>●小禮物</v>
      </c>
      <c r="H339" s="8"/>
    </row>
    <row r="340">
      <c r="A340" s="18"/>
      <c r="B340" s="14">
        <f>IFERROR(__xludf.DUMMYFUNCTION("""COMPUTED_VALUE"""),444779.0)</f>
        <v>444779</v>
      </c>
      <c r="C340" s="14" t="str">
        <f>IFERROR(__xludf.DUMMYFUNCTION("""COMPUTED_VALUE"""),"朱翊傑")</f>
        <v>朱翊傑</v>
      </c>
      <c r="D340" s="16" t="str">
        <f>IFERROR(__xludf.DUMMYFUNCTION("""COMPUTED_VALUE"""),"106*****jcskg.tp.edu.tw")</f>
        <v>106*****jcskg.tp.edu.tw</v>
      </c>
      <c r="E340" s="17" t="str">
        <f>IFERROR(__xludf.DUMMYFUNCTION("""COMPUTED_VALUE"""),"臺北市私立中山國民小學")</f>
        <v>臺北市私立中山國民小學</v>
      </c>
      <c r="F340" s="14" t="str">
        <f>IFERROR(__xludf.DUMMYFUNCTION("""COMPUTED_VALUE"""),"六年級")</f>
        <v>六年級</v>
      </c>
      <c r="G340" s="14" t="str">
        <f>IFERROR(__xludf.DUMMYFUNCTION("""COMPUTED_VALUE"""),"●小禮物")</f>
        <v>●小禮物</v>
      </c>
      <c r="H340" s="8"/>
    </row>
    <row r="341">
      <c r="A341" s="18"/>
      <c r="B341" s="14">
        <f>IFERROR(__xludf.DUMMYFUNCTION("""COMPUTED_VALUE"""),440825.0)</f>
        <v>440825</v>
      </c>
      <c r="C341" s="14" t="str">
        <f>IFERROR(__xludf.DUMMYFUNCTION("""COMPUTED_VALUE"""),"何昀軒")</f>
        <v>何昀軒</v>
      </c>
      <c r="D341" s="16" t="str">
        <f>IFERROR(__xludf.DUMMYFUNCTION("""COMPUTED_VALUE"""),"106*****jcskg.tp.edu.tw")</f>
        <v>106*****jcskg.tp.edu.tw</v>
      </c>
      <c r="E341" s="17" t="str">
        <f>IFERROR(__xludf.DUMMYFUNCTION("""COMPUTED_VALUE"""),"臺北市私立中山國民小學")</f>
        <v>臺北市私立中山國民小學</v>
      </c>
      <c r="F341" s="14" t="str">
        <f>IFERROR(__xludf.DUMMYFUNCTION("""COMPUTED_VALUE"""),"六年級")</f>
        <v>六年級</v>
      </c>
      <c r="G341" s="14" t="str">
        <f>IFERROR(__xludf.DUMMYFUNCTION("""COMPUTED_VALUE"""),"獎狀")</f>
        <v>獎狀</v>
      </c>
      <c r="H341" s="8"/>
    </row>
    <row r="342">
      <c r="A342" s="18"/>
      <c r="B342" s="14">
        <f>IFERROR(__xludf.DUMMYFUNCTION("""COMPUTED_VALUE"""),772745.0)</f>
        <v>772745</v>
      </c>
      <c r="C342" s="14" t="str">
        <f>IFERROR(__xludf.DUMMYFUNCTION("""COMPUTED_VALUE"""),"彭莉雅")</f>
        <v>彭莉雅</v>
      </c>
      <c r="D342" s="16" t="str">
        <f>IFERROR(__xludf.DUMMYFUNCTION("""COMPUTED_VALUE"""),"106*****jcskg.tp.edu.tw")</f>
        <v>106*****jcskg.tp.edu.tw</v>
      </c>
      <c r="E342" s="17" t="str">
        <f>IFERROR(__xludf.DUMMYFUNCTION("""COMPUTED_VALUE"""),"臺北市私立中山國民小學")</f>
        <v>臺北市私立中山國民小學</v>
      </c>
      <c r="F342" s="14" t="str">
        <f>IFERROR(__xludf.DUMMYFUNCTION("""COMPUTED_VALUE"""),"六年級")</f>
        <v>六年級</v>
      </c>
      <c r="G342" s="14" t="str">
        <f>IFERROR(__xludf.DUMMYFUNCTION("""COMPUTED_VALUE"""),"獎狀")</f>
        <v>獎狀</v>
      </c>
      <c r="H342" s="8"/>
    </row>
    <row r="343">
      <c r="A343" s="18"/>
      <c r="B343" s="14">
        <f>IFERROR(__xludf.DUMMYFUNCTION("""COMPUTED_VALUE"""),1211975.0)</f>
        <v>1211975</v>
      </c>
      <c r="C343" s="14" t="str">
        <f>IFERROR(__xludf.DUMMYFUNCTION("""COMPUTED_VALUE"""),"孫瑋璘")</f>
        <v>孫瑋璘</v>
      </c>
      <c r="D343" s="16" t="str">
        <f>IFERROR(__xludf.DUMMYFUNCTION("""COMPUTED_VALUE"""),"106*****jcskg.tp.edu.tw")</f>
        <v>106*****jcskg.tp.edu.tw</v>
      </c>
      <c r="E343" s="17" t="str">
        <f>IFERROR(__xludf.DUMMYFUNCTION("""COMPUTED_VALUE"""),"臺北市私立中山國民小學")</f>
        <v>臺北市私立中山國民小學</v>
      </c>
      <c r="F343" s="14" t="str">
        <f>IFERROR(__xludf.DUMMYFUNCTION("""COMPUTED_VALUE"""),"六年級")</f>
        <v>六年級</v>
      </c>
      <c r="G343" s="14" t="str">
        <f>IFERROR(__xludf.DUMMYFUNCTION("""COMPUTED_VALUE"""),"●小禮物")</f>
        <v>●小禮物</v>
      </c>
      <c r="H343" s="8"/>
    </row>
    <row r="344">
      <c r="A344" s="18"/>
      <c r="B344" s="14">
        <f>IFERROR(__xludf.DUMMYFUNCTION("""COMPUTED_VALUE"""),426760.0)</f>
        <v>426760</v>
      </c>
      <c r="C344" s="14" t="str">
        <f>IFERROR(__xludf.DUMMYFUNCTION("""COMPUTED_VALUE"""),"劉祈愛")</f>
        <v>劉祈愛</v>
      </c>
      <c r="D344" s="16" t="str">
        <f>IFERROR(__xludf.DUMMYFUNCTION("""COMPUTED_VALUE"""),"106*****jcskg.tp.edu.tw")</f>
        <v>106*****jcskg.tp.edu.tw</v>
      </c>
      <c r="E344" s="17" t="str">
        <f>IFERROR(__xludf.DUMMYFUNCTION("""COMPUTED_VALUE"""),"臺北市私立中山國民小學")</f>
        <v>臺北市私立中山國民小學</v>
      </c>
      <c r="F344" s="14" t="str">
        <f>IFERROR(__xludf.DUMMYFUNCTION("""COMPUTED_VALUE"""),"六年級")</f>
        <v>六年級</v>
      </c>
      <c r="G344" s="14" t="str">
        <f>IFERROR(__xludf.DUMMYFUNCTION("""COMPUTED_VALUE"""),"獎狀")</f>
        <v>獎狀</v>
      </c>
      <c r="H344" s="8"/>
    </row>
    <row r="345">
      <c r="A345" s="18"/>
      <c r="B345" s="14">
        <f>IFERROR(__xludf.DUMMYFUNCTION("""COMPUTED_VALUE"""),772743.0)</f>
        <v>772743</v>
      </c>
      <c r="C345" s="14" t="str">
        <f>IFERROR(__xludf.DUMMYFUNCTION("""COMPUTED_VALUE"""),"翁敬洋")</f>
        <v>翁敬洋</v>
      </c>
      <c r="D345" s="16" t="str">
        <f>IFERROR(__xludf.DUMMYFUNCTION("""COMPUTED_VALUE"""),"106*****jcskg.tp.edu.tw")</f>
        <v>106*****jcskg.tp.edu.tw</v>
      </c>
      <c r="E345" s="17" t="str">
        <f>IFERROR(__xludf.DUMMYFUNCTION("""COMPUTED_VALUE"""),"臺北市私立中山國民小學")</f>
        <v>臺北市私立中山國民小學</v>
      </c>
      <c r="F345" s="14" t="str">
        <f>IFERROR(__xludf.DUMMYFUNCTION("""COMPUTED_VALUE"""),"六年級")</f>
        <v>六年級</v>
      </c>
      <c r="G345" s="14" t="str">
        <f>IFERROR(__xludf.DUMMYFUNCTION("""COMPUTED_VALUE"""),"獎狀")</f>
        <v>獎狀</v>
      </c>
      <c r="H345" s="8"/>
    </row>
    <row r="346">
      <c r="A346" s="18"/>
      <c r="B346" s="14">
        <f>IFERROR(__xludf.DUMMYFUNCTION("""COMPUTED_VALUE"""),426356.0)</f>
        <v>426356</v>
      </c>
      <c r="C346" s="14" t="str">
        <f>IFERROR(__xludf.DUMMYFUNCTION("""COMPUTED_VALUE"""),"陳玧蓁")</f>
        <v>陳玧蓁</v>
      </c>
      <c r="D346" s="16" t="str">
        <f>IFERROR(__xludf.DUMMYFUNCTION("""COMPUTED_VALUE"""),"106*****jcskg.tp.edu.tw")</f>
        <v>106*****jcskg.tp.edu.tw</v>
      </c>
      <c r="E346" s="17" t="str">
        <f>IFERROR(__xludf.DUMMYFUNCTION("""COMPUTED_VALUE"""),"臺北市私立中山國民小學")</f>
        <v>臺北市私立中山國民小學</v>
      </c>
      <c r="F346" s="14" t="str">
        <f>IFERROR(__xludf.DUMMYFUNCTION("""COMPUTED_VALUE"""),"六年級")</f>
        <v>六年級</v>
      </c>
      <c r="G346" s="14" t="str">
        <f>IFERROR(__xludf.DUMMYFUNCTION("""COMPUTED_VALUE"""),"獎狀")</f>
        <v>獎狀</v>
      </c>
      <c r="H346" s="8"/>
    </row>
    <row r="347">
      <c r="A347" s="18"/>
      <c r="B347" s="14">
        <f>IFERROR(__xludf.DUMMYFUNCTION("""COMPUTED_VALUE"""),430512.0)</f>
        <v>430512</v>
      </c>
      <c r="C347" s="14" t="str">
        <f>IFERROR(__xludf.DUMMYFUNCTION("""COMPUTED_VALUE"""),"王恩蕙")</f>
        <v>王恩蕙</v>
      </c>
      <c r="D347" s="16" t="str">
        <f>IFERROR(__xludf.DUMMYFUNCTION("""COMPUTED_VALUE"""),"106*****jcskg.tp.edu.tw")</f>
        <v>106*****jcskg.tp.edu.tw</v>
      </c>
      <c r="E347" s="17" t="str">
        <f>IFERROR(__xludf.DUMMYFUNCTION("""COMPUTED_VALUE"""),"臺北市私立中山國民小學")</f>
        <v>臺北市私立中山國民小學</v>
      </c>
      <c r="F347" s="14" t="str">
        <f>IFERROR(__xludf.DUMMYFUNCTION("""COMPUTED_VALUE"""),"六年級")</f>
        <v>六年級</v>
      </c>
      <c r="G347" s="14" t="str">
        <f>IFERROR(__xludf.DUMMYFUNCTION("""COMPUTED_VALUE"""),"獎狀")</f>
        <v>獎狀</v>
      </c>
      <c r="H347" s="8"/>
    </row>
    <row r="348">
      <c r="A348" s="18"/>
      <c r="B348" s="14">
        <f>IFERROR(__xludf.DUMMYFUNCTION("""COMPUTED_VALUE"""),541927.0)</f>
        <v>541927</v>
      </c>
      <c r="C348" s="14" t="str">
        <f>IFERROR(__xludf.DUMMYFUNCTION("""COMPUTED_VALUE"""),"謝向菱")</f>
        <v>謝向菱</v>
      </c>
      <c r="D348" s="16" t="str">
        <f>IFERROR(__xludf.DUMMYFUNCTION("""COMPUTED_VALUE"""),"106*****jcskg.tp.edu.tw")</f>
        <v>106*****jcskg.tp.edu.tw</v>
      </c>
      <c r="E348" s="17" t="str">
        <f>IFERROR(__xludf.DUMMYFUNCTION("""COMPUTED_VALUE"""),"臺北市私立中山國民小學")</f>
        <v>臺北市私立中山國民小學</v>
      </c>
      <c r="F348" s="14" t="str">
        <f>IFERROR(__xludf.DUMMYFUNCTION("""COMPUTED_VALUE"""),"六年級")</f>
        <v>六年級</v>
      </c>
      <c r="G348" s="14" t="str">
        <f>IFERROR(__xludf.DUMMYFUNCTION("""COMPUTED_VALUE"""),"獎狀")</f>
        <v>獎狀</v>
      </c>
      <c r="H348" s="8"/>
    </row>
    <row r="349">
      <c r="A349" s="18"/>
      <c r="B349" s="14">
        <f>IFERROR(__xludf.DUMMYFUNCTION("""COMPUTED_VALUE"""),772746.0)</f>
        <v>772746</v>
      </c>
      <c r="C349" s="14" t="str">
        <f>IFERROR(__xludf.DUMMYFUNCTION("""COMPUTED_VALUE"""),"謝亞芯")</f>
        <v>謝亞芯</v>
      </c>
      <c r="D349" s="16" t="str">
        <f>IFERROR(__xludf.DUMMYFUNCTION("""COMPUTED_VALUE"""),"106*****jcskg.tp.edu.tw")</f>
        <v>106*****jcskg.tp.edu.tw</v>
      </c>
      <c r="E349" s="17" t="str">
        <f>IFERROR(__xludf.DUMMYFUNCTION("""COMPUTED_VALUE"""),"臺北市私立中山國民小學")</f>
        <v>臺北市私立中山國民小學</v>
      </c>
      <c r="F349" s="14" t="str">
        <f>IFERROR(__xludf.DUMMYFUNCTION("""COMPUTED_VALUE"""),"六年級")</f>
        <v>六年級</v>
      </c>
      <c r="G349" s="14" t="str">
        <f>IFERROR(__xludf.DUMMYFUNCTION("""COMPUTED_VALUE"""),"獎狀")</f>
        <v>獎狀</v>
      </c>
      <c r="H349" s="8"/>
    </row>
    <row r="350">
      <c r="A350" s="18"/>
      <c r="B350" s="14">
        <f>IFERROR(__xludf.DUMMYFUNCTION("""COMPUTED_VALUE"""),426029.0)</f>
        <v>426029</v>
      </c>
      <c r="C350" s="14" t="str">
        <f>IFERROR(__xludf.DUMMYFUNCTION("""COMPUTED_VALUE"""),"盧宥同")</f>
        <v>盧宥同</v>
      </c>
      <c r="D350" s="16" t="str">
        <f>IFERROR(__xludf.DUMMYFUNCTION("""COMPUTED_VALUE"""),"106*****jcskg.tp.edu.tw")</f>
        <v>106*****jcskg.tp.edu.tw</v>
      </c>
      <c r="E350" s="17" t="str">
        <f>IFERROR(__xludf.DUMMYFUNCTION("""COMPUTED_VALUE"""),"臺北市私立中山國民小學")</f>
        <v>臺北市私立中山國民小學</v>
      </c>
      <c r="F350" s="14" t="str">
        <f>IFERROR(__xludf.DUMMYFUNCTION("""COMPUTED_VALUE"""),"六年級")</f>
        <v>六年級</v>
      </c>
      <c r="G350" s="14" t="str">
        <f>IFERROR(__xludf.DUMMYFUNCTION("""COMPUTED_VALUE"""),"●小禮物")</f>
        <v>●小禮物</v>
      </c>
      <c r="H350" s="8"/>
    </row>
    <row r="351">
      <c r="A351" s="18"/>
      <c r="B351" s="14">
        <f>IFERROR(__xludf.DUMMYFUNCTION("""COMPUTED_VALUE"""),430511.0)</f>
        <v>430511</v>
      </c>
      <c r="C351" s="14" t="str">
        <f>IFERROR(__xludf.DUMMYFUNCTION("""COMPUTED_VALUE"""),"王恩臨")</f>
        <v>王恩臨</v>
      </c>
      <c r="D351" s="16" t="str">
        <f>IFERROR(__xludf.DUMMYFUNCTION("""COMPUTED_VALUE"""),"106*****jcskg.tp.edu.tw")</f>
        <v>106*****jcskg.tp.edu.tw</v>
      </c>
      <c r="E351" s="17" t="str">
        <f>IFERROR(__xludf.DUMMYFUNCTION("""COMPUTED_VALUE"""),"臺北市私立中山國民小學")</f>
        <v>臺北市私立中山國民小學</v>
      </c>
      <c r="F351" s="14" t="str">
        <f>IFERROR(__xludf.DUMMYFUNCTION("""COMPUTED_VALUE"""),"六年級")</f>
        <v>六年級</v>
      </c>
      <c r="G351" s="14" t="str">
        <f>IFERROR(__xludf.DUMMYFUNCTION("""COMPUTED_VALUE"""),"獎狀")</f>
        <v>獎狀</v>
      </c>
      <c r="H351" s="8"/>
    </row>
    <row r="352">
      <c r="A352" s="18"/>
      <c r="B352" s="14">
        <f>IFERROR(__xludf.DUMMYFUNCTION("""COMPUTED_VALUE"""),1103792.0)</f>
        <v>1103792</v>
      </c>
      <c r="C352" s="14" t="str">
        <f>IFERROR(__xludf.DUMMYFUNCTION("""COMPUTED_VALUE"""),"林謙鋒")</f>
        <v>林謙鋒</v>
      </c>
      <c r="D352" s="16" t="str">
        <f>IFERROR(__xludf.DUMMYFUNCTION("""COMPUTED_VALUE"""),"yjp*****09@std.yjps.tp.edu.tw")</f>
        <v>yjp*****09@std.yjps.tp.edu.tw</v>
      </c>
      <c r="E352" s="17" t="str">
        <f>IFERROR(__xludf.DUMMYFUNCTION("""COMPUTED_VALUE"""),"臺北市文山區永建國民小學")</f>
        <v>臺北市文山區永建國民小學</v>
      </c>
      <c r="F352" s="14" t="str">
        <f>IFERROR(__xludf.DUMMYFUNCTION("""COMPUTED_VALUE"""),"三年級")</f>
        <v>三年級</v>
      </c>
      <c r="G352" s="14" t="str">
        <f>IFERROR(__xludf.DUMMYFUNCTION("""COMPUTED_VALUE"""),"●小禮物")</f>
        <v>●小禮物</v>
      </c>
      <c r="H352" s="8"/>
    </row>
    <row r="353">
      <c r="A353" s="18"/>
      <c r="B353" s="14">
        <f>IFERROR(__xludf.DUMMYFUNCTION("""COMPUTED_VALUE"""),1113466.0)</f>
        <v>1113466</v>
      </c>
      <c r="C353" s="14" t="str">
        <f>IFERROR(__xludf.DUMMYFUNCTION("""COMPUTED_VALUE"""),"王悌權")</f>
        <v>王悌權</v>
      </c>
      <c r="D353" s="16" t="str">
        <f>IFERROR(__xludf.DUMMYFUNCTION("""COMPUTED_VALUE"""),"tzu*****@gmail.com")</f>
        <v>tzu*****@gmail.com</v>
      </c>
      <c r="E353" s="17" t="str">
        <f>IFERROR(__xludf.DUMMYFUNCTION("""COMPUTED_VALUE"""),"臺北市文山區永建國民小學")</f>
        <v>臺北市文山區永建國民小學</v>
      </c>
      <c r="F353" s="14" t="str">
        <f>IFERROR(__xludf.DUMMYFUNCTION("""COMPUTED_VALUE"""),"三年級")</f>
        <v>三年級</v>
      </c>
      <c r="G353" s="14" t="str">
        <f>IFERROR(__xludf.DUMMYFUNCTION("""COMPUTED_VALUE"""),"獎狀")</f>
        <v>獎狀</v>
      </c>
      <c r="H353" s="8"/>
    </row>
    <row r="354">
      <c r="A354" s="18"/>
      <c r="B354" s="14">
        <f>IFERROR(__xludf.DUMMYFUNCTION("""COMPUTED_VALUE"""),1143888.0)</f>
        <v>1143888</v>
      </c>
      <c r="C354" s="14" t="str">
        <f>IFERROR(__xludf.DUMMYFUNCTION("""COMPUTED_VALUE"""),"石曼熹")</f>
        <v>石曼熹</v>
      </c>
      <c r="D354" s="16" t="str">
        <f>IFERROR(__xludf.DUMMYFUNCTION("""COMPUTED_VALUE"""),"cla*****13@gmail.com")</f>
        <v>cla*****13@gmail.com</v>
      </c>
      <c r="E354" s="17" t="str">
        <f>IFERROR(__xludf.DUMMYFUNCTION("""COMPUTED_VALUE"""),"臺北市博嘉實驗國民小學")</f>
        <v>臺北市博嘉實驗國民小學</v>
      </c>
      <c r="F354" s="14" t="str">
        <f>IFERROR(__xludf.DUMMYFUNCTION("""COMPUTED_VALUE"""),"四年級")</f>
        <v>四年級</v>
      </c>
      <c r="G354" s="14" t="str">
        <f>IFERROR(__xludf.DUMMYFUNCTION("""COMPUTED_VALUE"""),"●小禮物")</f>
        <v>●小禮物</v>
      </c>
      <c r="H354" s="8"/>
    </row>
    <row r="355">
      <c r="A355" s="18"/>
      <c r="B355" s="14">
        <f>IFERROR(__xludf.DUMMYFUNCTION("""COMPUTED_VALUE"""),1213332.0)</f>
        <v>1213332</v>
      </c>
      <c r="C355" s="14" t="str">
        <f>IFERROR(__xludf.DUMMYFUNCTION("""COMPUTED_VALUE"""),"魏于晴")</f>
        <v>魏于晴</v>
      </c>
      <c r="D355" s="16" t="str">
        <f>IFERROR(__xludf.DUMMYFUNCTION("""COMPUTED_VALUE"""),"tsp*****62@student.tsps.tp.edu.tw")</f>
        <v>tsp*****62@student.tsps.tp.edu.tw</v>
      </c>
      <c r="E355" s="17" t="str">
        <f>IFERROR(__xludf.DUMMYFUNCTION("""COMPUTED_VALUE"""),"臺北市私立再興國民小學")</f>
        <v>臺北市私立再興國民小學</v>
      </c>
      <c r="F355" s="14" t="str">
        <f>IFERROR(__xludf.DUMMYFUNCTION("""COMPUTED_VALUE"""),"三年級")</f>
        <v>三年級</v>
      </c>
      <c r="G355" s="14" t="str">
        <f>IFERROR(__xludf.DUMMYFUNCTION("""COMPUTED_VALUE"""),"●小禮物")</f>
        <v>●小禮物</v>
      </c>
      <c r="H355" s="8"/>
    </row>
    <row r="356">
      <c r="A356" s="18"/>
      <c r="B356" s="14">
        <f>IFERROR(__xludf.DUMMYFUNCTION("""COMPUTED_VALUE"""),1126695.0)</f>
        <v>1126695</v>
      </c>
      <c r="C356" s="14" t="str">
        <f>IFERROR(__xludf.DUMMYFUNCTION("""COMPUTED_VALUE"""),"李弈霏")</f>
        <v>李弈霏</v>
      </c>
      <c r="D356" s="16" t="str">
        <f>IFERROR(__xludf.DUMMYFUNCTION("""COMPUTED_VALUE"""),"ali*****0715@gmail.com")</f>
        <v>ali*****0715@gmail.com</v>
      </c>
      <c r="E356" s="17" t="str">
        <f>IFERROR(__xludf.DUMMYFUNCTION("""COMPUTED_VALUE"""),"臺北市私立再興國民小學")</f>
        <v>臺北市私立再興國民小學</v>
      </c>
      <c r="F356" s="14" t="str">
        <f>IFERROR(__xludf.DUMMYFUNCTION("""COMPUTED_VALUE"""),"三年級")</f>
        <v>三年級</v>
      </c>
      <c r="G356" s="14" t="str">
        <f>IFERROR(__xludf.DUMMYFUNCTION("""COMPUTED_VALUE"""),"獎狀")</f>
        <v>獎狀</v>
      </c>
      <c r="H356" s="8"/>
    </row>
    <row r="357">
      <c r="A357" s="18"/>
      <c r="B357" s="14">
        <f>IFERROR(__xludf.DUMMYFUNCTION("""COMPUTED_VALUE"""),1143431.0)</f>
        <v>1143431</v>
      </c>
      <c r="C357" s="14" t="str">
        <f>IFERROR(__xludf.DUMMYFUNCTION("""COMPUTED_VALUE"""),"吳宥樂")</f>
        <v>吳宥樂</v>
      </c>
      <c r="D357" s="16" t="str">
        <f>IFERROR(__xludf.DUMMYFUNCTION("""COMPUTED_VALUE"""),"tsp*****87@student.tsps.tp.edu.tw")</f>
        <v>tsp*****87@student.tsps.tp.edu.tw</v>
      </c>
      <c r="E357" s="17" t="str">
        <f>IFERROR(__xludf.DUMMYFUNCTION("""COMPUTED_VALUE"""),"臺北市私立再興國民小學")</f>
        <v>臺北市私立再興國民小學</v>
      </c>
      <c r="F357" s="14" t="str">
        <f>IFERROR(__xludf.DUMMYFUNCTION("""COMPUTED_VALUE"""),"四年級")</f>
        <v>四年級</v>
      </c>
      <c r="G357" s="14" t="str">
        <f>IFERROR(__xludf.DUMMYFUNCTION("""COMPUTED_VALUE"""),"獎狀")</f>
        <v>獎狀</v>
      </c>
      <c r="H357" s="8"/>
    </row>
    <row r="358">
      <c r="A358" s="18"/>
      <c r="B358" s="14">
        <f>IFERROR(__xludf.DUMMYFUNCTION("""COMPUTED_VALUE"""),1120857.0)</f>
        <v>1120857</v>
      </c>
      <c r="C358" s="14" t="str">
        <f>IFERROR(__xludf.DUMMYFUNCTION("""COMPUTED_VALUE"""),"葉奕緯")</f>
        <v>葉奕緯</v>
      </c>
      <c r="D358" s="16" t="str">
        <f>IFERROR(__xludf.DUMMYFUNCTION("""COMPUTED_VALUE"""),"tsp*****59@student.tsps.tp.edu.tw")</f>
        <v>tsp*****59@student.tsps.tp.edu.tw</v>
      </c>
      <c r="E358" s="17" t="str">
        <f>IFERROR(__xludf.DUMMYFUNCTION("""COMPUTED_VALUE"""),"臺北市私立再興國民小學")</f>
        <v>臺北市私立再興國民小學</v>
      </c>
      <c r="F358" s="14" t="str">
        <f>IFERROR(__xludf.DUMMYFUNCTION("""COMPUTED_VALUE"""),"四年級")</f>
        <v>四年級</v>
      </c>
      <c r="G358" s="14" t="str">
        <f>IFERROR(__xludf.DUMMYFUNCTION("""COMPUTED_VALUE"""),"獎狀")</f>
        <v>獎狀</v>
      </c>
      <c r="H358" s="8"/>
    </row>
    <row r="359">
      <c r="A359" s="18"/>
      <c r="B359" s="14">
        <f>IFERROR(__xludf.DUMMYFUNCTION("""COMPUTED_VALUE"""),1120605.0)</f>
        <v>1120605</v>
      </c>
      <c r="C359" s="14" t="str">
        <f>IFERROR(__xludf.DUMMYFUNCTION("""COMPUTED_VALUE"""),"鄭絜心")</f>
        <v>鄭絜心</v>
      </c>
      <c r="D359" s="16" t="str">
        <f>IFERROR(__xludf.DUMMYFUNCTION("""COMPUTED_VALUE"""),"tsp*****57@student.tsps.tp.edu.tw")</f>
        <v>tsp*****57@student.tsps.tp.edu.tw</v>
      </c>
      <c r="E359" s="17" t="str">
        <f>IFERROR(__xludf.DUMMYFUNCTION("""COMPUTED_VALUE"""),"臺北市私立再興國民小學")</f>
        <v>臺北市私立再興國民小學</v>
      </c>
      <c r="F359" s="14" t="str">
        <f>IFERROR(__xludf.DUMMYFUNCTION("""COMPUTED_VALUE"""),"四年級")</f>
        <v>四年級</v>
      </c>
      <c r="G359" s="14" t="str">
        <f>IFERROR(__xludf.DUMMYFUNCTION("""COMPUTED_VALUE"""),"★禮券$200")</f>
        <v>★禮券$200</v>
      </c>
      <c r="H359" s="8"/>
    </row>
    <row r="360">
      <c r="A360" s="18"/>
      <c r="B360" s="14">
        <f>IFERROR(__xludf.DUMMYFUNCTION("""COMPUTED_VALUE"""),1015392.0)</f>
        <v>1015392</v>
      </c>
      <c r="C360" s="14" t="str">
        <f>IFERROR(__xludf.DUMMYFUNCTION("""COMPUTED_VALUE"""),"高珮慈")</f>
        <v>高珮慈</v>
      </c>
      <c r="D360" s="16" t="str">
        <f>IFERROR(__xludf.DUMMYFUNCTION("""COMPUTED_VALUE"""),"k19*****7@yahoo.com.tw")</f>
        <v>k19*****7@yahoo.com.tw</v>
      </c>
      <c r="E360" s="17" t="str">
        <f>IFERROR(__xludf.DUMMYFUNCTION("""COMPUTED_VALUE"""),"臺北市私立再興國民小學")</f>
        <v>臺北市私立再興國民小學</v>
      </c>
      <c r="F360" s="14" t="str">
        <f>IFERROR(__xludf.DUMMYFUNCTION("""COMPUTED_VALUE"""),"四年級")</f>
        <v>四年級</v>
      </c>
      <c r="G360" s="14" t="str">
        <f>IFERROR(__xludf.DUMMYFUNCTION("""COMPUTED_VALUE"""),"獎狀")</f>
        <v>獎狀</v>
      </c>
      <c r="H360" s="8"/>
    </row>
    <row r="361">
      <c r="A361" s="18"/>
      <c r="B361" s="14">
        <f>IFERROR(__xludf.DUMMYFUNCTION("""COMPUTED_VALUE"""),1213620.0)</f>
        <v>1213620</v>
      </c>
      <c r="C361" s="14" t="str">
        <f>IFERROR(__xludf.DUMMYFUNCTION("""COMPUTED_VALUE"""),"張云馨")</f>
        <v>張云馨</v>
      </c>
      <c r="D361" s="16" t="str">
        <f>IFERROR(__xludf.DUMMYFUNCTION("""COMPUTED_VALUE"""),"tsp*****35@student.tsps.tp.edu.tw")</f>
        <v>tsp*****35@student.tsps.tp.edu.tw</v>
      </c>
      <c r="E361" s="17" t="str">
        <f>IFERROR(__xludf.DUMMYFUNCTION("""COMPUTED_VALUE"""),"臺北市私立再興國民小學")</f>
        <v>臺北市私立再興國民小學</v>
      </c>
      <c r="F361" s="14" t="str">
        <f>IFERROR(__xludf.DUMMYFUNCTION("""COMPUTED_VALUE"""),"五年級")</f>
        <v>五年級</v>
      </c>
      <c r="G361" s="14" t="str">
        <f>IFERROR(__xludf.DUMMYFUNCTION("""COMPUTED_VALUE"""),"●小禮物")</f>
        <v>●小禮物</v>
      </c>
      <c r="H361" s="8"/>
    </row>
    <row r="362">
      <c r="A362" s="18"/>
      <c r="B362" s="14">
        <f>IFERROR(__xludf.DUMMYFUNCTION("""COMPUTED_VALUE"""),1122350.0)</f>
        <v>1122350</v>
      </c>
      <c r="C362" s="14" t="str">
        <f>IFERROR(__xludf.DUMMYFUNCTION("""COMPUTED_VALUE"""),"賴則均")</f>
        <v>賴則均</v>
      </c>
      <c r="D362" s="16" t="str">
        <f>IFERROR(__xludf.DUMMYFUNCTION("""COMPUTED_VALUE"""),"tsp*****58@student.tsps.tp.edu.tw")</f>
        <v>tsp*****58@student.tsps.tp.edu.tw</v>
      </c>
      <c r="E362" s="17" t="str">
        <f>IFERROR(__xludf.DUMMYFUNCTION("""COMPUTED_VALUE"""),"臺北市私立再興國民小學")</f>
        <v>臺北市私立再興國民小學</v>
      </c>
      <c r="F362" s="14" t="str">
        <f>IFERROR(__xludf.DUMMYFUNCTION("""COMPUTED_VALUE"""),"五年級")</f>
        <v>五年級</v>
      </c>
      <c r="G362" s="14" t="str">
        <f>IFERROR(__xludf.DUMMYFUNCTION("""COMPUTED_VALUE"""),"獎狀")</f>
        <v>獎狀</v>
      </c>
      <c r="H362" s="8"/>
    </row>
    <row r="363">
      <c r="A363" s="18"/>
      <c r="B363" s="14">
        <f>IFERROR(__xludf.DUMMYFUNCTION("""COMPUTED_VALUE"""),136455.0)</f>
        <v>136455</v>
      </c>
      <c r="C363" s="14" t="str">
        <f>IFERROR(__xludf.DUMMYFUNCTION("""COMPUTED_VALUE"""),"汪泓劭")</f>
        <v>汪泓劭</v>
      </c>
      <c r="D363" s="16" t="str">
        <f>IFERROR(__xludf.DUMMYFUNCTION("""COMPUTED_VALUE"""),"k38*****gmail.com")</f>
        <v>k38*****gmail.com</v>
      </c>
      <c r="E363" s="17" t="str">
        <f>IFERROR(__xludf.DUMMYFUNCTION("""COMPUTED_VALUE"""),"臺北市私立再興國民小學")</f>
        <v>臺北市私立再興國民小學</v>
      </c>
      <c r="F363" s="14" t="str">
        <f>IFERROR(__xludf.DUMMYFUNCTION("""COMPUTED_VALUE"""),"五年級")</f>
        <v>五年級</v>
      </c>
      <c r="G363" s="14" t="str">
        <f>IFERROR(__xludf.DUMMYFUNCTION("""COMPUTED_VALUE"""),"獎狀")</f>
        <v>獎狀</v>
      </c>
      <c r="H363" s="8"/>
    </row>
    <row r="364">
      <c r="A364" s="18"/>
      <c r="B364" s="14">
        <f>IFERROR(__xludf.DUMMYFUNCTION("""COMPUTED_VALUE"""),966466.0)</f>
        <v>966466</v>
      </c>
      <c r="C364" s="14" t="str">
        <f>IFERROR(__xludf.DUMMYFUNCTION("""COMPUTED_VALUE"""),"洪熙雯")</f>
        <v>洪熙雯</v>
      </c>
      <c r="D364" s="16" t="str">
        <f>IFERROR(__xludf.DUMMYFUNCTION("""COMPUTED_VALUE"""),"hon*****04@gmail.com")</f>
        <v>hon*****04@gmail.com</v>
      </c>
      <c r="E364" s="17" t="str">
        <f>IFERROR(__xludf.DUMMYFUNCTION("""COMPUTED_VALUE"""),"臺北市私立再興國民小學")</f>
        <v>臺北市私立再興國民小學</v>
      </c>
      <c r="F364" s="14" t="str">
        <f>IFERROR(__xludf.DUMMYFUNCTION("""COMPUTED_VALUE"""),"五年級")</f>
        <v>五年級</v>
      </c>
      <c r="G364" s="14" t="str">
        <f>IFERROR(__xludf.DUMMYFUNCTION("""COMPUTED_VALUE"""),"獎狀")</f>
        <v>獎狀</v>
      </c>
      <c r="H364" s="8"/>
    </row>
    <row r="365">
      <c r="A365" s="18"/>
      <c r="B365" s="14">
        <f>IFERROR(__xludf.DUMMYFUNCTION("""COMPUTED_VALUE"""),971546.0)</f>
        <v>971546</v>
      </c>
      <c r="C365" s="14" t="str">
        <f>IFERROR(__xludf.DUMMYFUNCTION("""COMPUTED_VALUE"""),"張綵晨")</f>
        <v>張綵晨</v>
      </c>
      <c r="D365" s="16" t="str">
        <f>IFERROR(__xludf.DUMMYFUNCTION("""COMPUTED_VALUE"""),"Cha*****elia0305@gmail.com")</f>
        <v>Cha*****elia0305@gmail.com</v>
      </c>
      <c r="E365" s="17" t="str">
        <f>IFERROR(__xludf.DUMMYFUNCTION("""COMPUTED_VALUE"""),"臺北市私立再興國民小學")</f>
        <v>臺北市私立再興國民小學</v>
      </c>
      <c r="F365" s="14" t="str">
        <f>IFERROR(__xludf.DUMMYFUNCTION("""COMPUTED_VALUE"""),"五年級")</f>
        <v>五年級</v>
      </c>
      <c r="G365" s="14" t="str">
        <f>IFERROR(__xludf.DUMMYFUNCTION("""COMPUTED_VALUE"""),"●小禮物")</f>
        <v>●小禮物</v>
      </c>
      <c r="H365" s="8"/>
    </row>
    <row r="366">
      <c r="A366" s="18"/>
      <c r="B366" s="14">
        <f>IFERROR(__xludf.DUMMYFUNCTION("""COMPUTED_VALUE"""),1215366.0)</f>
        <v>1215366</v>
      </c>
      <c r="C366" s="14" t="str">
        <f>IFERROR(__xludf.DUMMYFUNCTION("""COMPUTED_VALUE"""),"洪定遠")</f>
        <v>洪定遠</v>
      </c>
      <c r="D366" s="16" t="str">
        <f>IFERROR(__xludf.DUMMYFUNCTION("""COMPUTED_VALUE"""),"tsp*****08@student.tsps.tp.edu.tw")</f>
        <v>tsp*****08@student.tsps.tp.edu.tw</v>
      </c>
      <c r="E366" s="17" t="str">
        <f>IFERROR(__xludf.DUMMYFUNCTION("""COMPUTED_VALUE"""),"臺北市私立再興國民小學")</f>
        <v>臺北市私立再興國民小學</v>
      </c>
      <c r="F366" s="14" t="str">
        <f>IFERROR(__xludf.DUMMYFUNCTION("""COMPUTED_VALUE"""),"六年級")</f>
        <v>六年級</v>
      </c>
      <c r="G366" s="14" t="str">
        <f>IFERROR(__xludf.DUMMYFUNCTION("""COMPUTED_VALUE"""),"獎狀")</f>
        <v>獎狀</v>
      </c>
      <c r="H366" s="8"/>
    </row>
    <row r="367">
      <c r="A367" s="18"/>
      <c r="B367" s="14">
        <f>IFERROR(__xludf.DUMMYFUNCTION("""COMPUTED_VALUE"""),307194.0)</f>
        <v>307194</v>
      </c>
      <c r="C367" s="14" t="str">
        <f>IFERROR(__xludf.DUMMYFUNCTION("""COMPUTED_VALUE"""),"王亭蘐")</f>
        <v>王亭蘐</v>
      </c>
      <c r="D367" s="16" t="str">
        <f>IFERROR(__xludf.DUMMYFUNCTION("""COMPUTED_VALUE"""),"sha*****llmail@gmail.com")</f>
        <v>sha*****llmail@gmail.com</v>
      </c>
      <c r="E367" s="17" t="str">
        <f>IFERROR(__xludf.DUMMYFUNCTION("""COMPUTED_VALUE"""),"臺北市私立再興國民小學")</f>
        <v>臺北市私立再興國民小學</v>
      </c>
      <c r="F367" s="14" t="str">
        <f>IFERROR(__xludf.DUMMYFUNCTION("""COMPUTED_VALUE"""),"六年級")</f>
        <v>六年級</v>
      </c>
      <c r="G367" s="14" t="str">
        <f>IFERROR(__xludf.DUMMYFUNCTION("""COMPUTED_VALUE"""),"獎狀")</f>
        <v>獎狀</v>
      </c>
      <c r="H367" s="8"/>
    </row>
    <row r="368">
      <c r="A368" s="18"/>
      <c r="B368" s="14">
        <f>IFERROR(__xludf.DUMMYFUNCTION("""COMPUTED_VALUE"""),469135.0)</f>
        <v>469135</v>
      </c>
      <c r="C368" s="14" t="str">
        <f>IFERROR(__xludf.DUMMYFUNCTION("""COMPUTED_VALUE"""),"章得群")</f>
        <v>章得群</v>
      </c>
      <c r="D368" s="16" t="str">
        <f>IFERROR(__xludf.DUMMYFUNCTION("""COMPUTED_VALUE"""),"tec*****ang@outlook.com")</f>
        <v>tec*****ang@outlook.com</v>
      </c>
      <c r="E368" s="17" t="str">
        <f>IFERROR(__xludf.DUMMYFUNCTION("""COMPUTED_VALUE"""),"臺北市私立再興國民小學")</f>
        <v>臺北市私立再興國民小學</v>
      </c>
      <c r="F368" s="14" t="str">
        <f>IFERROR(__xludf.DUMMYFUNCTION("""COMPUTED_VALUE"""),"六年級")</f>
        <v>六年級</v>
      </c>
      <c r="G368" s="14" t="str">
        <f>IFERROR(__xludf.DUMMYFUNCTION("""COMPUTED_VALUE"""),"●小禮物")</f>
        <v>●小禮物</v>
      </c>
      <c r="H368" s="8"/>
    </row>
    <row r="369">
      <c r="A369" s="18"/>
      <c r="B369" s="14">
        <f>IFERROR(__xludf.DUMMYFUNCTION("""COMPUTED_VALUE"""),1208928.0)</f>
        <v>1208928</v>
      </c>
      <c r="C369" s="14" t="str">
        <f>IFERROR(__xludf.DUMMYFUNCTION("""COMPUTED_VALUE"""),"何咏耘")</f>
        <v>何咏耘</v>
      </c>
      <c r="D369" s="16" t="str">
        <f>IFERROR(__xludf.DUMMYFUNCTION("""COMPUTED_VALUE"""),"gra*****o66@gmail.com")</f>
        <v>gra*****o66@gmail.com</v>
      </c>
      <c r="E369" s="17" t="str">
        <f>IFERROR(__xludf.DUMMYFUNCTION("""COMPUTED_VALUE"""),"國立政治大學附設實驗國民小學")</f>
        <v>國立政治大學附設實驗國民小學</v>
      </c>
      <c r="F369" s="14" t="str">
        <f>IFERROR(__xludf.DUMMYFUNCTION("""COMPUTED_VALUE"""),"三年級")</f>
        <v>三年級</v>
      </c>
      <c r="G369" s="14" t="str">
        <f>IFERROR(__xludf.DUMMYFUNCTION("""COMPUTED_VALUE"""),"●小禮物")</f>
        <v>●小禮物</v>
      </c>
      <c r="H369" s="8"/>
    </row>
    <row r="370">
      <c r="A370" s="18"/>
      <c r="B370" s="14">
        <f>IFERROR(__xludf.DUMMYFUNCTION("""COMPUTED_VALUE"""),1110122.0)</f>
        <v>1110122</v>
      </c>
      <c r="C370" s="14" t="str">
        <f>IFERROR(__xludf.DUMMYFUNCTION("""COMPUTED_VALUE"""),"楊善植")</f>
        <v>楊善植</v>
      </c>
      <c r="D370" s="16" t="str">
        <f>IFERROR(__xludf.DUMMYFUNCTION("""COMPUTED_VALUE"""),"ncc*****9115@mail.edu.tw")</f>
        <v>ncc*****9115@mail.edu.tw</v>
      </c>
      <c r="E370" s="17" t="str">
        <f>IFERROR(__xludf.DUMMYFUNCTION("""COMPUTED_VALUE"""),"國立政治大學附設實驗國民小學")</f>
        <v>國立政治大學附設實驗國民小學</v>
      </c>
      <c r="F370" s="14" t="str">
        <f>IFERROR(__xludf.DUMMYFUNCTION("""COMPUTED_VALUE"""),"三年級")</f>
        <v>三年級</v>
      </c>
      <c r="G370" s="14" t="str">
        <f>IFERROR(__xludf.DUMMYFUNCTION("""COMPUTED_VALUE"""),"●小禮物")</f>
        <v>●小禮物</v>
      </c>
      <c r="H370" s="8"/>
    </row>
    <row r="371">
      <c r="A371" s="18"/>
      <c r="B371" s="14">
        <f>IFERROR(__xludf.DUMMYFUNCTION("""COMPUTED_VALUE"""),757187.0)</f>
        <v>757187</v>
      </c>
      <c r="C371" s="14" t="str">
        <f>IFERROR(__xludf.DUMMYFUNCTION("""COMPUTED_VALUE"""),"高潘珩")</f>
        <v>高潘珩</v>
      </c>
      <c r="D371" s="16" t="str">
        <f>IFERROR(__xludf.DUMMYFUNCTION("""COMPUTED_VALUE"""),"108*****eb.es.nccu.edu.tw")</f>
        <v>108*****eb.es.nccu.edu.tw</v>
      </c>
      <c r="E371" s="17" t="str">
        <f>IFERROR(__xludf.DUMMYFUNCTION("""COMPUTED_VALUE"""),"國立政治大學附設實驗國民小學")</f>
        <v>國立政治大學附設實驗國民小學</v>
      </c>
      <c r="F371" s="14" t="str">
        <f>IFERROR(__xludf.DUMMYFUNCTION("""COMPUTED_VALUE"""),"四年級")</f>
        <v>四年級</v>
      </c>
      <c r="G371" s="14" t="str">
        <f>IFERROR(__xludf.DUMMYFUNCTION("""COMPUTED_VALUE"""),"獎狀")</f>
        <v>獎狀</v>
      </c>
      <c r="H371" s="8"/>
    </row>
    <row r="372">
      <c r="A372" s="18"/>
      <c r="B372" s="14">
        <f>IFERROR(__xludf.DUMMYFUNCTION("""COMPUTED_VALUE"""),751680.0)</f>
        <v>751680</v>
      </c>
      <c r="C372" s="14" t="str">
        <f>IFERROR(__xludf.DUMMYFUNCTION("""COMPUTED_VALUE"""),"蔡彤恩")</f>
        <v>蔡彤恩</v>
      </c>
      <c r="D372" s="16" t="str">
        <f>IFERROR(__xludf.DUMMYFUNCTION("""COMPUTED_VALUE"""),"107*****eb.es.nccu.edu.tw")</f>
        <v>107*****eb.es.nccu.edu.tw</v>
      </c>
      <c r="E372" s="17" t="str">
        <f>IFERROR(__xludf.DUMMYFUNCTION("""COMPUTED_VALUE"""),"國立政治大學附設實驗國民小學")</f>
        <v>國立政治大學附設實驗國民小學</v>
      </c>
      <c r="F372" s="14" t="str">
        <f>IFERROR(__xludf.DUMMYFUNCTION("""COMPUTED_VALUE"""),"五年級")</f>
        <v>五年級</v>
      </c>
      <c r="G372" s="14" t="str">
        <f>IFERROR(__xludf.DUMMYFUNCTION("""COMPUTED_VALUE"""),"獎狀")</f>
        <v>獎狀</v>
      </c>
      <c r="H372" s="8"/>
    </row>
    <row r="373">
      <c r="A373" s="18"/>
      <c r="B373" s="14">
        <f>IFERROR(__xludf.DUMMYFUNCTION("""COMPUTED_VALUE"""),708563.0)</f>
        <v>708563</v>
      </c>
      <c r="C373" s="14" t="str">
        <f>IFERROR(__xludf.DUMMYFUNCTION("""COMPUTED_VALUE"""),"蕭伃庭")</f>
        <v>蕭伃庭</v>
      </c>
      <c r="D373" s="16" t="str">
        <f>IFERROR(__xludf.DUMMYFUNCTION("""COMPUTED_VALUE"""),"107*****eb.es.nccu.edu.tw")</f>
        <v>107*****eb.es.nccu.edu.tw</v>
      </c>
      <c r="E373" s="17" t="str">
        <f>IFERROR(__xludf.DUMMYFUNCTION("""COMPUTED_VALUE"""),"國立政治大學附設實驗國民小學")</f>
        <v>國立政治大學附設實驗國民小學</v>
      </c>
      <c r="F373" s="14" t="str">
        <f>IFERROR(__xludf.DUMMYFUNCTION("""COMPUTED_VALUE"""),"五年級")</f>
        <v>五年級</v>
      </c>
      <c r="G373" s="14" t="str">
        <f>IFERROR(__xludf.DUMMYFUNCTION("""COMPUTED_VALUE"""),"獎狀")</f>
        <v>獎狀</v>
      </c>
      <c r="H373" s="8"/>
    </row>
    <row r="374">
      <c r="A374" s="18"/>
      <c r="B374" s="14">
        <f>IFERROR(__xludf.DUMMYFUNCTION("""COMPUTED_VALUE"""),745373.0)</f>
        <v>745373</v>
      </c>
      <c r="C374" s="14" t="str">
        <f>IFERROR(__xludf.DUMMYFUNCTION("""COMPUTED_VALUE"""),"高柏特")</f>
        <v>高柏特</v>
      </c>
      <c r="D374" s="16" t="str">
        <f>IFERROR(__xludf.DUMMYFUNCTION("""COMPUTED_VALUE"""),"107*****eb.es.nccu.edu.tw")</f>
        <v>107*****eb.es.nccu.edu.tw</v>
      </c>
      <c r="E374" s="17" t="str">
        <f>IFERROR(__xludf.DUMMYFUNCTION("""COMPUTED_VALUE"""),"國立政治大學附設實驗國民小學")</f>
        <v>國立政治大學附設實驗國民小學</v>
      </c>
      <c r="F374" s="14" t="str">
        <f>IFERROR(__xludf.DUMMYFUNCTION("""COMPUTED_VALUE"""),"五年級")</f>
        <v>五年級</v>
      </c>
      <c r="G374" s="14" t="str">
        <f>IFERROR(__xludf.DUMMYFUNCTION("""COMPUTED_VALUE"""),"獎狀")</f>
        <v>獎狀</v>
      </c>
      <c r="H374" s="8"/>
    </row>
    <row r="375">
      <c r="A375" s="18"/>
      <c r="B375" s="14">
        <f>IFERROR(__xludf.DUMMYFUNCTION("""COMPUTED_VALUE"""),1199023.0)</f>
        <v>1199023</v>
      </c>
      <c r="C375" s="14" t="str">
        <f>IFERROR(__xludf.DUMMYFUNCTION("""COMPUTED_VALUE"""),"蔡宇恩")</f>
        <v>蔡宇恩</v>
      </c>
      <c r="D375" s="16" t="str">
        <f>IFERROR(__xludf.DUMMYFUNCTION("""COMPUTED_VALUE"""),"107*****eb.es.nccu.edu.tw")</f>
        <v>107*****eb.es.nccu.edu.tw</v>
      </c>
      <c r="E375" s="17" t="str">
        <f>IFERROR(__xludf.DUMMYFUNCTION("""COMPUTED_VALUE"""),"國立政治大學附設實驗國民小學")</f>
        <v>國立政治大學附設實驗國民小學</v>
      </c>
      <c r="F375" s="14" t="str">
        <f>IFERROR(__xludf.DUMMYFUNCTION("""COMPUTED_VALUE"""),"五年級")</f>
        <v>五年級</v>
      </c>
      <c r="G375" s="14" t="str">
        <f>IFERROR(__xludf.DUMMYFUNCTION("""COMPUTED_VALUE"""),"獎狀")</f>
        <v>獎狀</v>
      </c>
      <c r="H375" s="8"/>
    </row>
    <row r="376">
      <c r="A376" s="18"/>
      <c r="B376" s="14">
        <f>IFERROR(__xludf.DUMMYFUNCTION("""COMPUTED_VALUE"""),1118492.0)</f>
        <v>1118492</v>
      </c>
      <c r="C376" s="14" t="str">
        <f>IFERROR(__xludf.DUMMYFUNCTION("""COMPUTED_VALUE"""),"廖邁可")</f>
        <v>廖邁可</v>
      </c>
      <c r="D376" s="16" t="str">
        <f>IFERROR(__xludf.DUMMYFUNCTION("""COMPUTED_VALUE"""),"jcp*****95@stu.jcps.tp.edu.tw")</f>
        <v>jcp*****95@stu.jcps.tp.edu.tw</v>
      </c>
      <c r="E376" s="17" t="str">
        <f>IFERROR(__xludf.DUMMYFUNCTION("""COMPUTED_VALUE"""),"臺北市文山區志清國民小學")</f>
        <v>臺北市文山區志清國民小學</v>
      </c>
      <c r="F376" s="14" t="str">
        <f>IFERROR(__xludf.DUMMYFUNCTION("""COMPUTED_VALUE"""),"四年級")</f>
        <v>四年級</v>
      </c>
      <c r="G376" s="14" t="str">
        <f>IFERROR(__xludf.DUMMYFUNCTION("""COMPUTED_VALUE"""),"獎狀")</f>
        <v>獎狀</v>
      </c>
      <c r="H376" s="8"/>
    </row>
    <row r="377">
      <c r="A377" s="18"/>
      <c r="B377" s="14">
        <f>IFERROR(__xludf.DUMMYFUNCTION("""COMPUTED_VALUE"""),557783.0)</f>
        <v>557783</v>
      </c>
      <c r="C377" s="14" t="str">
        <f>IFERROR(__xludf.DUMMYFUNCTION("""COMPUTED_VALUE"""),"王以葳")</f>
        <v>王以葳</v>
      </c>
      <c r="D377" s="16" t="str">
        <f>IFERROR(__xludf.DUMMYFUNCTION("""COMPUTED_VALUE"""),"ala*****1017@gmail.com")</f>
        <v>ala*****1017@gmail.com</v>
      </c>
      <c r="E377" s="17" t="str">
        <f>IFERROR(__xludf.DUMMYFUNCTION("""COMPUTED_VALUE"""),"臺北市文山區志清國民小學")</f>
        <v>臺北市文山區志清國民小學</v>
      </c>
      <c r="F377" s="14" t="str">
        <f>IFERROR(__xludf.DUMMYFUNCTION("""COMPUTED_VALUE"""),"五年級")</f>
        <v>五年級</v>
      </c>
      <c r="G377" s="14" t="str">
        <f>IFERROR(__xludf.DUMMYFUNCTION("""COMPUTED_VALUE"""),"●小禮物")</f>
        <v>●小禮物</v>
      </c>
      <c r="H377" s="8"/>
    </row>
    <row r="378">
      <c r="A378" s="18"/>
      <c r="B378" s="14">
        <f>IFERROR(__xludf.DUMMYFUNCTION("""COMPUTED_VALUE"""),1116843.0)</f>
        <v>1116843</v>
      </c>
      <c r="C378" s="14" t="str">
        <f>IFERROR(__xludf.DUMMYFUNCTION("""COMPUTED_VALUE"""),"鄧亦辰")</f>
        <v>鄧亦辰</v>
      </c>
      <c r="D378" s="16" t="str">
        <f>IFERROR(__xludf.DUMMYFUNCTION("""COMPUTED_VALUE"""),"Nd1*****.jcps.tp.edu.tw")</f>
        <v>Nd1*****.jcps.tp.edu.tw</v>
      </c>
      <c r="E378" s="17" t="str">
        <f>IFERROR(__xludf.DUMMYFUNCTION("""COMPUTED_VALUE"""),"臺北市文山區志清國民小學")</f>
        <v>臺北市文山區志清國民小學</v>
      </c>
      <c r="F378" s="14" t="str">
        <f>IFERROR(__xludf.DUMMYFUNCTION("""COMPUTED_VALUE"""),"六年級")</f>
        <v>六年級</v>
      </c>
      <c r="G378" s="14" t="str">
        <f>IFERROR(__xludf.DUMMYFUNCTION("""COMPUTED_VALUE"""),"獎狀")</f>
        <v>獎狀</v>
      </c>
      <c r="H378" s="8"/>
    </row>
    <row r="379">
      <c r="A379" s="18"/>
      <c r="B379" s="14">
        <f>IFERROR(__xludf.DUMMYFUNCTION("""COMPUTED_VALUE"""),462950.0)</f>
        <v>462950</v>
      </c>
      <c r="C379" s="14" t="str">
        <f>IFERROR(__xludf.DUMMYFUNCTION("""COMPUTED_VALUE"""),"邱士瑋")</f>
        <v>邱士瑋</v>
      </c>
      <c r="D379" s="16" t="str">
        <f>IFERROR(__xludf.DUMMYFUNCTION("""COMPUTED_VALUE"""),"swe*****6@hotmail.com")</f>
        <v>swe*****6@hotmail.com</v>
      </c>
      <c r="E379" s="17" t="str">
        <f>IFERROR(__xludf.DUMMYFUNCTION("""COMPUTED_VALUE"""),"臺北市文山區景美國民小學")</f>
        <v>臺北市文山區景美國民小學</v>
      </c>
      <c r="F379" s="14" t="str">
        <f>IFERROR(__xludf.DUMMYFUNCTION("""COMPUTED_VALUE"""),"五年級")</f>
        <v>五年級</v>
      </c>
      <c r="G379" s="14" t="str">
        <f>IFERROR(__xludf.DUMMYFUNCTION("""COMPUTED_VALUE"""),"獎狀")</f>
        <v>獎狀</v>
      </c>
      <c r="H379" s="8"/>
    </row>
    <row r="380">
      <c r="A380" s="18"/>
      <c r="B380" s="14">
        <f>IFERROR(__xludf.DUMMYFUNCTION("""COMPUTED_VALUE"""),583300.0)</f>
        <v>583300</v>
      </c>
      <c r="C380" s="14" t="str">
        <f>IFERROR(__xludf.DUMMYFUNCTION("""COMPUTED_VALUE"""),"陳名澤")</f>
        <v>陳名澤</v>
      </c>
      <c r="D380" s="16" t="str">
        <f>IFERROR(__xludf.DUMMYFUNCTION("""COMPUTED_VALUE"""),"jag*****@gmail.com")</f>
        <v>jag*****@gmail.com</v>
      </c>
      <c r="E380" s="17" t="str">
        <f>IFERROR(__xludf.DUMMYFUNCTION("""COMPUTED_VALUE"""),"臺北市文山區景美國民小學")</f>
        <v>臺北市文山區景美國民小學</v>
      </c>
      <c r="F380" s="14" t="str">
        <f>IFERROR(__xludf.DUMMYFUNCTION("""COMPUTED_VALUE"""),"五年級")</f>
        <v>五年級</v>
      </c>
      <c r="G380" s="14" t="str">
        <f>IFERROR(__xludf.DUMMYFUNCTION("""COMPUTED_VALUE"""),"●小禮物")</f>
        <v>●小禮物</v>
      </c>
      <c r="H380" s="8"/>
    </row>
    <row r="381">
      <c r="A381" s="18"/>
      <c r="B381" s="14">
        <f>IFERROR(__xludf.DUMMYFUNCTION("""COMPUTED_VALUE"""),1067858.0)</f>
        <v>1067858</v>
      </c>
      <c r="C381" s="14" t="str">
        <f>IFERROR(__xludf.DUMMYFUNCTION("""COMPUTED_VALUE"""),"李品萱")</f>
        <v>李品萱</v>
      </c>
      <c r="D381" s="16" t="str">
        <f>IFERROR(__xludf.DUMMYFUNCTION("""COMPUTED_VALUE"""),"cli*****85@mail.edu.tw")</f>
        <v>cli*****85@mail.edu.tw</v>
      </c>
      <c r="E381" s="17" t="str">
        <f>IFERROR(__xludf.DUMMYFUNCTION("""COMPUTED_VALUE"""),"臺北市文山區溪口國民小學")</f>
        <v>臺北市文山區溪口國民小學</v>
      </c>
      <c r="F381" s="14" t="str">
        <f>IFERROR(__xludf.DUMMYFUNCTION("""COMPUTED_VALUE"""),"五年級")</f>
        <v>五年級</v>
      </c>
      <c r="G381" s="14" t="str">
        <f>IFERROR(__xludf.DUMMYFUNCTION("""COMPUTED_VALUE"""),"●小禮物")</f>
        <v>●小禮物</v>
      </c>
      <c r="H381" s="8"/>
    </row>
    <row r="382">
      <c r="A382" s="18"/>
      <c r="B382" s="14">
        <f>IFERROR(__xludf.DUMMYFUNCTION("""COMPUTED_VALUE"""),721141.0)</f>
        <v>721141</v>
      </c>
      <c r="C382" s="14" t="str">
        <f>IFERROR(__xludf.DUMMYFUNCTION("""COMPUTED_VALUE"""),"王愛綾")</f>
        <v>王愛綾</v>
      </c>
      <c r="D382" s="16" t="str">
        <f>IFERROR(__xludf.DUMMYFUNCTION("""COMPUTED_VALUE"""),"ann*****flower@gmail.com")</f>
        <v>ann*****flower@gmail.com</v>
      </c>
      <c r="E382" s="17" t="str">
        <f>IFERROR(__xludf.DUMMYFUNCTION("""COMPUTED_VALUE"""),"臺北市文山區萬芳國民小學")</f>
        <v>臺北市文山區萬芳國民小學</v>
      </c>
      <c r="F382" s="14" t="str">
        <f>IFERROR(__xludf.DUMMYFUNCTION("""COMPUTED_VALUE"""),"四年級")</f>
        <v>四年級</v>
      </c>
      <c r="G382" s="14" t="str">
        <f>IFERROR(__xludf.DUMMYFUNCTION("""COMPUTED_VALUE"""),"獎狀")</f>
        <v>獎狀</v>
      </c>
      <c r="H382" s="8"/>
    </row>
    <row r="383">
      <c r="A383" s="18"/>
      <c r="B383" s="14">
        <f>IFERROR(__xludf.DUMMYFUNCTION("""COMPUTED_VALUE"""),643912.0)</f>
        <v>643912</v>
      </c>
      <c r="C383" s="14" t="str">
        <f>IFERROR(__xludf.DUMMYFUNCTION("""COMPUTED_VALUE"""),"林恩樂")</f>
        <v>林恩樂</v>
      </c>
      <c r="D383" s="16" t="str">
        <f>IFERROR(__xludf.DUMMYFUNCTION("""COMPUTED_VALUE"""),"abb*****appyhappy@gmail.com")</f>
        <v>abb*****appyhappy@gmail.com</v>
      </c>
      <c r="E383" s="17" t="str">
        <f>IFERROR(__xludf.DUMMYFUNCTION("""COMPUTED_VALUE"""),"臺北市文山區萬芳國民小學")</f>
        <v>臺北市文山區萬芳國民小學</v>
      </c>
      <c r="F383" s="14" t="str">
        <f>IFERROR(__xludf.DUMMYFUNCTION("""COMPUTED_VALUE"""),"六年級")</f>
        <v>六年級</v>
      </c>
      <c r="G383" s="14" t="str">
        <f>IFERROR(__xludf.DUMMYFUNCTION("""COMPUTED_VALUE"""),"獎狀")</f>
        <v>獎狀</v>
      </c>
      <c r="H383" s="8"/>
    </row>
    <row r="384">
      <c r="A384" s="18"/>
      <c r="B384" s="14">
        <f>IFERROR(__xludf.DUMMYFUNCTION("""COMPUTED_VALUE"""),1126248.0)</f>
        <v>1126248</v>
      </c>
      <c r="C384" s="14" t="str">
        <f>IFERROR(__xludf.DUMMYFUNCTION("""COMPUTED_VALUE"""),"吳柏叡")</f>
        <v>吳柏叡</v>
      </c>
      <c r="D384" s="16" t="str">
        <f>IFERROR(__xludf.DUMMYFUNCTION("""COMPUTED_VALUE"""),"109*****xes.tp.edu.tw")</f>
        <v>109*****xes.tp.edu.tw</v>
      </c>
      <c r="E384" s="17" t="str">
        <f>IFERROR(__xludf.DUMMYFUNCTION("""COMPUTED_VALUE"""),"臺北市文山區萬興國民小學")</f>
        <v>臺北市文山區萬興國民小學</v>
      </c>
      <c r="F384" s="14" t="str">
        <f>IFERROR(__xludf.DUMMYFUNCTION("""COMPUTED_VALUE"""),"三年級")</f>
        <v>三年級</v>
      </c>
      <c r="G384" s="14" t="str">
        <f>IFERROR(__xludf.DUMMYFUNCTION("""COMPUTED_VALUE"""),"●小禮物")</f>
        <v>●小禮物</v>
      </c>
      <c r="H384" s="8"/>
    </row>
    <row r="385">
      <c r="A385" s="18"/>
      <c r="B385" s="14">
        <f>IFERROR(__xludf.DUMMYFUNCTION("""COMPUTED_VALUE"""),1103689.0)</f>
        <v>1103689</v>
      </c>
      <c r="C385" s="14" t="str">
        <f>IFERROR(__xludf.DUMMYFUNCTION("""COMPUTED_VALUE"""),"遲翔予")</f>
        <v>遲翔予</v>
      </c>
      <c r="D385" s="16" t="str">
        <f>IFERROR(__xludf.DUMMYFUNCTION("""COMPUTED_VALUE"""),"civ*****otmail.com")</f>
        <v>civ*****otmail.com</v>
      </c>
      <c r="E385" s="17" t="str">
        <f>IFERROR(__xludf.DUMMYFUNCTION("""COMPUTED_VALUE"""),"臺北市文山區實踐國民小學")</f>
        <v>臺北市文山區實踐國民小學</v>
      </c>
      <c r="F385" s="14" t="str">
        <f>IFERROR(__xludf.DUMMYFUNCTION("""COMPUTED_VALUE"""),"三年級")</f>
        <v>三年級</v>
      </c>
      <c r="G385" s="14" t="str">
        <f>IFERROR(__xludf.DUMMYFUNCTION("""COMPUTED_VALUE"""),"●小禮物")</f>
        <v>●小禮物</v>
      </c>
      <c r="H385" s="8"/>
    </row>
    <row r="386">
      <c r="A386" s="18"/>
      <c r="B386" s="14">
        <f>IFERROR(__xludf.DUMMYFUNCTION("""COMPUTED_VALUE"""),1121291.0)</f>
        <v>1121291</v>
      </c>
      <c r="C386" s="14" t="str">
        <f>IFERROR(__xludf.DUMMYFUNCTION("""COMPUTED_VALUE"""),"邱奕愷")</f>
        <v>邱奕愷</v>
      </c>
      <c r="D386" s="16" t="str">
        <f>IFERROR(__xludf.DUMMYFUNCTION("""COMPUTED_VALUE"""),"cyn*****2772@gmail.com")</f>
        <v>cyn*****2772@gmail.com</v>
      </c>
      <c r="E386" s="17" t="str">
        <f>IFERROR(__xludf.DUMMYFUNCTION("""COMPUTED_VALUE"""),"臺北市文山區實踐國民小學")</f>
        <v>臺北市文山區實踐國民小學</v>
      </c>
      <c r="F386" s="14" t="str">
        <f>IFERROR(__xludf.DUMMYFUNCTION("""COMPUTED_VALUE"""),"三年級")</f>
        <v>三年級</v>
      </c>
      <c r="G386" s="14" t="str">
        <f>IFERROR(__xludf.DUMMYFUNCTION("""COMPUTED_VALUE"""),"●小禮物")</f>
        <v>●小禮物</v>
      </c>
      <c r="H386" s="8"/>
    </row>
    <row r="387">
      <c r="A387" s="18"/>
      <c r="B387" s="14">
        <f>IFERROR(__xludf.DUMMYFUNCTION("""COMPUTED_VALUE"""),1140569.0)</f>
        <v>1140569</v>
      </c>
      <c r="C387" s="14" t="str">
        <f>IFERROR(__xludf.DUMMYFUNCTION("""COMPUTED_VALUE"""),"劉子妍")</f>
        <v>劉子妍</v>
      </c>
      <c r="D387" s="16" t="str">
        <f>IFERROR(__xludf.DUMMYFUNCTION("""COMPUTED_VALUE"""),"zjp*****12@zjps.tp.edu.tw")</f>
        <v>zjp*****12@zjps.tp.edu.tw</v>
      </c>
      <c r="E387" s="17" t="str">
        <f>IFERROR(__xludf.DUMMYFUNCTION("""COMPUTED_VALUE"""),"臺北市文山區實踐國民小學")</f>
        <v>臺北市文山區實踐國民小學</v>
      </c>
      <c r="F387" s="14" t="str">
        <f>IFERROR(__xludf.DUMMYFUNCTION("""COMPUTED_VALUE"""),"三年級")</f>
        <v>三年級</v>
      </c>
      <c r="G387" s="14" t="str">
        <f>IFERROR(__xludf.DUMMYFUNCTION("""COMPUTED_VALUE"""),"獎狀")</f>
        <v>獎狀</v>
      </c>
      <c r="H387" s="8"/>
    </row>
    <row r="388">
      <c r="A388" s="18"/>
      <c r="B388" s="14">
        <f>IFERROR(__xludf.DUMMYFUNCTION("""COMPUTED_VALUE"""),710601.0)</f>
        <v>710601</v>
      </c>
      <c r="C388" s="14" t="str">
        <f>IFERROR(__xludf.DUMMYFUNCTION("""COMPUTED_VALUE"""),"劉子豪")</f>
        <v>劉子豪</v>
      </c>
      <c r="D388" s="16" t="str">
        <f>IFERROR(__xludf.DUMMYFUNCTION("""COMPUTED_VALUE"""),"zjp*****10@zjps.tp.edu.tw")</f>
        <v>zjp*****10@zjps.tp.edu.tw</v>
      </c>
      <c r="E388" s="17" t="str">
        <f>IFERROR(__xludf.DUMMYFUNCTION("""COMPUTED_VALUE"""),"臺北市文山區實踐國民小學")</f>
        <v>臺北市文山區實踐國民小學</v>
      </c>
      <c r="F388" s="14" t="str">
        <f>IFERROR(__xludf.DUMMYFUNCTION("""COMPUTED_VALUE"""),"五年級")</f>
        <v>五年級</v>
      </c>
      <c r="G388" s="14" t="str">
        <f>IFERROR(__xludf.DUMMYFUNCTION("""COMPUTED_VALUE"""),"獎狀")</f>
        <v>獎狀</v>
      </c>
      <c r="H388" s="8"/>
    </row>
    <row r="389">
      <c r="A389" s="18"/>
      <c r="B389" s="14">
        <f>IFERROR(__xludf.DUMMYFUNCTION("""COMPUTED_VALUE"""),1152909.0)</f>
        <v>1152909</v>
      </c>
      <c r="C389" s="14" t="str">
        <f>IFERROR(__xludf.DUMMYFUNCTION("""COMPUTED_VALUE"""),"李子渝")</f>
        <v>李子渝</v>
      </c>
      <c r="D389" s="16" t="str">
        <f>IFERROR(__xludf.DUMMYFUNCTION("""COMPUTED_VALUE"""),"s10*****hhps.tp.edu.tw")</f>
        <v>s10*****hhps.tp.edu.tw</v>
      </c>
      <c r="E389" s="17" t="str">
        <f>IFERROR(__xludf.DUMMYFUNCTION("""COMPUTED_VALUE"""),"臺北市文山區興華國民小學")</f>
        <v>臺北市文山區興華國民小學</v>
      </c>
      <c r="F389" s="14" t="str">
        <f>IFERROR(__xludf.DUMMYFUNCTION("""COMPUTED_VALUE"""),"四年級")</f>
        <v>四年級</v>
      </c>
      <c r="G389" s="14" t="str">
        <f>IFERROR(__xludf.DUMMYFUNCTION("""COMPUTED_VALUE"""),"●小禮物")</f>
        <v>●小禮物</v>
      </c>
      <c r="H389" s="8"/>
    </row>
    <row r="390">
      <c r="A390" s="18"/>
      <c r="B390" s="14">
        <f>IFERROR(__xludf.DUMMYFUNCTION("""COMPUTED_VALUE"""),882236.0)</f>
        <v>882236</v>
      </c>
      <c r="C390" s="14" t="str">
        <f>IFERROR(__xludf.DUMMYFUNCTION("""COMPUTED_VALUE"""),"謝欣愷")</f>
        <v>謝欣愷</v>
      </c>
      <c r="D390" s="16" t="str">
        <f>IFERROR(__xludf.DUMMYFUNCTION("""COMPUTED_VALUE"""),"edi*****n@hotmail.com")</f>
        <v>edi*****n@hotmail.com</v>
      </c>
      <c r="E390" s="17" t="str">
        <f>IFERROR(__xludf.DUMMYFUNCTION("""COMPUTED_VALUE"""),"靜心學校財團法人臺北市私立靜心高級中等學校附設國小部")</f>
        <v>靜心學校財團法人臺北市私立靜心高級中等學校附設國小部</v>
      </c>
      <c r="F390" s="14" t="str">
        <f>IFERROR(__xludf.DUMMYFUNCTION("""COMPUTED_VALUE"""),"四年級")</f>
        <v>四年級</v>
      </c>
      <c r="G390" s="14" t="str">
        <f>IFERROR(__xludf.DUMMYFUNCTION("""COMPUTED_VALUE"""),"●小禮物")</f>
        <v>●小禮物</v>
      </c>
      <c r="H390" s="8"/>
    </row>
    <row r="391">
      <c r="A391" s="18"/>
      <c r="B391" s="14">
        <f>IFERROR(__xludf.DUMMYFUNCTION("""COMPUTED_VALUE"""),753473.0)</f>
        <v>753473</v>
      </c>
      <c r="C391" s="14" t="str">
        <f>IFERROR(__xludf.DUMMYFUNCTION("""COMPUTED_VALUE"""),"黃晨雅")</f>
        <v>黃晨雅</v>
      </c>
      <c r="D391" s="16" t="str">
        <f>IFERROR(__xludf.DUMMYFUNCTION("""COMPUTED_VALUE"""),"sar*****9@gmail.com")</f>
        <v>sar*****9@gmail.com</v>
      </c>
      <c r="E391" s="17" t="str">
        <f>IFERROR(__xludf.DUMMYFUNCTION("""COMPUTED_VALUE"""),"臺北市文山區萬福國民小學")</f>
        <v>臺北市文山區萬福國民小學</v>
      </c>
      <c r="F391" s="14" t="str">
        <f>IFERROR(__xludf.DUMMYFUNCTION("""COMPUTED_VALUE"""),"四年級")</f>
        <v>四年級</v>
      </c>
      <c r="G391" s="14" t="str">
        <f>IFERROR(__xludf.DUMMYFUNCTION("""COMPUTED_VALUE"""),"獎狀")</f>
        <v>獎狀</v>
      </c>
      <c r="H391" s="8"/>
    </row>
    <row r="392">
      <c r="A392" s="18"/>
      <c r="B392" s="14">
        <f>IFERROR(__xludf.DUMMYFUNCTION("""COMPUTED_VALUE"""),712845.0)</f>
        <v>712845</v>
      </c>
      <c r="C392" s="14" t="str">
        <f>IFERROR(__xludf.DUMMYFUNCTION("""COMPUTED_VALUE"""),"黃子峯")</f>
        <v>黃子峯</v>
      </c>
      <c r="D392" s="16" t="str">
        <f>IFERROR(__xludf.DUMMYFUNCTION("""COMPUTED_VALUE"""),"emm*****@gmail.com")</f>
        <v>emm*****@gmail.com</v>
      </c>
      <c r="E392" s="17" t="str">
        <f>IFERROR(__xludf.DUMMYFUNCTION("""COMPUTED_VALUE"""),"臺北市文山區萬福國民小學")</f>
        <v>臺北市文山區萬福國民小學</v>
      </c>
      <c r="F392" s="14" t="str">
        <f>IFERROR(__xludf.DUMMYFUNCTION("""COMPUTED_VALUE"""),"六年級")</f>
        <v>六年級</v>
      </c>
      <c r="G392" s="14" t="str">
        <f>IFERROR(__xludf.DUMMYFUNCTION("""COMPUTED_VALUE"""),"●小禮物")</f>
        <v>●小禮物</v>
      </c>
      <c r="H392" s="8"/>
    </row>
    <row r="393">
      <c r="A393" s="18"/>
      <c r="B393" s="14">
        <f>IFERROR(__xludf.DUMMYFUNCTION("""COMPUTED_VALUE"""),665280.0)</f>
        <v>665280</v>
      </c>
      <c r="C393" s="14" t="str">
        <f>IFERROR(__xludf.DUMMYFUNCTION("""COMPUTED_VALUE"""),"林筠蓁")</f>
        <v>林筠蓁</v>
      </c>
      <c r="D393" s="16" t="str">
        <f>IFERROR(__xludf.DUMMYFUNCTION("""COMPUTED_VALUE"""),"sb5*****m.kl.edu.tw")</f>
        <v>sb5*****m.kl.edu.tw</v>
      </c>
      <c r="E393" s="17" t="str">
        <f>IFERROR(__xludf.DUMMYFUNCTION("""COMPUTED_VALUE"""),"基隆市信義區信義國民小學")</f>
        <v>基隆市信義區信義國民小學</v>
      </c>
      <c r="F393" s="14" t="str">
        <f>IFERROR(__xludf.DUMMYFUNCTION("""COMPUTED_VALUE"""),"三年級")</f>
        <v>三年級</v>
      </c>
      <c r="G393" s="14" t="str">
        <f>IFERROR(__xludf.DUMMYFUNCTION("""COMPUTED_VALUE"""),"●小禮物")</f>
        <v>●小禮物</v>
      </c>
      <c r="H393" s="8"/>
    </row>
    <row r="394">
      <c r="A394" s="18"/>
      <c r="B394" s="14">
        <f>IFERROR(__xludf.DUMMYFUNCTION("""COMPUTED_VALUE"""),665184.0)</f>
        <v>665184</v>
      </c>
      <c r="C394" s="14" t="str">
        <f>IFERROR(__xludf.DUMMYFUNCTION("""COMPUTED_VALUE"""),"林思穎")</f>
        <v>林思穎</v>
      </c>
      <c r="D394" s="16" t="str">
        <f>IFERROR(__xludf.DUMMYFUNCTION("""COMPUTED_VALUE"""),"sc1*****m.kl.edu.tw")</f>
        <v>sc1*****m.kl.edu.tw</v>
      </c>
      <c r="E394" s="17" t="str">
        <f>IFERROR(__xludf.DUMMYFUNCTION("""COMPUTED_VALUE"""),"基隆市信義區信義國民小學")</f>
        <v>基隆市信義區信義國民小學</v>
      </c>
      <c r="F394" s="14" t="str">
        <f>IFERROR(__xludf.DUMMYFUNCTION("""COMPUTED_VALUE"""),"五年級")</f>
        <v>五年級</v>
      </c>
      <c r="G394" s="14" t="str">
        <f>IFERROR(__xludf.DUMMYFUNCTION("""COMPUTED_VALUE"""),"●小禮物")</f>
        <v>●小禮物</v>
      </c>
      <c r="H394" s="8"/>
    </row>
    <row r="395">
      <c r="A395" s="18"/>
      <c r="B395" s="14">
        <f>IFERROR(__xludf.DUMMYFUNCTION("""COMPUTED_VALUE"""),1082225.0)</f>
        <v>1082225</v>
      </c>
      <c r="C395" s="14" t="str">
        <f>IFERROR(__xludf.DUMMYFUNCTION("""COMPUTED_VALUE"""),"廖芷褕")</f>
        <v>廖芷褕</v>
      </c>
      <c r="D395" s="16" t="str">
        <f>IFERROR(__xludf.DUMMYFUNCTION("""COMPUTED_VALUE"""),"se4*****m.kl.edu.tw")</f>
        <v>se4*****m.kl.edu.tw</v>
      </c>
      <c r="E395" s="17" t="str">
        <f>IFERROR(__xludf.DUMMYFUNCTION("""COMPUTED_VALUE"""),"基隆市信義區信義國民小學")</f>
        <v>基隆市信義區信義國民小學</v>
      </c>
      <c r="F395" s="14" t="str">
        <f>IFERROR(__xludf.DUMMYFUNCTION("""COMPUTED_VALUE"""),"六年級")</f>
        <v>六年級</v>
      </c>
      <c r="G395" s="14" t="str">
        <f>IFERROR(__xludf.DUMMYFUNCTION("""COMPUTED_VALUE"""),"獎狀")</f>
        <v>獎狀</v>
      </c>
      <c r="H395" s="8"/>
    </row>
    <row r="396">
      <c r="A396" s="18"/>
      <c r="B396" s="14">
        <f>IFERROR(__xludf.DUMMYFUNCTION("""COMPUTED_VALUE"""),879836.0)</f>
        <v>879836</v>
      </c>
      <c r="C396" s="14" t="str">
        <f>IFERROR(__xludf.DUMMYFUNCTION("""COMPUTED_VALUE"""),"林妍容")</f>
        <v>林妍容</v>
      </c>
      <c r="D396" s="16" t="str">
        <f>IFERROR(__xludf.DUMMYFUNCTION("""COMPUTED_VALUE"""),"sd7*****m.kl.edu.tw")</f>
        <v>sd7*****m.kl.edu.tw</v>
      </c>
      <c r="E396" s="17" t="str">
        <f>IFERROR(__xludf.DUMMYFUNCTION("""COMPUTED_VALUE"""),"基隆市仁愛區仁愛國民小學")</f>
        <v>基隆市仁愛區仁愛國民小學</v>
      </c>
      <c r="F396" s="14" t="str">
        <f>IFERROR(__xludf.DUMMYFUNCTION("""COMPUTED_VALUE"""),"五年級")</f>
        <v>五年級</v>
      </c>
      <c r="G396" s="14" t="str">
        <f>IFERROR(__xludf.DUMMYFUNCTION("""COMPUTED_VALUE"""),"獎狀")</f>
        <v>獎狀</v>
      </c>
      <c r="H396" s="8"/>
    </row>
    <row r="397">
      <c r="A397" s="18"/>
      <c r="B397" s="14">
        <f>IFERROR(__xludf.DUMMYFUNCTION("""COMPUTED_VALUE"""),733182.0)</f>
        <v>733182</v>
      </c>
      <c r="C397" s="14" t="str">
        <f>IFERROR(__xludf.DUMMYFUNCTION("""COMPUTED_VALUE"""),"王妍寧")</f>
        <v>王妍寧</v>
      </c>
      <c r="D397" s="16" t="str">
        <f>IFERROR(__xludf.DUMMYFUNCTION("""COMPUTED_VALUE"""),"sd7*****l@mail.edu.tw")</f>
        <v>sd7*****l@mail.edu.tw</v>
      </c>
      <c r="E397" s="17" t="str">
        <f>IFERROR(__xludf.DUMMYFUNCTION("""COMPUTED_VALUE"""),"基隆市仁愛區仁愛國民小學")</f>
        <v>基隆市仁愛區仁愛國民小學</v>
      </c>
      <c r="F397" s="14" t="str">
        <f>IFERROR(__xludf.DUMMYFUNCTION("""COMPUTED_VALUE"""),"五年級")</f>
        <v>五年級</v>
      </c>
      <c r="G397" s="14" t="str">
        <f>IFERROR(__xludf.DUMMYFUNCTION("""COMPUTED_VALUE"""),"●小禮物")</f>
        <v>●小禮物</v>
      </c>
      <c r="H397" s="8"/>
    </row>
    <row r="398">
      <c r="A398" s="18"/>
      <c r="B398" s="14">
        <f>IFERROR(__xludf.DUMMYFUNCTION("""COMPUTED_VALUE"""),1114487.0)</f>
        <v>1114487</v>
      </c>
      <c r="C398" s="14" t="str">
        <f>IFERROR(__xludf.DUMMYFUNCTION("""COMPUTED_VALUE"""),"傅子軒")</f>
        <v>傅子軒</v>
      </c>
      <c r="D398" s="16" t="str">
        <f>IFERROR(__xludf.DUMMYFUNCTION("""COMPUTED_VALUE"""),"ver*****014@gmail.com")</f>
        <v>ver*****014@gmail.com</v>
      </c>
      <c r="E398" s="17" t="str">
        <f>IFERROR(__xludf.DUMMYFUNCTION("""COMPUTED_VALUE"""),"基隆市信義區東信國民小學")</f>
        <v>基隆市信義區東信國民小學</v>
      </c>
      <c r="F398" s="14" t="str">
        <f>IFERROR(__xludf.DUMMYFUNCTION("""COMPUTED_VALUE"""),"四年級")</f>
        <v>四年級</v>
      </c>
      <c r="G398" s="14" t="str">
        <f>IFERROR(__xludf.DUMMYFUNCTION("""COMPUTED_VALUE"""),"★禮券$500")</f>
        <v>★禮券$500</v>
      </c>
      <c r="H398" s="8"/>
    </row>
    <row r="399">
      <c r="A399" s="18"/>
      <c r="B399" s="14">
        <f>IFERROR(__xludf.DUMMYFUNCTION("""COMPUTED_VALUE"""),1165431.0)</f>
        <v>1165431</v>
      </c>
      <c r="C399" s="14" t="str">
        <f>IFERROR(__xludf.DUMMYFUNCTION("""COMPUTED_VALUE"""),"蔡牧燊")</f>
        <v>蔡牧燊</v>
      </c>
      <c r="D399" s="16" t="str">
        <f>IFERROR(__xludf.DUMMYFUNCTION("""COMPUTED_VALUE"""),"sd0*****m.kl.edu.tw")</f>
        <v>sd0*****m.kl.edu.tw</v>
      </c>
      <c r="E399" s="17" t="str">
        <f>IFERROR(__xludf.DUMMYFUNCTION("""COMPUTED_VALUE"""),"基隆市信義區中興國民小學")</f>
        <v>基隆市信義區中興國民小學</v>
      </c>
      <c r="F399" s="14" t="str">
        <f>IFERROR(__xludf.DUMMYFUNCTION("""COMPUTED_VALUE"""),"三年級")</f>
        <v>三年級</v>
      </c>
      <c r="G399" s="14" t="str">
        <f>IFERROR(__xludf.DUMMYFUNCTION("""COMPUTED_VALUE"""),"獎狀")</f>
        <v>獎狀</v>
      </c>
      <c r="H399" s="8"/>
    </row>
    <row r="400">
      <c r="A400" s="18"/>
      <c r="B400" s="14">
        <f>IFERROR(__xludf.DUMMYFUNCTION("""COMPUTED_VALUE"""),1096678.0)</f>
        <v>1096678</v>
      </c>
      <c r="C400" s="14" t="str">
        <f>IFERROR(__xludf.DUMMYFUNCTION("""COMPUTED_VALUE"""),"林逸辰")</f>
        <v>林逸辰</v>
      </c>
      <c r="D400" s="16" t="str">
        <f>IFERROR(__xludf.DUMMYFUNCTION("""COMPUTED_VALUE"""),"eas*****1021209@gmail.com")</f>
        <v>eas*****1021209@gmail.com</v>
      </c>
      <c r="E400" s="17" t="str">
        <f>IFERROR(__xludf.DUMMYFUNCTION("""COMPUTED_VALUE"""),"基隆市信義區中興國民小學")</f>
        <v>基隆市信義區中興國民小學</v>
      </c>
      <c r="F400" s="14" t="str">
        <f>IFERROR(__xludf.DUMMYFUNCTION("""COMPUTED_VALUE"""),"四年級")</f>
        <v>四年級</v>
      </c>
      <c r="G400" s="14" t="str">
        <f>IFERROR(__xludf.DUMMYFUNCTION("""COMPUTED_VALUE"""),"●小禮物")</f>
        <v>●小禮物</v>
      </c>
      <c r="H400" s="8"/>
    </row>
    <row r="401">
      <c r="A401" s="18"/>
      <c r="B401" s="14">
        <f>IFERROR(__xludf.DUMMYFUNCTION("""COMPUTED_VALUE"""),1107544.0)</f>
        <v>1107544</v>
      </c>
      <c r="C401" s="14" t="str">
        <f>IFERROR(__xludf.DUMMYFUNCTION("""COMPUTED_VALUE"""),"姜旭")</f>
        <v>姜旭</v>
      </c>
      <c r="D401" s="16" t="str">
        <f>IFERROR(__xludf.DUMMYFUNCTION("""COMPUTED_VALUE"""),"yil*****mail.ntou.edu.tw")</f>
        <v>yil*****mail.ntou.edu.tw</v>
      </c>
      <c r="E401" s="17" t="str">
        <f>IFERROR(__xludf.DUMMYFUNCTION("""COMPUTED_VALUE"""),"基隆市信義區深美國民小學")</f>
        <v>基隆市信義區深美國民小學</v>
      </c>
      <c r="F401" s="14" t="str">
        <f>IFERROR(__xludf.DUMMYFUNCTION("""COMPUTED_VALUE"""),"三年級")</f>
        <v>三年級</v>
      </c>
      <c r="G401" s="14" t="str">
        <f>IFERROR(__xludf.DUMMYFUNCTION("""COMPUTED_VALUE"""),"獎狀")</f>
        <v>獎狀</v>
      </c>
      <c r="H401" s="8"/>
    </row>
    <row r="402">
      <c r="A402" s="18"/>
      <c r="B402" s="14">
        <f>IFERROR(__xludf.DUMMYFUNCTION("""COMPUTED_VALUE"""),929685.0)</f>
        <v>929685</v>
      </c>
      <c r="C402" s="14" t="str">
        <f>IFERROR(__xludf.DUMMYFUNCTION("""COMPUTED_VALUE"""),"陳彥璋")</f>
        <v>陳彥璋</v>
      </c>
      <c r="D402" s="16" t="str">
        <f>IFERROR(__xludf.DUMMYFUNCTION("""COMPUTED_VALUE"""),"sc8*****m.kl.edu.tw")</f>
        <v>sc8*****m.kl.edu.tw</v>
      </c>
      <c r="E402" s="17" t="str">
        <f>IFERROR(__xludf.DUMMYFUNCTION("""COMPUTED_VALUE"""),"基隆市中正區正濱國民小學")</f>
        <v>基隆市中正區正濱國民小學</v>
      </c>
      <c r="F402" s="14" t="str">
        <f>IFERROR(__xludf.DUMMYFUNCTION("""COMPUTED_VALUE"""),"四年級")</f>
        <v>四年級</v>
      </c>
      <c r="G402" s="14" t="str">
        <f>IFERROR(__xludf.DUMMYFUNCTION("""COMPUTED_VALUE"""),"獎狀")</f>
        <v>獎狀</v>
      </c>
      <c r="H402" s="8"/>
    </row>
    <row r="403">
      <c r="A403" s="18"/>
      <c r="B403" s="14">
        <f>IFERROR(__xludf.DUMMYFUNCTION("""COMPUTED_VALUE"""),1182348.0)</f>
        <v>1182348</v>
      </c>
      <c r="C403" s="14" t="str">
        <f>IFERROR(__xludf.DUMMYFUNCTION("""COMPUTED_VALUE"""),"連宥茗")</f>
        <v>連宥茗</v>
      </c>
      <c r="D403" s="16" t="str">
        <f>IFERROR(__xludf.DUMMYFUNCTION("""COMPUTED_VALUE"""),"sc8*****m.kl.edu.tw")</f>
        <v>sc8*****m.kl.edu.tw</v>
      </c>
      <c r="E403" s="17" t="str">
        <f>IFERROR(__xludf.DUMMYFUNCTION("""COMPUTED_VALUE"""),"基隆市中山區仙洞國民小學")</f>
        <v>基隆市中山區仙洞國民小學</v>
      </c>
      <c r="F403" s="14" t="str">
        <f>IFERROR(__xludf.DUMMYFUNCTION("""COMPUTED_VALUE"""),"六年級")</f>
        <v>六年級</v>
      </c>
      <c r="G403" s="14" t="str">
        <f>IFERROR(__xludf.DUMMYFUNCTION("""COMPUTED_VALUE"""),"●小禮物")</f>
        <v>●小禮物</v>
      </c>
      <c r="H403" s="8"/>
    </row>
    <row r="404">
      <c r="A404" s="18"/>
      <c r="B404" s="14">
        <f>IFERROR(__xludf.DUMMYFUNCTION("""COMPUTED_VALUE"""),311241.0)</f>
        <v>311241</v>
      </c>
      <c r="C404" s="14" t="str">
        <f>IFERROR(__xludf.DUMMYFUNCTION("""COMPUTED_VALUE"""),"蕭伃彤")</f>
        <v>蕭伃彤</v>
      </c>
      <c r="D404" s="16" t="str">
        <f>IFERROR(__xludf.DUMMYFUNCTION("""COMPUTED_VALUE"""),"alw*****ena@googlemail.com")</f>
        <v>alw*****ena@googlemail.com</v>
      </c>
      <c r="E404" s="17" t="str">
        <f>IFERROR(__xludf.DUMMYFUNCTION("""COMPUTED_VALUE"""),"輔仁大學學校財團法人基隆市輔大聖心高級中學附設國小部")</f>
        <v>輔仁大學學校財團法人基隆市輔大聖心高級中學附設國小部</v>
      </c>
      <c r="F404" s="14" t="str">
        <f>IFERROR(__xludf.DUMMYFUNCTION("""COMPUTED_VALUE"""),"六年級")</f>
        <v>六年級</v>
      </c>
      <c r="G404" s="14" t="str">
        <f>IFERROR(__xludf.DUMMYFUNCTION("""COMPUTED_VALUE"""),"●小禮物")</f>
        <v>●小禮物</v>
      </c>
      <c r="H404" s="8"/>
    </row>
    <row r="405">
      <c r="A405" s="18"/>
      <c r="B405" s="14">
        <f>IFERROR(__xludf.DUMMYFUNCTION("""COMPUTED_VALUE"""),878191.0)</f>
        <v>878191</v>
      </c>
      <c r="C405" s="14" t="str">
        <f>IFERROR(__xludf.DUMMYFUNCTION("""COMPUTED_VALUE"""),"林思妤")</f>
        <v>林思妤</v>
      </c>
      <c r="D405" s="16" t="str">
        <f>IFERROR(__xludf.DUMMYFUNCTION("""COMPUTED_VALUE"""),"sc8*****ail.edu.tw")</f>
        <v>sc8*****ail.edu.tw</v>
      </c>
      <c r="E405" s="17" t="str">
        <f>IFERROR(__xludf.DUMMYFUNCTION("""COMPUTED_VALUE"""),"基隆市安樂區建德國民小學")</f>
        <v>基隆市安樂區建德國民小學</v>
      </c>
      <c r="F405" s="14" t="str">
        <f>IFERROR(__xludf.DUMMYFUNCTION("""COMPUTED_VALUE"""),"五年級")</f>
        <v>五年級</v>
      </c>
      <c r="G405" s="14" t="str">
        <f>IFERROR(__xludf.DUMMYFUNCTION("""COMPUTED_VALUE"""),"●小禮物")</f>
        <v>●小禮物</v>
      </c>
      <c r="H405" s="8"/>
    </row>
    <row r="406">
      <c r="A406" s="18"/>
      <c r="B406" s="14">
        <f>IFERROR(__xludf.DUMMYFUNCTION("""COMPUTED_VALUE"""),936139.0)</f>
        <v>936139</v>
      </c>
      <c r="C406" s="14" t="str">
        <f>IFERROR(__xludf.DUMMYFUNCTION("""COMPUTED_VALUE"""),"唐紹凱")</f>
        <v>唐紹凱</v>
      </c>
      <c r="D406" s="16" t="str">
        <f>IFERROR(__xludf.DUMMYFUNCTION("""COMPUTED_VALUE"""),"sha*****tang@gmail.com")</f>
        <v>sha*****tang@gmail.com</v>
      </c>
      <c r="E406" s="17" t="str">
        <f>IFERROR(__xludf.DUMMYFUNCTION("""COMPUTED_VALUE"""),"基隆市安樂區建德國民小學")</f>
        <v>基隆市安樂區建德國民小學</v>
      </c>
      <c r="F406" s="14" t="str">
        <f>IFERROR(__xludf.DUMMYFUNCTION("""COMPUTED_VALUE"""),"六年級")</f>
        <v>六年級</v>
      </c>
      <c r="G406" s="14" t="str">
        <f>IFERROR(__xludf.DUMMYFUNCTION("""COMPUTED_VALUE"""),"●小禮物")</f>
        <v>●小禮物</v>
      </c>
      <c r="H406" s="8"/>
    </row>
    <row r="407">
      <c r="A407" s="18"/>
      <c r="B407" s="14">
        <f>IFERROR(__xludf.DUMMYFUNCTION("""COMPUTED_VALUE"""),937127.0)</f>
        <v>937127</v>
      </c>
      <c r="C407" s="14" t="str">
        <f>IFERROR(__xludf.DUMMYFUNCTION("""COMPUTED_VALUE"""),"陳璐蓉")</f>
        <v>陳璐蓉</v>
      </c>
      <c r="D407" s="16" t="str">
        <f>IFERROR(__xludf.DUMMYFUNCTION("""COMPUTED_VALUE"""),"s10*****wlps.kl.edu.tw")</f>
        <v>s10*****wlps.kl.edu.tw</v>
      </c>
      <c r="E407" s="17" t="str">
        <f>IFERROR(__xludf.DUMMYFUNCTION("""COMPUTED_VALUE"""),"基隆市安樂區武崙國民小學")</f>
        <v>基隆市安樂區武崙國民小學</v>
      </c>
      <c r="F407" s="14" t="str">
        <f>IFERROR(__xludf.DUMMYFUNCTION("""COMPUTED_VALUE"""),"三年級")</f>
        <v>三年級</v>
      </c>
      <c r="G407" s="14" t="str">
        <f>IFERROR(__xludf.DUMMYFUNCTION("""COMPUTED_VALUE"""),"獎狀")</f>
        <v>獎狀</v>
      </c>
      <c r="H407" s="8"/>
    </row>
    <row r="408">
      <c r="A408" s="18"/>
      <c r="B408" s="14">
        <f>IFERROR(__xludf.DUMMYFUNCTION("""COMPUTED_VALUE"""),1099921.0)</f>
        <v>1099921</v>
      </c>
      <c r="C408" s="14" t="str">
        <f>IFERROR(__xludf.DUMMYFUNCTION("""COMPUTED_VALUE"""),"林倢安")</f>
        <v>林倢安</v>
      </c>
      <c r="D408" s="16" t="str">
        <f>IFERROR(__xludf.DUMMYFUNCTION("""COMPUTED_VALUE"""),"s10*****wlps.kl.edu.tw")</f>
        <v>s10*****wlps.kl.edu.tw</v>
      </c>
      <c r="E408" s="17" t="str">
        <f>IFERROR(__xludf.DUMMYFUNCTION("""COMPUTED_VALUE"""),"基隆市安樂區武崙國民小學")</f>
        <v>基隆市安樂區武崙國民小學</v>
      </c>
      <c r="F408" s="14" t="str">
        <f>IFERROR(__xludf.DUMMYFUNCTION("""COMPUTED_VALUE"""),"三年級")</f>
        <v>三年級</v>
      </c>
      <c r="G408" s="14" t="str">
        <f>IFERROR(__xludf.DUMMYFUNCTION("""COMPUTED_VALUE"""),"獎狀")</f>
        <v>獎狀</v>
      </c>
      <c r="H408" s="8"/>
    </row>
    <row r="409">
      <c r="A409" s="18"/>
      <c r="B409" s="14">
        <f>IFERROR(__xludf.DUMMYFUNCTION("""COMPUTED_VALUE"""),813449.0)</f>
        <v>813449</v>
      </c>
      <c r="C409" s="14" t="str">
        <f>IFERROR(__xludf.DUMMYFUNCTION("""COMPUTED_VALUE"""),"許辰劭")</f>
        <v>許辰劭</v>
      </c>
      <c r="D409" s="16" t="str">
        <f>IFERROR(__xludf.DUMMYFUNCTION("""COMPUTED_VALUE"""),"s10*****wlps.kl.edu.tw")</f>
        <v>s10*****wlps.kl.edu.tw</v>
      </c>
      <c r="E409" s="17" t="str">
        <f>IFERROR(__xludf.DUMMYFUNCTION("""COMPUTED_VALUE"""),"基隆市安樂區武崙國民小學")</f>
        <v>基隆市安樂區武崙國民小學</v>
      </c>
      <c r="F409" s="14" t="str">
        <f>IFERROR(__xludf.DUMMYFUNCTION("""COMPUTED_VALUE"""),"四年級")</f>
        <v>四年級</v>
      </c>
      <c r="G409" s="14" t="str">
        <f>IFERROR(__xludf.DUMMYFUNCTION("""COMPUTED_VALUE"""),"●小禮物")</f>
        <v>●小禮物</v>
      </c>
      <c r="H409" s="8"/>
    </row>
    <row r="410">
      <c r="A410" s="18"/>
      <c r="B410" s="14">
        <f>IFERROR(__xludf.DUMMYFUNCTION("""COMPUTED_VALUE"""),673599.0)</f>
        <v>673599</v>
      </c>
      <c r="C410" s="14" t="str">
        <f>IFERROR(__xludf.DUMMYFUNCTION("""COMPUTED_VALUE"""),"劉宇恩")</f>
        <v>劉宇恩</v>
      </c>
      <c r="D410" s="16" t="str">
        <f>IFERROR(__xludf.DUMMYFUNCTION("""COMPUTED_VALUE"""),"s10*****wlps.kl.edu.tw")</f>
        <v>s10*****wlps.kl.edu.tw</v>
      </c>
      <c r="E410" s="17" t="str">
        <f>IFERROR(__xludf.DUMMYFUNCTION("""COMPUTED_VALUE"""),"基隆市安樂區武崙國民小學")</f>
        <v>基隆市安樂區武崙國民小學</v>
      </c>
      <c r="F410" s="14" t="str">
        <f>IFERROR(__xludf.DUMMYFUNCTION("""COMPUTED_VALUE"""),"四年級")</f>
        <v>四年級</v>
      </c>
      <c r="G410" s="14" t="str">
        <f>IFERROR(__xludf.DUMMYFUNCTION("""COMPUTED_VALUE"""),"●小禮物")</f>
        <v>●小禮物</v>
      </c>
      <c r="H410" s="8"/>
    </row>
    <row r="411">
      <c r="A411" s="18"/>
      <c r="B411" s="14">
        <f>IFERROR(__xludf.DUMMYFUNCTION("""COMPUTED_VALUE"""),673237.0)</f>
        <v>673237</v>
      </c>
      <c r="C411" s="14" t="str">
        <f>IFERROR(__xludf.DUMMYFUNCTION("""COMPUTED_VALUE"""),"劉宇祐")</f>
        <v>劉宇祐</v>
      </c>
      <c r="D411" s="16" t="str">
        <f>IFERROR(__xludf.DUMMYFUNCTION("""COMPUTED_VALUE"""),"s10*****wlps.kl.edu.tw")</f>
        <v>s10*****wlps.kl.edu.tw</v>
      </c>
      <c r="E411" s="17" t="str">
        <f>IFERROR(__xludf.DUMMYFUNCTION("""COMPUTED_VALUE"""),"基隆市安樂區武崙國民小學")</f>
        <v>基隆市安樂區武崙國民小學</v>
      </c>
      <c r="F411" s="14" t="str">
        <f>IFERROR(__xludf.DUMMYFUNCTION("""COMPUTED_VALUE"""),"四年級")</f>
        <v>四年級</v>
      </c>
      <c r="G411" s="14" t="str">
        <f>IFERROR(__xludf.DUMMYFUNCTION("""COMPUTED_VALUE"""),"●小禮物")</f>
        <v>●小禮物</v>
      </c>
      <c r="H411" s="8"/>
    </row>
    <row r="412">
      <c r="A412" s="18"/>
      <c r="B412" s="14">
        <f>IFERROR(__xludf.DUMMYFUNCTION("""COMPUTED_VALUE"""),709485.0)</f>
        <v>709485</v>
      </c>
      <c r="C412" s="14" t="str">
        <f>IFERROR(__xludf.DUMMYFUNCTION("""COMPUTED_VALUE"""),"李智翔")</f>
        <v>李智翔</v>
      </c>
      <c r="D412" s="16" t="str">
        <f>IFERROR(__xludf.DUMMYFUNCTION("""COMPUTED_VALUE"""),"s10*****wlps.kl.edu.tw")</f>
        <v>s10*****wlps.kl.edu.tw</v>
      </c>
      <c r="E412" s="17" t="str">
        <f>IFERROR(__xludf.DUMMYFUNCTION("""COMPUTED_VALUE"""),"基隆市安樂區武崙國民小學")</f>
        <v>基隆市安樂區武崙國民小學</v>
      </c>
      <c r="F412" s="14" t="str">
        <f>IFERROR(__xludf.DUMMYFUNCTION("""COMPUTED_VALUE"""),"四年級")</f>
        <v>四年級</v>
      </c>
      <c r="G412" s="14" t="str">
        <f>IFERROR(__xludf.DUMMYFUNCTION("""COMPUTED_VALUE"""),"獎狀")</f>
        <v>獎狀</v>
      </c>
      <c r="H412" s="8"/>
    </row>
    <row r="413">
      <c r="A413" s="18"/>
      <c r="B413" s="14">
        <f>IFERROR(__xludf.DUMMYFUNCTION("""COMPUTED_VALUE"""),726323.0)</f>
        <v>726323</v>
      </c>
      <c r="C413" s="14" t="str">
        <f>IFERROR(__xludf.DUMMYFUNCTION("""COMPUTED_VALUE"""),"陳百鎮")</f>
        <v>陳百鎮</v>
      </c>
      <c r="D413" s="16" t="str">
        <f>IFERROR(__xludf.DUMMYFUNCTION("""COMPUTED_VALUE"""),"s10*****wlps.kl.edu.tw")</f>
        <v>s10*****wlps.kl.edu.tw</v>
      </c>
      <c r="E413" s="17" t="str">
        <f>IFERROR(__xludf.DUMMYFUNCTION("""COMPUTED_VALUE"""),"基隆市安樂區武崙國民小學")</f>
        <v>基隆市安樂區武崙國民小學</v>
      </c>
      <c r="F413" s="14" t="str">
        <f>IFERROR(__xludf.DUMMYFUNCTION("""COMPUTED_VALUE"""),"五年級")</f>
        <v>五年級</v>
      </c>
      <c r="G413" s="14" t="str">
        <f>IFERROR(__xludf.DUMMYFUNCTION("""COMPUTED_VALUE"""),"獎狀")</f>
        <v>獎狀</v>
      </c>
      <c r="H413" s="8"/>
    </row>
    <row r="414">
      <c r="A414" s="18"/>
      <c r="B414" s="14">
        <f>IFERROR(__xludf.DUMMYFUNCTION("""COMPUTED_VALUE"""),714356.0)</f>
        <v>714356</v>
      </c>
      <c r="C414" s="14" t="str">
        <f>IFERROR(__xludf.DUMMYFUNCTION("""COMPUTED_VALUE"""),"黃凱謙")</f>
        <v>黃凱謙</v>
      </c>
      <c r="D414" s="16" t="str">
        <f>IFERROR(__xludf.DUMMYFUNCTION("""COMPUTED_VALUE"""),"s10*****wlps.kl.edu.tw")</f>
        <v>s10*****wlps.kl.edu.tw</v>
      </c>
      <c r="E414" s="17" t="str">
        <f>IFERROR(__xludf.DUMMYFUNCTION("""COMPUTED_VALUE"""),"基隆市安樂區武崙國民小學")</f>
        <v>基隆市安樂區武崙國民小學</v>
      </c>
      <c r="F414" s="14" t="str">
        <f>IFERROR(__xludf.DUMMYFUNCTION("""COMPUTED_VALUE"""),"五年級")</f>
        <v>五年級</v>
      </c>
      <c r="G414" s="14" t="str">
        <f>IFERROR(__xludf.DUMMYFUNCTION("""COMPUTED_VALUE"""),"●小禮物")</f>
        <v>●小禮物</v>
      </c>
      <c r="H414" s="8"/>
    </row>
    <row r="415">
      <c r="A415" s="18"/>
      <c r="B415" s="14">
        <f>IFERROR(__xludf.DUMMYFUNCTION("""COMPUTED_VALUE"""),812625.0)</f>
        <v>812625</v>
      </c>
      <c r="C415" s="14" t="str">
        <f>IFERROR(__xludf.DUMMYFUNCTION("""COMPUTED_VALUE"""),"何品儀")</f>
        <v>何品儀</v>
      </c>
      <c r="D415" s="16" t="str">
        <f>IFERROR(__xludf.DUMMYFUNCTION("""COMPUTED_VALUE"""),"s10*****wlps.kl.edu.tw")</f>
        <v>s10*****wlps.kl.edu.tw</v>
      </c>
      <c r="E415" s="17" t="str">
        <f>IFERROR(__xludf.DUMMYFUNCTION("""COMPUTED_VALUE"""),"基隆市安樂區武崙國民小學")</f>
        <v>基隆市安樂區武崙國民小學</v>
      </c>
      <c r="F415" s="14" t="str">
        <f>IFERROR(__xludf.DUMMYFUNCTION("""COMPUTED_VALUE"""),"六年級")</f>
        <v>六年級</v>
      </c>
      <c r="G415" s="14" t="str">
        <f>IFERROR(__xludf.DUMMYFUNCTION("""COMPUTED_VALUE"""),"●小禮物")</f>
        <v>●小禮物</v>
      </c>
      <c r="H415" s="8"/>
    </row>
    <row r="416">
      <c r="A416" s="18"/>
      <c r="B416" s="14">
        <f>IFERROR(__xludf.DUMMYFUNCTION("""COMPUTED_VALUE"""),812639.0)</f>
        <v>812639</v>
      </c>
      <c r="C416" s="14" t="str">
        <f>IFERROR(__xludf.DUMMYFUNCTION("""COMPUTED_VALUE"""),"周睿麟")</f>
        <v>周睿麟</v>
      </c>
      <c r="D416" s="16" t="str">
        <f>IFERROR(__xludf.DUMMYFUNCTION("""COMPUTED_VALUE"""),"s10*****wlps.kl.edu.tw")</f>
        <v>s10*****wlps.kl.edu.tw</v>
      </c>
      <c r="E416" s="17" t="str">
        <f>IFERROR(__xludf.DUMMYFUNCTION("""COMPUTED_VALUE"""),"基隆市安樂區武崙國民小學")</f>
        <v>基隆市安樂區武崙國民小學</v>
      </c>
      <c r="F416" s="14" t="str">
        <f>IFERROR(__xludf.DUMMYFUNCTION("""COMPUTED_VALUE"""),"六年級")</f>
        <v>六年級</v>
      </c>
      <c r="G416" s="14" t="str">
        <f>IFERROR(__xludf.DUMMYFUNCTION("""COMPUTED_VALUE"""),"●小禮物")</f>
        <v>●小禮物</v>
      </c>
      <c r="H416" s="8"/>
    </row>
    <row r="417">
      <c r="A417" s="18"/>
      <c r="B417" s="14">
        <f>IFERROR(__xludf.DUMMYFUNCTION("""COMPUTED_VALUE"""),812661.0)</f>
        <v>812661</v>
      </c>
      <c r="C417" s="14" t="str">
        <f>IFERROR(__xludf.DUMMYFUNCTION("""COMPUTED_VALUE"""),"林又禾")</f>
        <v>林又禾</v>
      </c>
      <c r="D417" s="16" t="str">
        <f>IFERROR(__xludf.DUMMYFUNCTION("""COMPUTED_VALUE"""),"s10*****wlps.kl.edu.tw")</f>
        <v>s10*****wlps.kl.edu.tw</v>
      </c>
      <c r="E417" s="17" t="str">
        <f>IFERROR(__xludf.DUMMYFUNCTION("""COMPUTED_VALUE"""),"基隆市安樂區武崙國民小學")</f>
        <v>基隆市安樂區武崙國民小學</v>
      </c>
      <c r="F417" s="14" t="str">
        <f>IFERROR(__xludf.DUMMYFUNCTION("""COMPUTED_VALUE"""),"六年級")</f>
        <v>六年級</v>
      </c>
      <c r="G417" s="14" t="str">
        <f>IFERROR(__xludf.DUMMYFUNCTION("""COMPUTED_VALUE"""),"●小禮物")</f>
        <v>●小禮物</v>
      </c>
      <c r="H417" s="8"/>
    </row>
    <row r="418">
      <c r="A418" s="18"/>
      <c r="B418" s="14">
        <f>IFERROR(__xludf.DUMMYFUNCTION("""COMPUTED_VALUE"""),812644.0)</f>
        <v>812644</v>
      </c>
      <c r="C418" s="14" t="str">
        <f>IFERROR(__xludf.DUMMYFUNCTION("""COMPUTED_VALUE"""),"林承叡")</f>
        <v>林承叡</v>
      </c>
      <c r="D418" s="16" t="str">
        <f>IFERROR(__xludf.DUMMYFUNCTION("""COMPUTED_VALUE"""),"s10*****wlps.kl.edu.tw")</f>
        <v>s10*****wlps.kl.edu.tw</v>
      </c>
      <c r="E418" s="17" t="str">
        <f>IFERROR(__xludf.DUMMYFUNCTION("""COMPUTED_VALUE"""),"基隆市安樂區武崙國民小學")</f>
        <v>基隆市安樂區武崙國民小學</v>
      </c>
      <c r="F418" s="14" t="str">
        <f>IFERROR(__xludf.DUMMYFUNCTION("""COMPUTED_VALUE"""),"六年級")</f>
        <v>六年級</v>
      </c>
      <c r="G418" s="14" t="str">
        <f>IFERROR(__xludf.DUMMYFUNCTION("""COMPUTED_VALUE"""),"●小禮物")</f>
        <v>●小禮物</v>
      </c>
      <c r="H418" s="8"/>
    </row>
    <row r="419">
      <c r="A419" s="18"/>
      <c r="B419" s="14">
        <f>IFERROR(__xludf.DUMMYFUNCTION("""COMPUTED_VALUE"""),812623.0)</f>
        <v>812623</v>
      </c>
      <c r="C419" s="14" t="str">
        <f>IFERROR(__xludf.DUMMYFUNCTION("""COMPUTED_VALUE"""),"邱翊睿")</f>
        <v>邱翊睿</v>
      </c>
      <c r="D419" s="16" t="str">
        <f>IFERROR(__xludf.DUMMYFUNCTION("""COMPUTED_VALUE"""),"s10*****wlps.kl.edu.tw")</f>
        <v>s10*****wlps.kl.edu.tw</v>
      </c>
      <c r="E419" s="17" t="str">
        <f>IFERROR(__xludf.DUMMYFUNCTION("""COMPUTED_VALUE"""),"基隆市安樂區武崙國民小學")</f>
        <v>基隆市安樂區武崙國民小學</v>
      </c>
      <c r="F419" s="14" t="str">
        <f>IFERROR(__xludf.DUMMYFUNCTION("""COMPUTED_VALUE"""),"六年級")</f>
        <v>六年級</v>
      </c>
      <c r="G419" s="14" t="str">
        <f>IFERROR(__xludf.DUMMYFUNCTION("""COMPUTED_VALUE"""),"●小禮物")</f>
        <v>●小禮物</v>
      </c>
      <c r="H419" s="8"/>
    </row>
    <row r="420">
      <c r="A420" s="18"/>
      <c r="B420" s="14">
        <f>IFERROR(__xludf.DUMMYFUNCTION("""COMPUTED_VALUE"""),1017489.0)</f>
        <v>1017489</v>
      </c>
      <c r="C420" s="14" t="str">
        <f>IFERROR(__xludf.DUMMYFUNCTION("""COMPUTED_VALUE"""),"康芷綺")</f>
        <v>康芷綺</v>
      </c>
      <c r="D420" s="16" t="str">
        <f>IFERROR(__xludf.DUMMYFUNCTION("""COMPUTED_VALUE"""),"s10*****wlps.kl.edu.tw")</f>
        <v>s10*****wlps.kl.edu.tw</v>
      </c>
      <c r="E420" s="17" t="str">
        <f>IFERROR(__xludf.DUMMYFUNCTION("""COMPUTED_VALUE"""),"基隆市安樂區武崙國民小學")</f>
        <v>基隆市安樂區武崙國民小學</v>
      </c>
      <c r="F420" s="14" t="str">
        <f>IFERROR(__xludf.DUMMYFUNCTION("""COMPUTED_VALUE"""),"六年級")</f>
        <v>六年級</v>
      </c>
      <c r="G420" s="14" t="str">
        <f>IFERROR(__xludf.DUMMYFUNCTION("""COMPUTED_VALUE"""),"●小禮物")</f>
        <v>●小禮物</v>
      </c>
      <c r="H420" s="8"/>
    </row>
    <row r="421">
      <c r="A421" s="18"/>
      <c r="B421" s="14">
        <f>IFERROR(__xludf.DUMMYFUNCTION("""COMPUTED_VALUE"""),812626.0)</f>
        <v>812626</v>
      </c>
      <c r="C421" s="14" t="str">
        <f>IFERROR(__xludf.DUMMYFUNCTION("""COMPUTED_VALUE"""),"許若淳")</f>
        <v>許若淳</v>
      </c>
      <c r="D421" s="16" t="str">
        <f>IFERROR(__xludf.DUMMYFUNCTION("""COMPUTED_VALUE"""),"s10*****wlps.kl.edu.tw")</f>
        <v>s10*****wlps.kl.edu.tw</v>
      </c>
      <c r="E421" s="17" t="str">
        <f>IFERROR(__xludf.DUMMYFUNCTION("""COMPUTED_VALUE"""),"基隆市安樂區武崙國民小學")</f>
        <v>基隆市安樂區武崙國民小學</v>
      </c>
      <c r="F421" s="14" t="str">
        <f>IFERROR(__xludf.DUMMYFUNCTION("""COMPUTED_VALUE"""),"六年級")</f>
        <v>六年級</v>
      </c>
      <c r="G421" s="14" t="str">
        <f>IFERROR(__xludf.DUMMYFUNCTION("""COMPUTED_VALUE"""),"●小禮物")</f>
        <v>●小禮物</v>
      </c>
      <c r="H421" s="8"/>
    </row>
    <row r="422">
      <c r="A422" s="18"/>
      <c r="B422" s="14">
        <f>IFERROR(__xludf.DUMMYFUNCTION("""COMPUTED_VALUE"""),812660.0)</f>
        <v>812660</v>
      </c>
      <c r="C422" s="14" t="str">
        <f>IFERROR(__xludf.DUMMYFUNCTION("""COMPUTED_VALUE"""),"郭姸君")</f>
        <v>郭姸君</v>
      </c>
      <c r="D422" s="16" t="str">
        <f>IFERROR(__xludf.DUMMYFUNCTION("""COMPUTED_VALUE"""),"s10*****wlps.kl.edu.tw")</f>
        <v>s10*****wlps.kl.edu.tw</v>
      </c>
      <c r="E422" s="17" t="str">
        <f>IFERROR(__xludf.DUMMYFUNCTION("""COMPUTED_VALUE"""),"基隆市安樂區武崙國民小學")</f>
        <v>基隆市安樂區武崙國民小學</v>
      </c>
      <c r="F422" s="14" t="str">
        <f>IFERROR(__xludf.DUMMYFUNCTION("""COMPUTED_VALUE"""),"六年級")</f>
        <v>六年級</v>
      </c>
      <c r="G422" s="14" t="str">
        <f>IFERROR(__xludf.DUMMYFUNCTION("""COMPUTED_VALUE"""),"●小禮物")</f>
        <v>●小禮物</v>
      </c>
      <c r="H422" s="8"/>
    </row>
    <row r="423">
      <c r="A423" s="18"/>
      <c r="B423" s="14">
        <f>IFERROR(__xludf.DUMMYFUNCTION("""COMPUTED_VALUE"""),812628.0)</f>
        <v>812628</v>
      </c>
      <c r="C423" s="14" t="str">
        <f>IFERROR(__xludf.DUMMYFUNCTION("""COMPUTED_VALUE"""),"謝采妍")</f>
        <v>謝采妍</v>
      </c>
      <c r="D423" s="16" t="str">
        <f>IFERROR(__xludf.DUMMYFUNCTION("""COMPUTED_VALUE"""),"s10*****wlps.kl.edu.tw")</f>
        <v>s10*****wlps.kl.edu.tw</v>
      </c>
      <c r="E423" s="17" t="str">
        <f>IFERROR(__xludf.DUMMYFUNCTION("""COMPUTED_VALUE"""),"基隆市安樂區武崙國民小學")</f>
        <v>基隆市安樂區武崙國民小學</v>
      </c>
      <c r="F423" s="14" t="str">
        <f>IFERROR(__xludf.DUMMYFUNCTION("""COMPUTED_VALUE"""),"六年級")</f>
        <v>六年級</v>
      </c>
      <c r="G423" s="14" t="str">
        <f>IFERROR(__xludf.DUMMYFUNCTION("""COMPUTED_VALUE"""),"●小禮物")</f>
        <v>●小禮物</v>
      </c>
      <c r="H423" s="8"/>
    </row>
    <row r="424">
      <c r="A424" s="18"/>
      <c r="B424" s="14">
        <f>IFERROR(__xludf.DUMMYFUNCTION("""COMPUTED_VALUE"""),421002.0)</f>
        <v>421002</v>
      </c>
      <c r="C424" s="14" t="str">
        <f>IFERROR(__xludf.DUMMYFUNCTION("""COMPUTED_VALUE"""),"鍾秉霖")</f>
        <v>鍾秉霖</v>
      </c>
      <c r="D424" s="16" t="str">
        <f>IFERROR(__xludf.DUMMYFUNCTION("""COMPUTED_VALUE"""),"s10*****wlps.kl.edu.tw")</f>
        <v>s10*****wlps.kl.edu.tw</v>
      </c>
      <c r="E424" s="17" t="str">
        <f>IFERROR(__xludf.DUMMYFUNCTION("""COMPUTED_VALUE"""),"基隆市安樂區武崙國民小學")</f>
        <v>基隆市安樂區武崙國民小學</v>
      </c>
      <c r="F424" s="14" t="str">
        <f>IFERROR(__xludf.DUMMYFUNCTION("""COMPUTED_VALUE"""),"六年級")</f>
        <v>六年級</v>
      </c>
      <c r="G424" s="14" t="str">
        <f>IFERROR(__xludf.DUMMYFUNCTION("""COMPUTED_VALUE"""),"●小禮物")</f>
        <v>●小禮物</v>
      </c>
      <c r="H424" s="8"/>
    </row>
    <row r="425">
      <c r="A425" s="18"/>
      <c r="B425" s="14">
        <f>IFERROR(__xludf.DUMMYFUNCTION("""COMPUTED_VALUE"""),812666.0)</f>
        <v>812666</v>
      </c>
      <c r="C425" s="14" t="str">
        <f>IFERROR(__xludf.DUMMYFUNCTION("""COMPUTED_VALUE"""),"黃冠瑛")</f>
        <v>黃冠瑛</v>
      </c>
      <c r="D425" s="16" t="str">
        <f>IFERROR(__xludf.DUMMYFUNCTION("""COMPUTED_VALUE"""),"s10*****wlps.kl.edu.tw")</f>
        <v>s10*****wlps.kl.edu.tw</v>
      </c>
      <c r="E425" s="17" t="str">
        <f>IFERROR(__xludf.DUMMYFUNCTION("""COMPUTED_VALUE"""),"基隆市安樂區武崙國民小學")</f>
        <v>基隆市安樂區武崙國民小學</v>
      </c>
      <c r="F425" s="14" t="str">
        <f>IFERROR(__xludf.DUMMYFUNCTION("""COMPUTED_VALUE"""),"六年級")</f>
        <v>六年級</v>
      </c>
      <c r="G425" s="14" t="str">
        <f>IFERROR(__xludf.DUMMYFUNCTION("""COMPUTED_VALUE"""),"★禮券$200")</f>
        <v>★禮券$200</v>
      </c>
      <c r="H425" s="8"/>
    </row>
    <row r="426">
      <c r="A426" s="18"/>
      <c r="B426" s="14">
        <f>IFERROR(__xludf.DUMMYFUNCTION("""COMPUTED_VALUE"""),812667.0)</f>
        <v>812667</v>
      </c>
      <c r="C426" s="14" t="str">
        <f>IFERROR(__xludf.DUMMYFUNCTION("""COMPUTED_VALUE"""),"蔡旻宏")</f>
        <v>蔡旻宏</v>
      </c>
      <c r="D426" s="16" t="str">
        <f>IFERROR(__xludf.DUMMYFUNCTION("""COMPUTED_VALUE"""),"s10*****wlps.kl.edu.tw")</f>
        <v>s10*****wlps.kl.edu.tw</v>
      </c>
      <c r="E426" s="17" t="str">
        <f>IFERROR(__xludf.DUMMYFUNCTION("""COMPUTED_VALUE"""),"基隆市安樂區武崙國民小學")</f>
        <v>基隆市安樂區武崙國民小學</v>
      </c>
      <c r="F426" s="14" t="str">
        <f>IFERROR(__xludf.DUMMYFUNCTION("""COMPUTED_VALUE"""),"六年級")</f>
        <v>六年級</v>
      </c>
      <c r="G426" s="14" t="str">
        <f>IFERROR(__xludf.DUMMYFUNCTION("""COMPUTED_VALUE"""),"★禮券$200")</f>
        <v>★禮券$200</v>
      </c>
      <c r="H426" s="8"/>
    </row>
    <row r="427">
      <c r="A427" s="18"/>
      <c r="B427" s="14">
        <f>IFERROR(__xludf.DUMMYFUNCTION("""COMPUTED_VALUE"""),812631.0)</f>
        <v>812631</v>
      </c>
      <c r="C427" s="14" t="str">
        <f>IFERROR(__xludf.DUMMYFUNCTION("""COMPUTED_VALUE"""),"王裕勝")</f>
        <v>王裕勝</v>
      </c>
      <c r="D427" s="16" t="str">
        <f>IFERROR(__xludf.DUMMYFUNCTION("""COMPUTED_VALUE"""),"s10*****wlps.kl.edu.tw")</f>
        <v>s10*****wlps.kl.edu.tw</v>
      </c>
      <c r="E427" s="17" t="str">
        <f>IFERROR(__xludf.DUMMYFUNCTION("""COMPUTED_VALUE"""),"基隆市安樂區武崙國民小學")</f>
        <v>基隆市安樂區武崙國民小學</v>
      </c>
      <c r="F427" s="14" t="str">
        <f>IFERROR(__xludf.DUMMYFUNCTION("""COMPUTED_VALUE"""),"六年級")</f>
        <v>六年級</v>
      </c>
      <c r="G427" s="14" t="str">
        <f>IFERROR(__xludf.DUMMYFUNCTION("""COMPUTED_VALUE"""),"獎狀")</f>
        <v>獎狀</v>
      </c>
      <c r="H427" s="8"/>
    </row>
    <row r="428">
      <c r="A428" s="18"/>
      <c r="B428" s="14">
        <f>IFERROR(__xludf.DUMMYFUNCTION("""COMPUTED_VALUE"""),812654.0)</f>
        <v>812654</v>
      </c>
      <c r="C428" s="14" t="str">
        <f>IFERROR(__xludf.DUMMYFUNCTION("""COMPUTED_VALUE"""),"江衣畇")</f>
        <v>江衣畇</v>
      </c>
      <c r="D428" s="16" t="str">
        <f>IFERROR(__xludf.DUMMYFUNCTION("""COMPUTED_VALUE"""),"s10*****wlps.kl.edu.tw")</f>
        <v>s10*****wlps.kl.edu.tw</v>
      </c>
      <c r="E428" s="17" t="str">
        <f>IFERROR(__xludf.DUMMYFUNCTION("""COMPUTED_VALUE"""),"基隆市安樂區武崙國民小學")</f>
        <v>基隆市安樂區武崙國民小學</v>
      </c>
      <c r="F428" s="14" t="str">
        <f>IFERROR(__xludf.DUMMYFUNCTION("""COMPUTED_VALUE"""),"六年級")</f>
        <v>六年級</v>
      </c>
      <c r="G428" s="14" t="str">
        <f>IFERROR(__xludf.DUMMYFUNCTION("""COMPUTED_VALUE"""),"獎狀")</f>
        <v>獎狀</v>
      </c>
      <c r="H428" s="8"/>
    </row>
    <row r="429">
      <c r="A429" s="18"/>
      <c r="B429" s="14">
        <f>IFERROR(__xludf.DUMMYFUNCTION("""COMPUTED_VALUE"""),812665.0)</f>
        <v>812665</v>
      </c>
      <c r="C429" s="14" t="str">
        <f>IFERROR(__xludf.DUMMYFUNCTION("""COMPUTED_VALUE"""),"呂宥均")</f>
        <v>呂宥均</v>
      </c>
      <c r="D429" s="16" t="str">
        <f>IFERROR(__xludf.DUMMYFUNCTION("""COMPUTED_VALUE"""),"s10*****wlps.kl.edu.tw")</f>
        <v>s10*****wlps.kl.edu.tw</v>
      </c>
      <c r="E429" s="17" t="str">
        <f>IFERROR(__xludf.DUMMYFUNCTION("""COMPUTED_VALUE"""),"基隆市安樂區武崙國民小學")</f>
        <v>基隆市安樂區武崙國民小學</v>
      </c>
      <c r="F429" s="14" t="str">
        <f>IFERROR(__xludf.DUMMYFUNCTION("""COMPUTED_VALUE"""),"六年級")</f>
        <v>六年級</v>
      </c>
      <c r="G429" s="14" t="str">
        <f>IFERROR(__xludf.DUMMYFUNCTION("""COMPUTED_VALUE"""),"獎狀")</f>
        <v>獎狀</v>
      </c>
      <c r="H429" s="8"/>
    </row>
    <row r="430">
      <c r="A430" s="18"/>
      <c r="B430" s="14">
        <f>IFERROR(__xludf.DUMMYFUNCTION("""COMPUTED_VALUE"""),812624.0)</f>
        <v>812624</v>
      </c>
      <c r="C430" s="14" t="str">
        <f>IFERROR(__xludf.DUMMYFUNCTION("""COMPUTED_VALUE"""),"郭如芸")</f>
        <v>郭如芸</v>
      </c>
      <c r="D430" s="16" t="str">
        <f>IFERROR(__xludf.DUMMYFUNCTION("""COMPUTED_VALUE"""),"s10*****wlps.kl.edu.tw")</f>
        <v>s10*****wlps.kl.edu.tw</v>
      </c>
      <c r="E430" s="17" t="str">
        <f>IFERROR(__xludf.DUMMYFUNCTION("""COMPUTED_VALUE"""),"基隆市安樂區武崙國民小學")</f>
        <v>基隆市安樂區武崙國民小學</v>
      </c>
      <c r="F430" s="14" t="str">
        <f>IFERROR(__xludf.DUMMYFUNCTION("""COMPUTED_VALUE"""),"六年級")</f>
        <v>六年級</v>
      </c>
      <c r="G430" s="14" t="str">
        <f>IFERROR(__xludf.DUMMYFUNCTION("""COMPUTED_VALUE"""),"獎狀")</f>
        <v>獎狀</v>
      </c>
      <c r="H430" s="8"/>
    </row>
    <row r="431">
      <c r="A431" s="18"/>
      <c r="B431" s="14">
        <f>IFERROR(__xludf.DUMMYFUNCTION("""COMPUTED_VALUE"""),812629.0)</f>
        <v>812629</v>
      </c>
      <c r="C431" s="14" t="str">
        <f>IFERROR(__xludf.DUMMYFUNCTION("""COMPUTED_VALUE"""),"葉晉成")</f>
        <v>葉晉成</v>
      </c>
      <c r="D431" s="16" t="str">
        <f>IFERROR(__xludf.DUMMYFUNCTION("""COMPUTED_VALUE"""),"s10*****wlps.kl.edu.tw")</f>
        <v>s10*****wlps.kl.edu.tw</v>
      </c>
      <c r="E431" s="17" t="str">
        <f>IFERROR(__xludf.DUMMYFUNCTION("""COMPUTED_VALUE"""),"基隆市安樂區武崙國民小學")</f>
        <v>基隆市安樂區武崙國民小學</v>
      </c>
      <c r="F431" s="14" t="str">
        <f>IFERROR(__xludf.DUMMYFUNCTION("""COMPUTED_VALUE"""),"六年級")</f>
        <v>六年級</v>
      </c>
      <c r="G431" s="14" t="str">
        <f>IFERROR(__xludf.DUMMYFUNCTION("""COMPUTED_VALUE"""),"獎狀")</f>
        <v>獎狀</v>
      </c>
      <c r="H431" s="8"/>
    </row>
    <row r="432">
      <c r="A432" s="18"/>
      <c r="B432" s="14">
        <f>IFERROR(__xludf.DUMMYFUNCTION("""COMPUTED_VALUE"""),812662.0)</f>
        <v>812662</v>
      </c>
      <c r="C432" s="14" t="str">
        <f>IFERROR(__xludf.DUMMYFUNCTION("""COMPUTED_VALUE"""),"詹芯樂")</f>
        <v>詹芯樂</v>
      </c>
      <c r="D432" s="16" t="str">
        <f>IFERROR(__xludf.DUMMYFUNCTION("""COMPUTED_VALUE"""),"s10*****wlps.kl.edu.tw")</f>
        <v>s10*****wlps.kl.edu.tw</v>
      </c>
      <c r="E432" s="17" t="str">
        <f>IFERROR(__xludf.DUMMYFUNCTION("""COMPUTED_VALUE"""),"基隆市安樂區武崙國民小學")</f>
        <v>基隆市安樂區武崙國民小學</v>
      </c>
      <c r="F432" s="14" t="str">
        <f>IFERROR(__xludf.DUMMYFUNCTION("""COMPUTED_VALUE"""),"六年級")</f>
        <v>六年級</v>
      </c>
      <c r="G432" s="14" t="str">
        <f>IFERROR(__xludf.DUMMYFUNCTION("""COMPUTED_VALUE"""),"獎狀")</f>
        <v>獎狀</v>
      </c>
      <c r="H432" s="8"/>
    </row>
    <row r="433">
      <c r="A433" s="18"/>
      <c r="B433" s="14">
        <f>IFERROR(__xludf.DUMMYFUNCTION("""COMPUTED_VALUE"""),812627.0)</f>
        <v>812627</v>
      </c>
      <c r="C433" s="14" t="str">
        <f>IFERROR(__xludf.DUMMYFUNCTION("""COMPUTED_VALUE"""),"劉羽恩")</f>
        <v>劉羽恩</v>
      </c>
      <c r="D433" s="16" t="str">
        <f>IFERROR(__xludf.DUMMYFUNCTION("""COMPUTED_VALUE"""),"s10*****wlps.kl.edu.tw")</f>
        <v>s10*****wlps.kl.edu.tw</v>
      </c>
      <c r="E433" s="17" t="str">
        <f>IFERROR(__xludf.DUMMYFUNCTION("""COMPUTED_VALUE"""),"基隆市安樂區武崙國民小學")</f>
        <v>基隆市安樂區武崙國民小學</v>
      </c>
      <c r="F433" s="14" t="str">
        <f>IFERROR(__xludf.DUMMYFUNCTION("""COMPUTED_VALUE"""),"六年級")</f>
        <v>六年級</v>
      </c>
      <c r="G433" s="14" t="str">
        <f>IFERROR(__xludf.DUMMYFUNCTION("""COMPUTED_VALUE"""),"獎狀")</f>
        <v>獎狀</v>
      </c>
      <c r="H433" s="8"/>
    </row>
    <row r="434">
      <c r="A434" s="18"/>
      <c r="B434" s="14">
        <f>IFERROR(__xludf.DUMMYFUNCTION("""COMPUTED_VALUE"""),812634.0)</f>
        <v>812634</v>
      </c>
      <c r="C434" s="14" t="str">
        <f>IFERROR(__xludf.DUMMYFUNCTION("""COMPUTED_VALUE"""),"劉杰燊")</f>
        <v>劉杰燊</v>
      </c>
      <c r="D434" s="16" t="str">
        <f>IFERROR(__xludf.DUMMYFUNCTION("""COMPUTED_VALUE"""),"s10*****wlps.kl.edu.tw")</f>
        <v>s10*****wlps.kl.edu.tw</v>
      </c>
      <c r="E434" s="17" t="str">
        <f>IFERROR(__xludf.DUMMYFUNCTION("""COMPUTED_VALUE"""),"基隆市安樂區武崙國民小學")</f>
        <v>基隆市安樂區武崙國民小學</v>
      </c>
      <c r="F434" s="14" t="str">
        <f>IFERROR(__xludf.DUMMYFUNCTION("""COMPUTED_VALUE"""),"六年級")</f>
        <v>六年級</v>
      </c>
      <c r="G434" s="14" t="str">
        <f>IFERROR(__xludf.DUMMYFUNCTION("""COMPUTED_VALUE"""),"獎狀")</f>
        <v>獎狀</v>
      </c>
      <c r="H434" s="8"/>
    </row>
    <row r="435">
      <c r="A435" s="18"/>
      <c r="B435" s="14">
        <f>IFERROR(__xludf.DUMMYFUNCTION("""COMPUTED_VALUE"""),812647.0)</f>
        <v>812647</v>
      </c>
      <c r="C435" s="14" t="str">
        <f>IFERROR(__xludf.DUMMYFUNCTION("""COMPUTED_VALUE"""),"蔡睿鴻")</f>
        <v>蔡睿鴻</v>
      </c>
      <c r="D435" s="16" t="str">
        <f>IFERROR(__xludf.DUMMYFUNCTION("""COMPUTED_VALUE"""),"s10*****wlps.kl.edu.tw")</f>
        <v>s10*****wlps.kl.edu.tw</v>
      </c>
      <c r="E435" s="17" t="str">
        <f>IFERROR(__xludf.DUMMYFUNCTION("""COMPUTED_VALUE"""),"基隆市安樂區武崙國民小學")</f>
        <v>基隆市安樂區武崙國民小學</v>
      </c>
      <c r="F435" s="14" t="str">
        <f>IFERROR(__xludf.DUMMYFUNCTION("""COMPUTED_VALUE"""),"六年級")</f>
        <v>六年級</v>
      </c>
      <c r="G435" s="14" t="str">
        <f>IFERROR(__xludf.DUMMYFUNCTION("""COMPUTED_VALUE"""),"獎狀")</f>
        <v>獎狀</v>
      </c>
      <c r="H435" s="8"/>
    </row>
    <row r="436">
      <c r="A436" s="18"/>
      <c r="B436" s="14">
        <f>IFERROR(__xludf.DUMMYFUNCTION("""COMPUTED_VALUE"""),812630.0)</f>
        <v>812630</v>
      </c>
      <c r="C436" s="14" t="str">
        <f>IFERROR(__xludf.DUMMYFUNCTION("""COMPUTED_VALUE"""),"蔣雨恩")</f>
        <v>蔣雨恩</v>
      </c>
      <c r="D436" s="16" t="str">
        <f>IFERROR(__xludf.DUMMYFUNCTION("""COMPUTED_VALUE"""),"s10*****wlps.kl.edu.tw")</f>
        <v>s10*****wlps.kl.edu.tw</v>
      </c>
      <c r="E436" s="17" t="str">
        <f>IFERROR(__xludf.DUMMYFUNCTION("""COMPUTED_VALUE"""),"基隆市安樂區武崙國民小學")</f>
        <v>基隆市安樂區武崙國民小學</v>
      </c>
      <c r="F436" s="14" t="str">
        <f>IFERROR(__xludf.DUMMYFUNCTION("""COMPUTED_VALUE"""),"六年級")</f>
        <v>六年級</v>
      </c>
      <c r="G436" s="14" t="str">
        <f>IFERROR(__xludf.DUMMYFUNCTION("""COMPUTED_VALUE"""),"獎狀")</f>
        <v>獎狀</v>
      </c>
      <c r="H436" s="8"/>
    </row>
    <row r="437">
      <c r="A437" s="18"/>
      <c r="B437" s="14">
        <f>IFERROR(__xludf.DUMMYFUNCTION("""COMPUTED_VALUE"""),421444.0)</f>
        <v>421444</v>
      </c>
      <c r="C437" s="14" t="str">
        <f>IFERROR(__xludf.DUMMYFUNCTION("""COMPUTED_VALUE"""),"盧柏允")</f>
        <v>盧柏允</v>
      </c>
      <c r="D437" s="16" t="str">
        <f>IFERROR(__xludf.DUMMYFUNCTION("""COMPUTED_VALUE"""),"s10*****wlps.kl.edu.tw")</f>
        <v>s10*****wlps.kl.edu.tw</v>
      </c>
      <c r="E437" s="17" t="str">
        <f>IFERROR(__xludf.DUMMYFUNCTION("""COMPUTED_VALUE"""),"基隆市安樂區武崙國民小學")</f>
        <v>基隆市安樂區武崙國民小學</v>
      </c>
      <c r="F437" s="14" t="str">
        <f>IFERROR(__xludf.DUMMYFUNCTION("""COMPUTED_VALUE"""),"六年級")</f>
        <v>六年級</v>
      </c>
      <c r="G437" s="14" t="str">
        <f>IFERROR(__xludf.DUMMYFUNCTION("""COMPUTED_VALUE"""),"獎狀")</f>
        <v>獎狀</v>
      </c>
      <c r="H437" s="8"/>
    </row>
    <row r="438">
      <c r="A438" s="18"/>
      <c r="B438" s="14">
        <f>IFERROR(__xludf.DUMMYFUNCTION("""COMPUTED_VALUE"""),812633.0)</f>
        <v>812633</v>
      </c>
      <c r="C438" s="14" t="str">
        <f>IFERROR(__xludf.DUMMYFUNCTION("""COMPUTED_VALUE"""),"謝乙安")</f>
        <v>謝乙安</v>
      </c>
      <c r="D438" s="16" t="str">
        <f>IFERROR(__xludf.DUMMYFUNCTION("""COMPUTED_VALUE"""),"s10*****wlps.kl.edu.tw")</f>
        <v>s10*****wlps.kl.edu.tw</v>
      </c>
      <c r="E438" s="17" t="str">
        <f>IFERROR(__xludf.DUMMYFUNCTION("""COMPUTED_VALUE"""),"基隆市安樂區武崙國民小學")</f>
        <v>基隆市安樂區武崙國民小學</v>
      </c>
      <c r="F438" s="14" t="str">
        <f>IFERROR(__xludf.DUMMYFUNCTION("""COMPUTED_VALUE"""),"六年級")</f>
        <v>六年級</v>
      </c>
      <c r="G438" s="14" t="str">
        <f>IFERROR(__xludf.DUMMYFUNCTION("""COMPUTED_VALUE"""),"獎狀")</f>
        <v>獎狀</v>
      </c>
      <c r="H438" s="8"/>
    </row>
    <row r="439">
      <c r="A439" s="18"/>
      <c r="B439" s="14">
        <f>IFERROR(__xludf.DUMMYFUNCTION("""COMPUTED_VALUE"""),812635.0)</f>
        <v>812635</v>
      </c>
      <c r="C439" s="14" t="str">
        <f>IFERROR(__xludf.DUMMYFUNCTION("""COMPUTED_VALUE"""),"簡閎義")</f>
        <v>簡閎義</v>
      </c>
      <c r="D439" s="16" t="str">
        <f>IFERROR(__xludf.DUMMYFUNCTION("""COMPUTED_VALUE"""),"s10*****wlps.kl.edu.tw")</f>
        <v>s10*****wlps.kl.edu.tw</v>
      </c>
      <c r="E439" s="17" t="str">
        <f>IFERROR(__xludf.DUMMYFUNCTION("""COMPUTED_VALUE"""),"基隆市安樂區武崙國民小學")</f>
        <v>基隆市安樂區武崙國民小學</v>
      </c>
      <c r="F439" s="14" t="str">
        <f>IFERROR(__xludf.DUMMYFUNCTION("""COMPUTED_VALUE"""),"六年級")</f>
        <v>六年級</v>
      </c>
      <c r="G439" s="14" t="str">
        <f>IFERROR(__xludf.DUMMYFUNCTION("""COMPUTED_VALUE"""),"獎狀")</f>
        <v>獎狀</v>
      </c>
      <c r="H439" s="8"/>
    </row>
    <row r="440">
      <c r="A440" s="18"/>
      <c r="B440" s="14">
        <f>IFERROR(__xludf.DUMMYFUNCTION("""COMPUTED_VALUE"""),421459.0)</f>
        <v>421459</v>
      </c>
      <c r="C440" s="14" t="str">
        <f>IFERROR(__xludf.DUMMYFUNCTION("""COMPUTED_VALUE"""),"方苡恩")</f>
        <v>方苡恩</v>
      </c>
      <c r="D440" s="16" t="str">
        <f>IFERROR(__xludf.DUMMYFUNCTION("""COMPUTED_VALUE"""),"s10*****wlps.kl.edu.tw")</f>
        <v>s10*****wlps.kl.edu.tw</v>
      </c>
      <c r="E440" s="17" t="str">
        <f>IFERROR(__xludf.DUMMYFUNCTION("""COMPUTED_VALUE"""),"基隆市安樂區武崙國民小學")</f>
        <v>基隆市安樂區武崙國民小學</v>
      </c>
      <c r="F440" s="14" t="str">
        <f>IFERROR(__xludf.DUMMYFUNCTION("""COMPUTED_VALUE"""),"六年級")</f>
        <v>六年級</v>
      </c>
      <c r="G440" s="14" t="str">
        <f>IFERROR(__xludf.DUMMYFUNCTION("""COMPUTED_VALUE"""),"●小禮物")</f>
        <v>●小禮物</v>
      </c>
      <c r="H440" s="8"/>
    </row>
    <row r="441">
      <c r="A441" s="18"/>
      <c r="B441" s="14">
        <f>IFERROR(__xludf.DUMMYFUNCTION("""COMPUTED_VALUE"""),812148.0)</f>
        <v>812148</v>
      </c>
      <c r="C441" s="14" t="str">
        <f>IFERROR(__xludf.DUMMYFUNCTION("""COMPUTED_VALUE"""),"李詠筠")</f>
        <v>李詠筠</v>
      </c>
      <c r="D441" s="16" t="str">
        <f>IFERROR(__xludf.DUMMYFUNCTION("""COMPUTED_VALUE"""),"s10*****wlps.kl.edu.tw")</f>
        <v>s10*****wlps.kl.edu.tw</v>
      </c>
      <c r="E441" s="17" t="str">
        <f>IFERROR(__xludf.DUMMYFUNCTION("""COMPUTED_VALUE"""),"基隆市安樂區武崙國民小學")</f>
        <v>基隆市安樂區武崙國民小學</v>
      </c>
      <c r="F441" s="14" t="str">
        <f>IFERROR(__xludf.DUMMYFUNCTION("""COMPUTED_VALUE"""),"六年級")</f>
        <v>六年級</v>
      </c>
      <c r="G441" s="14" t="str">
        <f>IFERROR(__xludf.DUMMYFUNCTION("""COMPUTED_VALUE"""),"●小禮物")</f>
        <v>●小禮物</v>
      </c>
      <c r="H441" s="8"/>
    </row>
    <row r="442">
      <c r="A442" s="18"/>
      <c r="B442" s="14">
        <f>IFERROR(__xludf.DUMMYFUNCTION("""COMPUTED_VALUE"""),428209.0)</f>
        <v>428209</v>
      </c>
      <c r="C442" s="14" t="str">
        <f>IFERROR(__xludf.DUMMYFUNCTION("""COMPUTED_VALUE"""),"張凱涵")</f>
        <v>張凱涵</v>
      </c>
      <c r="D442" s="16" t="str">
        <f>IFERROR(__xludf.DUMMYFUNCTION("""COMPUTED_VALUE"""),"s10*****wlps.kl.edu.tw")</f>
        <v>s10*****wlps.kl.edu.tw</v>
      </c>
      <c r="E442" s="17" t="str">
        <f>IFERROR(__xludf.DUMMYFUNCTION("""COMPUTED_VALUE"""),"基隆市安樂區武崙國民小學")</f>
        <v>基隆市安樂區武崙國民小學</v>
      </c>
      <c r="F442" s="14" t="str">
        <f>IFERROR(__xludf.DUMMYFUNCTION("""COMPUTED_VALUE"""),"六年級")</f>
        <v>六年級</v>
      </c>
      <c r="G442" s="14" t="str">
        <f>IFERROR(__xludf.DUMMYFUNCTION("""COMPUTED_VALUE"""),"●小禮物")</f>
        <v>●小禮物</v>
      </c>
      <c r="H442" s="8"/>
    </row>
    <row r="443">
      <c r="A443" s="18"/>
      <c r="B443" s="14">
        <f>IFERROR(__xludf.DUMMYFUNCTION("""COMPUTED_VALUE"""),812168.0)</f>
        <v>812168</v>
      </c>
      <c r="C443" s="14" t="str">
        <f>IFERROR(__xludf.DUMMYFUNCTION("""COMPUTED_VALUE"""),"潘楷叡")</f>
        <v>潘楷叡</v>
      </c>
      <c r="D443" s="16" t="str">
        <f>IFERROR(__xludf.DUMMYFUNCTION("""COMPUTED_VALUE"""),"s10*****wlps.kl.edu.tw")</f>
        <v>s10*****wlps.kl.edu.tw</v>
      </c>
      <c r="E443" s="17" t="str">
        <f>IFERROR(__xludf.DUMMYFUNCTION("""COMPUTED_VALUE"""),"基隆市安樂區武崙國民小學")</f>
        <v>基隆市安樂區武崙國民小學</v>
      </c>
      <c r="F443" s="14" t="str">
        <f>IFERROR(__xludf.DUMMYFUNCTION("""COMPUTED_VALUE"""),"六年級")</f>
        <v>六年級</v>
      </c>
      <c r="G443" s="14" t="str">
        <f>IFERROR(__xludf.DUMMYFUNCTION("""COMPUTED_VALUE"""),"●小禮物")</f>
        <v>●小禮物</v>
      </c>
      <c r="H443" s="8"/>
    </row>
    <row r="444">
      <c r="A444" s="18"/>
      <c r="B444" s="14">
        <f>IFERROR(__xludf.DUMMYFUNCTION("""COMPUTED_VALUE"""),421022.0)</f>
        <v>421022</v>
      </c>
      <c r="C444" s="14" t="str">
        <f>IFERROR(__xludf.DUMMYFUNCTION("""COMPUTED_VALUE"""),"張祐謀")</f>
        <v>張祐謀</v>
      </c>
      <c r="D444" s="16" t="str">
        <f>IFERROR(__xludf.DUMMYFUNCTION("""COMPUTED_VALUE"""),"s10*****wlps.kl.edu.tw")</f>
        <v>s10*****wlps.kl.edu.tw</v>
      </c>
      <c r="E444" s="17" t="str">
        <f>IFERROR(__xludf.DUMMYFUNCTION("""COMPUTED_VALUE"""),"基隆市安樂區武崙國民小學")</f>
        <v>基隆市安樂區武崙國民小學</v>
      </c>
      <c r="F444" s="14" t="str">
        <f>IFERROR(__xludf.DUMMYFUNCTION("""COMPUTED_VALUE"""),"六年級")</f>
        <v>六年級</v>
      </c>
      <c r="G444" s="14" t="str">
        <f>IFERROR(__xludf.DUMMYFUNCTION("""COMPUTED_VALUE"""),"獎狀")</f>
        <v>獎狀</v>
      </c>
      <c r="H444" s="8"/>
    </row>
    <row r="445">
      <c r="A445" s="18"/>
      <c r="B445" s="14">
        <f>IFERROR(__xludf.DUMMYFUNCTION("""COMPUTED_VALUE"""),768313.0)</f>
        <v>768313</v>
      </c>
      <c r="C445" s="14" t="str">
        <f>IFERROR(__xludf.DUMMYFUNCTION("""COMPUTED_VALUE"""),"游和霖")</f>
        <v>游和霖</v>
      </c>
      <c r="D445" s="16" t="str">
        <f>IFERROR(__xludf.DUMMYFUNCTION("""COMPUTED_VALUE"""),"s10*****wlps.kl.edu.tw")</f>
        <v>s10*****wlps.kl.edu.tw</v>
      </c>
      <c r="E445" s="17" t="str">
        <f>IFERROR(__xludf.DUMMYFUNCTION("""COMPUTED_VALUE"""),"基隆市安樂區武崙國民小學")</f>
        <v>基隆市安樂區武崙國民小學</v>
      </c>
      <c r="F445" s="14" t="str">
        <f>IFERROR(__xludf.DUMMYFUNCTION("""COMPUTED_VALUE"""),"六年級")</f>
        <v>六年級</v>
      </c>
      <c r="G445" s="14" t="str">
        <f>IFERROR(__xludf.DUMMYFUNCTION("""COMPUTED_VALUE"""),"獎狀")</f>
        <v>獎狀</v>
      </c>
      <c r="H445" s="8"/>
    </row>
    <row r="446">
      <c r="A446" s="18"/>
      <c r="B446" s="14">
        <f>IFERROR(__xludf.DUMMYFUNCTION("""COMPUTED_VALUE"""),425354.0)</f>
        <v>425354</v>
      </c>
      <c r="C446" s="14" t="str">
        <f>IFERROR(__xludf.DUMMYFUNCTION("""COMPUTED_VALUE"""),"高秉宏")</f>
        <v>高秉宏</v>
      </c>
      <c r="D446" s="16" t="str">
        <f>IFERROR(__xludf.DUMMYFUNCTION("""COMPUTED_VALUE"""),"s10*****wlps.kl.edu.tw")</f>
        <v>s10*****wlps.kl.edu.tw</v>
      </c>
      <c r="E446" s="17" t="str">
        <f>IFERROR(__xludf.DUMMYFUNCTION("""COMPUTED_VALUE"""),"基隆市安樂區武崙國民小學")</f>
        <v>基隆市安樂區武崙國民小學</v>
      </c>
      <c r="F446" s="14" t="str">
        <f>IFERROR(__xludf.DUMMYFUNCTION("""COMPUTED_VALUE"""),"六年級")</f>
        <v>六年級</v>
      </c>
      <c r="G446" s="14" t="str">
        <f>IFERROR(__xludf.DUMMYFUNCTION("""COMPUTED_VALUE"""),"●小禮物")</f>
        <v>●小禮物</v>
      </c>
      <c r="H446" s="8"/>
    </row>
    <row r="447">
      <c r="A447" s="18"/>
      <c r="B447" s="14">
        <f>IFERROR(__xludf.DUMMYFUNCTION("""COMPUTED_VALUE"""),812777.0)</f>
        <v>812777</v>
      </c>
      <c r="C447" s="14" t="str">
        <f>IFERROR(__xludf.DUMMYFUNCTION("""COMPUTED_VALUE"""),"陳定楷")</f>
        <v>陳定楷</v>
      </c>
      <c r="D447" s="16" t="str">
        <f>IFERROR(__xludf.DUMMYFUNCTION("""COMPUTED_VALUE"""),"s10*****wlps.kl.edu.tw")</f>
        <v>s10*****wlps.kl.edu.tw</v>
      </c>
      <c r="E447" s="17" t="str">
        <f>IFERROR(__xludf.DUMMYFUNCTION("""COMPUTED_VALUE"""),"基隆市安樂區武崙國民小學")</f>
        <v>基隆市安樂區武崙國民小學</v>
      </c>
      <c r="F447" s="14" t="str">
        <f>IFERROR(__xludf.DUMMYFUNCTION("""COMPUTED_VALUE"""),"六年級")</f>
        <v>六年級</v>
      </c>
      <c r="G447" s="14" t="str">
        <f>IFERROR(__xludf.DUMMYFUNCTION("""COMPUTED_VALUE"""),"★禮券$200")</f>
        <v>★禮券$200</v>
      </c>
      <c r="H447" s="8"/>
    </row>
    <row r="448">
      <c r="A448" s="18"/>
      <c r="B448" s="14">
        <f>IFERROR(__xludf.DUMMYFUNCTION("""COMPUTED_VALUE"""),812791.0)</f>
        <v>812791</v>
      </c>
      <c r="C448" s="14" t="str">
        <f>IFERROR(__xludf.DUMMYFUNCTION("""COMPUTED_VALUE"""),"吳柏勳")</f>
        <v>吳柏勳</v>
      </c>
      <c r="D448" s="16" t="str">
        <f>IFERROR(__xludf.DUMMYFUNCTION("""COMPUTED_VALUE"""),"s10*****wlps.kl.edu.tw")</f>
        <v>s10*****wlps.kl.edu.tw</v>
      </c>
      <c r="E448" s="17" t="str">
        <f>IFERROR(__xludf.DUMMYFUNCTION("""COMPUTED_VALUE"""),"基隆市安樂區武崙國民小學")</f>
        <v>基隆市安樂區武崙國民小學</v>
      </c>
      <c r="F448" s="14" t="str">
        <f>IFERROR(__xludf.DUMMYFUNCTION("""COMPUTED_VALUE"""),"六年級")</f>
        <v>六年級</v>
      </c>
      <c r="G448" s="14" t="str">
        <f>IFERROR(__xludf.DUMMYFUNCTION("""COMPUTED_VALUE"""),"獎狀")</f>
        <v>獎狀</v>
      </c>
      <c r="H448" s="8"/>
    </row>
    <row r="449">
      <c r="A449" s="18"/>
      <c r="B449" s="14">
        <f>IFERROR(__xludf.DUMMYFUNCTION("""COMPUTED_VALUE"""),240644.0)</f>
        <v>240644</v>
      </c>
      <c r="C449" s="14" t="str">
        <f>IFERROR(__xludf.DUMMYFUNCTION("""COMPUTED_VALUE"""),"李芷蕾")</f>
        <v>李芷蕾</v>
      </c>
      <c r="D449" s="16" t="str">
        <f>IFERROR(__xludf.DUMMYFUNCTION("""COMPUTED_VALUE"""),"ljj*****429@gmail.com")</f>
        <v>ljj*****429@gmail.com</v>
      </c>
      <c r="E449" s="17" t="str">
        <f>IFERROR(__xludf.DUMMYFUNCTION("""COMPUTED_VALUE"""),"基隆市安樂區武崙國民小學")</f>
        <v>基隆市安樂區武崙國民小學</v>
      </c>
      <c r="F449" s="14" t="str">
        <f>IFERROR(__xludf.DUMMYFUNCTION("""COMPUTED_VALUE"""),"六年級")</f>
        <v>六年級</v>
      </c>
      <c r="G449" s="14" t="str">
        <f>IFERROR(__xludf.DUMMYFUNCTION("""COMPUTED_VALUE"""),"獎狀")</f>
        <v>獎狀</v>
      </c>
      <c r="H449" s="8"/>
    </row>
    <row r="450">
      <c r="A450" s="18"/>
      <c r="B450" s="14">
        <f>IFERROR(__xludf.DUMMYFUNCTION("""COMPUTED_VALUE"""),812796.0)</f>
        <v>812796</v>
      </c>
      <c r="C450" s="14" t="str">
        <f>IFERROR(__xludf.DUMMYFUNCTION("""COMPUTED_VALUE"""),"唐瑜薇")</f>
        <v>唐瑜薇</v>
      </c>
      <c r="D450" s="16" t="str">
        <f>IFERROR(__xludf.DUMMYFUNCTION("""COMPUTED_VALUE"""),"s10*****wlps.kl.edu.tw")</f>
        <v>s10*****wlps.kl.edu.tw</v>
      </c>
      <c r="E450" s="17" t="str">
        <f>IFERROR(__xludf.DUMMYFUNCTION("""COMPUTED_VALUE"""),"基隆市安樂區武崙國民小學")</f>
        <v>基隆市安樂區武崙國民小學</v>
      </c>
      <c r="F450" s="14" t="str">
        <f>IFERROR(__xludf.DUMMYFUNCTION("""COMPUTED_VALUE"""),"六年級")</f>
        <v>六年級</v>
      </c>
      <c r="G450" s="14" t="str">
        <f>IFERROR(__xludf.DUMMYFUNCTION("""COMPUTED_VALUE"""),"獎狀")</f>
        <v>獎狀</v>
      </c>
      <c r="H450" s="8"/>
    </row>
    <row r="451">
      <c r="A451" s="18"/>
      <c r="B451" s="14">
        <f>IFERROR(__xludf.DUMMYFUNCTION("""COMPUTED_VALUE"""),404792.0)</f>
        <v>404792</v>
      </c>
      <c r="C451" s="14" t="str">
        <f>IFERROR(__xludf.DUMMYFUNCTION("""COMPUTED_VALUE"""),"許辰佑")</f>
        <v>許辰佑</v>
      </c>
      <c r="D451" s="16" t="str">
        <f>IFERROR(__xludf.DUMMYFUNCTION("""COMPUTED_VALUE"""),"s10*****wlps.kl.edu.tw")</f>
        <v>s10*****wlps.kl.edu.tw</v>
      </c>
      <c r="E451" s="17" t="str">
        <f>IFERROR(__xludf.DUMMYFUNCTION("""COMPUTED_VALUE"""),"基隆市安樂區武崙國民小學")</f>
        <v>基隆市安樂區武崙國民小學</v>
      </c>
      <c r="F451" s="14" t="str">
        <f>IFERROR(__xludf.DUMMYFUNCTION("""COMPUTED_VALUE"""),"六年級")</f>
        <v>六年級</v>
      </c>
      <c r="G451" s="14" t="str">
        <f>IFERROR(__xludf.DUMMYFUNCTION("""COMPUTED_VALUE"""),"獎狀")</f>
        <v>獎狀</v>
      </c>
      <c r="H451" s="8"/>
    </row>
    <row r="452">
      <c r="A452" s="18"/>
      <c r="B452" s="14">
        <f>IFERROR(__xludf.DUMMYFUNCTION("""COMPUTED_VALUE"""),812776.0)</f>
        <v>812776</v>
      </c>
      <c r="C452" s="14" t="str">
        <f>IFERROR(__xludf.DUMMYFUNCTION("""COMPUTED_VALUE"""),"陳怡姗")</f>
        <v>陳怡姗</v>
      </c>
      <c r="D452" s="16" t="str">
        <f>IFERROR(__xludf.DUMMYFUNCTION("""COMPUTED_VALUE"""),"s10*****wlps.kl.edu.tw")</f>
        <v>s10*****wlps.kl.edu.tw</v>
      </c>
      <c r="E452" s="17" t="str">
        <f>IFERROR(__xludf.DUMMYFUNCTION("""COMPUTED_VALUE"""),"基隆市安樂區武崙國民小學")</f>
        <v>基隆市安樂區武崙國民小學</v>
      </c>
      <c r="F452" s="14" t="str">
        <f>IFERROR(__xludf.DUMMYFUNCTION("""COMPUTED_VALUE"""),"六年級")</f>
        <v>六年級</v>
      </c>
      <c r="G452" s="14" t="str">
        <f>IFERROR(__xludf.DUMMYFUNCTION("""COMPUTED_VALUE"""),"獎狀")</f>
        <v>獎狀</v>
      </c>
      <c r="H452" s="8"/>
    </row>
    <row r="453">
      <c r="A453" s="18"/>
      <c r="B453" s="14">
        <f>IFERROR(__xludf.DUMMYFUNCTION("""COMPUTED_VALUE"""),427661.0)</f>
        <v>427661</v>
      </c>
      <c r="C453" s="14" t="str">
        <f>IFERROR(__xludf.DUMMYFUNCTION("""COMPUTED_VALUE"""),"溫子驊")</f>
        <v>溫子驊</v>
      </c>
      <c r="D453" s="16" t="str">
        <f>IFERROR(__xludf.DUMMYFUNCTION("""COMPUTED_VALUE"""),"s10*****wlps.kl.edu.tw")</f>
        <v>s10*****wlps.kl.edu.tw</v>
      </c>
      <c r="E453" s="17" t="str">
        <f>IFERROR(__xludf.DUMMYFUNCTION("""COMPUTED_VALUE"""),"基隆市安樂區武崙國民小學")</f>
        <v>基隆市安樂區武崙國民小學</v>
      </c>
      <c r="F453" s="14" t="str">
        <f>IFERROR(__xludf.DUMMYFUNCTION("""COMPUTED_VALUE"""),"六年級")</f>
        <v>六年級</v>
      </c>
      <c r="G453" s="14" t="str">
        <f>IFERROR(__xludf.DUMMYFUNCTION("""COMPUTED_VALUE"""),"獎狀")</f>
        <v>獎狀</v>
      </c>
      <c r="H453" s="8"/>
    </row>
    <row r="454">
      <c r="A454" s="18"/>
      <c r="B454" s="14">
        <f>IFERROR(__xludf.DUMMYFUNCTION("""COMPUTED_VALUE"""),812250.0)</f>
        <v>812250</v>
      </c>
      <c r="C454" s="14" t="str">
        <f>IFERROR(__xludf.DUMMYFUNCTION("""COMPUTED_VALUE"""),"闕亨儕")</f>
        <v>闕亨儕</v>
      </c>
      <c r="D454" s="16" t="str">
        <f>IFERROR(__xludf.DUMMYFUNCTION("""COMPUTED_VALUE"""),"s10*****wlps.kl.edu.tw")</f>
        <v>s10*****wlps.kl.edu.tw</v>
      </c>
      <c r="E454" s="17" t="str">
        <f>IFERROR(__xludf.DUMMYFUNCTION("""COMPUTED_VALUE"""),"基隆市安樂區武崙國民小學")</f>
        <v>基隆市安樂區武崙國民小學</v>
      </c>
      <c r="F454" s="14" t="str">
        <f>IFERROR(__xludf.DUMMYFUNCTION("""COMPUTED_VALUE"""),"六年級")</f>
        <v>六年級</v>
      </c>
      <c r="G454" s="14" t="str">
        <f>IFERROR(__xludf.DUMMYFUNCTION("""COMPUTED_VALUE"""),"●小禮物")</f>
        <v>●小禮物</v>
      </c>
      <c r="H454" s="8"/>
    </row>
    <row r="455">
      <c r="A455" s="18"/>
      <c r="B455" s="14">
        <f>IFERROR(__xludf.DUMMYFUNCTION("""COMPUTED_VALUE"""),812255.0)</f>
        <v>812255</v>
      </c>
      <c r="C455" s="14" t="str">
        <f>IFERROR(__xludf.DUMMYFUNCTION("""COMPUTED_VALUE"""),"黃畇潔")</f>
        <v>黃畇潔</v>
      </c>
      <c r="D455" s="16" t="str">
        <f>IFERROR(__xludf.DUMMYFUNCTION("""COMPUTED_VALUE"""),"s10*****wlps.kl.edu.tw")</f>
        <v>s10*****wlps.kl.edu.tw</v>
      </c>
      <c r="E455" s="17" t="str">
        <f>IFERROR(__xludf.DUMMYFUNCTION("""COMPUTED_VALUE"""),"基隆市安樂區武崙國民小學")</f>
        <v>基隆市安樂區武崙國民小學</v>
      </c>
      <c r="F455" s="14" t="str">
        <f>IFERROR(__xludf.DUMMYFUNCTION("""COMPUTED_VALUE"""),"六年級")</f>
        <v>六年級</v>
      </c>
      <c r="G455" s="14" t="str">
        <f>IFERROR(__xludf.DUMMYFUNCTION("""COMPUTED_VALUE"""),"獎狀")</f>
        <v>獎狀</v>
      </c>
      <c r="H455" s="8"/>
    </row>
    <row r="456">
      <c r="A456" s="18"/>
      <c r="B456" s="14">
        <f>IFERROR(__xludf.DUMMYFUNCTION("""COMPUTED_VALUE"""),411655.0)</f>
        <v>411655</v>
      </c>
      <c r="C456" s="14" t="str">
        <f>IFERROR(__xludf.DUMMYFUNCTION("""COMPUTED_VALUE"""),"劉宇晉")</f>
        <v>劉宇晉</v>
      </c>
      <c r="D456" s="16" t="str">
        <f>IFERROR(__xludf.DUMMYFUNCTION("""COMPUTED_VALUE"""),"s10*****wlps.kl.edu.tw")</f>
        <v>s10*****wlps.kl.edu.tw</v>
      </c>
      <c r="E456" s="17" t="str">
        <f>IFERROR(__xludf.DUMMYFUNCTION("""COMPUTED_VALUE"""),"基隆市安樂區武崙國民小學")</f>
        <v>基隆市安樂區武崙國民小學</v>
      </c>
      <c r="F456" s="14" t="str">
        <f>IFERROR(__xludf.DUMMYFUNCTION("""COMPUTED_VALUE"""),"六年級")</f>
        <v>六年級</v>
      </c>
      <c r="G456" s="14" t="str">
        <f>IFERROR(__xludf.DUMMYFUNCTION("""COMPUTED_VALUE"""),"獎狀")</f>
        <v>獎狀</v>
      </c>
      <c r="H456" s="8"/>
    </row>
    <row r="457">
      <c r="A457" s="18"/>
      <c r="B457" s="14">
        <f>IFERROR(__xludf.DUMMYFUNCTION("""COMPUTED_VALUE"""),423387.0)</f>
        <v>423387</v>
      </c>
      <c r="C457" s="14" t="str">
        <f>IFERROR(__xludf.DUMMYFUNCTION("""COMPUTED_VALUE"""),"蘇子軒")</f>
        <v>蘇子軒</v>
      </c>
      <c r="D457" s="16" t="str">
        <f>IFERROR(__xludf.DUMMYFUNCTION("""COMPUTED_VALUE"""),"s10*****wlps.kl.edu.tw")</f>
        <v>s10*****wlps.kl.edu.tw</v>
      </c>
      <c r="E457" s="17" t="str">
        <f>IFERROR(__xludf.DUMMYFUNCTION("""COMPUTED_VALUE"""),"基隆市安樂區武崙國民小學")</f>
        <v>基隆市安樂區武崙國民小學</v>
      </c>
      <c r="F457" s="14" t="str">
        <f>IFERROR(__xludf.DUMMYFUNCTION("""COMPUTED_VALUE"""),"六年級")</f>
        <v>六年級</v>
      </c>
      <c r="G457" s="14" t="str">
        <f>IFERROR(__xludf.DUMMYFUNCTION("""COMPUTED_VALUE"""),"獎狀")</f>
        <v>獎狀</v>
      </c>
      <c r="H457" s="8"/>
    </row>
    <row r="458">
      <c r="A458" s="18"/>
      <c r="B458" s="14">
        <f>IFERROR(__xludf.DUMMYFUNCTION("""COMPUTED_VALUE"""),812366.0)</f>
        <v>812366</v>
      </c>
      <c r="C458" s="14" t="str">
        <f>IFERROR(__xludf.DUMMYFUNCTION("""COMPUTED_VALUE"""),"呂倢儀")</f>
        <v>呂倢儀</v>
      </c>
      <c r="D458" s="16" t="str">
        <f>IFERROR(__xludf.DUMMYFUNCTION("""COMPUTED_VALUE"""),"s10*****wlps.kl.edu.tw")</f>
        <v>s10*****wlps.kl.edu.tw</v>
      </c>
      <c r="E458" s="17" t="str">
        <f>IFERROR(__xludf.DUMMYFUNCTION("""COMPUTED_VALUE"""),"基隆市安樂區武崙國民小學")</f>
        <v>基隆市安樂區武崙國民小學</v>
      </c>
      <c r="F458" s="14" t="str">
        <f>IFERROR(__xludf.DUMMYFUNCTION("""COMPUTED_VALUE"""),"六年級")</f>
        <v>六年級</v>
      </c>
      <c r="G458" s="14" t="str">
        <f>IFERROR(__xludf.DUMMYFUNCTION("""COMPUTED_VALUE"""),"獎狀")</f>
        <v>獎狀</v>
      </c>
      <c r="H458" s="8"/>
    </row>
    <row r="459">
      <c r="A459" s="18"/>
      <c r="B459" s="14">
        <f>IFERROR(__xludf.DUMMYFUNCTION("""COMPUTED_VALUE"""),421475.0)</f>
        <v>421475</v>
      </c>
      <c r="C459" s="14" t="str">
        <f>IFERROR(__xludf.DUMMYFUNCTION("""COMPUTED_VALUE"""),"陳映霖")</f>
        <v>陳映霖</v>
      </c>
      <c r="D459" s="16" t="str">
        <f>IFERROR(__xludf.DUMMYFUNCTION("""COMPUTED_VALUE"""),"s10*****wlps.kl.edu.tw")</f>
        <v>s10*****wlps.kl.edu.tw</v>
      </c>
      <c r="E459" s="17" t="str">
        <f>IFERROR(__xludf.DUMMYFUNCTION("""COMPUTED_VALUE"""),"基隆市安樂區武崙國民小學")</f>
        <v>基隆市安樂區武崙國民小學</v>
      </c>
      <c r="F459" s="14" t="str">
        <f>IFERROR(__xludf.DUMMYFUNCTION("""COMPUTED_VALUE"""),"六年級")</f>
        <v>六年級</v>
      </c>
      <c r="G459" s="14" t="str">
        <f>IFERROR(__xludf.DUMMYFUNCTION("""COMPUTED_VALUE"""),"獎狀")</f>
        <v>獎狀</v>
      </c>
      <c r="H459" s="8"/>
    </row>
    <row r="460">
      <c r="A460" s="18"/>
      <c r="B460" s="14">
        <f>IFERROR(__xludf.DUMMYFUNCTION("""COMPUTED_VALUE"""),540269.0)</f>
        <v>540269</v>
      </c>
      <c r="C460" s="14" t="str">
        <f>IFERROR(__xludf.DUMMYFUNCTION("""COMPUTED_VALUE"""),"林承緯")</f>
        <v>林承緯</v>
      </c>
      <c r="D460" s="16" t="str">
        <f>IFERROR(__xludf.DUMMYFUNCTION("""COMPUTED_VALUE"""),"s10*****wlps.kl.edu.tw")</f>
        <v>s10*****wlps.kl.edu.tw</v>
      </c>
      <c r="E460" s="17" t="str">
        <f>IFERROR(__xludf.DUMMYFUNCTION("""COMPUTED_VALUE"""),"基隆市安樂區武崙國民小學")</f>
        <v>基隆市安樂區武崙國民小學</v>
      </c>
      <c r="F460" s="14" t="str">
        <f>IFERROR(__xludf.DUMMYFUNCTION("""COMPUTED_VALUE"""),"六年級")</f>
        <v>六年級</v>
      </c>
      <c r="G460" s="14" t="str">
        <f>IFERROR(__xludf.DUMMYFUNCTION("""COMPUTED_VALUE"""),"獎狀")</f>
        <v>獎狀</v>
      </c>
      <c r="H460" s="8"/>
    </row>
    <row r="461">
      <c r="A461" s="18"/>
      <c r="B461" s="14">
        <f>IFERROR(__xludf.DUMMYFUNCTION("""COMPUTED_VALUE"""),388610.0)</f>
        <v>388610</v>
      </c>
      <c r="C461" s="14" t="str">
        <f>IFERROR(__xludf.DUMMYFUNCTION("""COMPUTED_VALUE"""),"何翊語")</f>
        <v>何翊語</v>
      </c>
      <c r="D461" s="16" t="str">
        <f>IFERROR(__xludf.DUMMYFUNCTION("""COMPUTED_VALUE"""),"682*****in.org")</f>
        <v>682*****in.org</v>
      </c>
      <c r="E461" s="17" t="str">
        <f>IFERROR(__xludf.DUMMYFUNCTION("""COMPUTED_VALUE"""),"二信學校財團法人基隆市二信高級中學附設國小部")</f>
        <v>二信學校財團法人基隆市二信高級中學附設國小部</v>
      </c>
      <c r="F461" s="14" t="str">
        <f>IFERROR(__xludf.DUMMYFUNCTION("""COMPUTED_VALUE"""),"六年級")</f>
        <v>六年級</v>
      </c>
      <c r="G461" s="14" t="str">
        <f>IFERROR(__xludf.DUMMYFUNCTION("""COMPUTED_VALUE"""),"●小禮物")</f>
        <v>●小禮物</v>
      </c>
      <c r="H461" s="8"/>
    </row>
    <row r="462">
      <c r="A462" s="18"/>
      <c r="B462" s="14">
        <f>IFERROR(__xludf.DUMMYFUNCTION("""COMPUTED_VALUE"""),246587.0)</f>
        <v>246587</v>
      </c>
      <c r="C462" s="14" t="str">
        <f>IFERROR(__xludf.DUMMYFUNCTION("""COMPUTED_VALUE"""),"李采豫")</f>
        <v>李采豫</v>
      </c>
      <c r="D462" s="16" t="str">
        <f>IFERROR(__xludf.DUMMYFUNCTION("""COMPUTED_VALUE"""),"680*****in.org")</f>
        <v>680*****in.org</v>
      </c>
      <c r="E462" s="17" t="str">
        <f>IFERROR(__xludf.DUMMYFUNCTION("""COMPUTED_VALUE"""),"二信學校財團法人基隆市二信高級中學附設國小部")</f>
        <v>二信學校財團法人基隆市二信高級中學附設國小部</v>
      </c>
      <c r="F462" s="14" t="str">
        <f>IFERROR(__xludf.DUMMYFUNCTION("""COMPUTED_VALUE"""),"六年級")</f>
        <v>六年級</v>
      </c>
      <c r="G462" s="14" t="str">
        <f>IFERROR(__xludf.DUMMYFUNCTION("""COMPUTED_VALUE"""),"獎狀")</f>
        <v>獎狀</v>
      </c>
      <c r="H462" s="8"/>
    </row>
    <row r="463">
      <c r="A463" s="18"/>
      <c r="B463" s="14">
        <f>IFERROR(__xludf.DUMMYFUNCTION("""COMPUTED_VALUE"""),314348.0)</f>
        <v>314348</v>
      </c>
      <c r="C463" s="14" t="str">
        <f>IFERROR(__xludf.DUMMYFUNCTION("""COMPUTED_VALUE"""),"賴岵葦")</f>
        <v>賴岵葦</v>
      </c>
      <c r="D463" s="16" t="str">
        <f>IFERROR(__xludf.DUMMYFUNCTION("""COMPUTED_VALUE"""),"sc8*****l@mail.edu.tw")</f>
        <v>sc8*****l@mail.edu.tw</v>
      </c>
      <c r="E463" s="17" t="str">
        <f>IFERROR(__xludf.DUMMYFUNCTION("""COMPUTED_VALUE"""),"基隆市暖暖區暖暖國民小學")</f>
        <v>基隆市暖暖區暖暖國民小學</v>
      </c>
      <c r="F463" s="14" t="str">
        <f>IFERROR(__xludf.DUMMYFUNCTION("""COMPUTED_VALUE"""),"六年級")</f>
        <v>六年級</v>
      </c>
      <c r="G463" s="14" t="str">
        <f>IFERROR(__xludf.DUMMYFUNCTION("""COMPUTED_VALUE"""),"●小禮物")</f>
        <v>●小禮物</v>
      </c>
      <c r="H463" s="8"/>
    </row>
    <row r="464">
      <c r="A464" s="18"/>
      <c r="B464" s="14">
        <f>IFERROR(__xludf.DUMMYFUNCTION("""COMPUTED_VALUE"""),1174764.0)</f>
        <v>1174764</v>
      </c>
      <c r="C464" s="14" t="str">
        <f>IFERROR(__xludf.DUMMYFUNCTION("""COMPUTED_VALUE"""),"陳柏瑜")</f>
        <v>陳柏瑜</v>
      </c>
      <c r="D464" s="16" t="str">
        <f>IFERROR(__xludf.DUMMYFUNCTION("""COMPUTED_VALUE"""),"pho*****velanlan@gmail.com")</f>
        <v>pho*****velanlan@gmail.com</v>
      </c>
      <c r="E464" s="17" t="str">
        <f>IFERROR(__xludf.DUMMYFUNCTION("""COMPUTED_VALUE"""),"基隆市暖暖區碇內國民小學")</f>
        <v>基隆市暖暖區碇內國民小學</v>
      </c>
      <c r="F464" s="14" t="str">
        <f>IFERROR(__xludf.DUMMYFUNCTION("""COMPUTED_VALUE"""),"四年級")</f>
        <v>四年級</v>
      </c>
      <c r="G464" s="14" t="str">
        <f>IFERROR(__xludf.DUMMYFUNCTION("""COMPUTED_VALUE"""),"●小禮物")</f>
        <v>●小禮物</v>
      </c>
      <c r="H464" s="8"/>
    </row>
    <row r="465">
      <c r="A465" s="18"/>
      <c r="B465" s="14">
        <f>IFERROR(__xludf.DUMMYFUNCTION("""COMPUTED_VALUE"""),368673.0)</f>
        <v>368673</v>
      </c>
      <c r="C465" s="14" t="str">
        <f>IFERROR(__xludf.DUMMYFUNCTION("""COMPUTED_VALUE"""),"謝天")</f>
        <v>謝天</v>
      </c>
      <c r="D465" s="16" t="str">
        <f>IFERROR(__xludf.DUMMYFUNCTION("""COMPUTED_VALUE"""),"se8*****m.kl.edu.tw")</f>
        <v>se8*****m.kl.edu.tw</v>
      </c>
      <c r="E465" s="17" t="str">
        <f>IFERROR(__xludf.DUMMYFUNCTION("""COMPUTED_VALUE"""),"基隆市暖暖區暖江國民小學")</f>
        <v>基隆市暖暖區暖江國民小學</v>
      </c>
      <c r="F465" s="14" t="str">
        <f>IFERROR(__xludf.DUMMYFUNCTION("""COMPUTED_VALUE"""),"三年級")</f>
        <v>三年級</v>
      </c>
      <c r="G465" s="14" t="str">
        <f>IFERROR(__xludf.DUMMYFUNCTION("""COMPUTED_VALUE"""),"●小禮物")</f>
        <v>●小禮物</v>
      </c>
      <c r="H465" s="8"/>
    </row>
    <row r="466">
      <c r="A466" s="18"/>
      <c r="B466" s="14">
        <f>IFERROR(__xludf.DUMMYFUNCTION("""COMPUTED_VALUE"""),531153.0)</f>
        <v>531153</v>
      </c>
      <c r="C466" s="14" t="str">
        <f>IFERROR(__xludf.DUMMYFUNCTION("""COMPUTED_VALUE"""),"江永正")</f>
        <v>江永正</v>
      </c>
      <c r="D466" s="16" t="str">
        <f>IFERROR(__xludf.DUMMYFUNCTION("""COMPUTED_VALUE"""),"sd9*****m.kl.edu.tw")</f>
        <v>sd9*****m.kl.edu.tw</v>
      </c>
      <c r="E466" s="17" t="str">
        <f>IFERROR(__xludf.DUMMYFUNCTION("""COMPUTED_VALUE"""),"基隆市暖暖區暖江國民小學")</f>
        <v>基隆市暖暖區暖江國民小學</v>
      </c>
      <c r="F466" s="14" t="str">
        <f>IFERROR(__xludf.DUMMYFUNCTION("""COMPUTED_VALUE"""),"五年級")</f>
        <v>五年級</v>
      </c>
      <c r="G466" s="14" t="str">
        <f>IFERROR(__xludf.DUMMYFUNCTION("""COMPUTED_VALUE"""),"●小禮物")</f>
        <v>●小禮物</v>
      </c>
      <c r="H466" s="8"/>
    </row>
    <row r="467">
      <c r="A467" s="18"/>
      <c r="B467" s="14">
        <f>IFERROR(__xludf.DUMMYFUNCTION("""COMPUTED_VALUE"""),531160.0)</f>
        <v>531160</v>
      </c>
      <c r="C467" s="14" t="str">
        <f>IFERROR(__xludf.DUMMYFUNCTION("""COMPUTED_VALUE"""),"凌于涵")</f>
        <v>凌于涵</v>
      </c>
      <c r="D467" s="16" t="str">
        <f>IFERROR(__xludf.DUMMYFUNCTION("""COMPUTED_VALUE"""),"sc0*****m.kl.edu.tw")</f>
        <v>sc0*****m.kl.edu.tw</v>
      </c>
      <c r="E467" s="17" t="str">
        <f>IFERROR(__xludf.DUMMYFUNCTION("""COMPUTED_VALUE"""),"基隆市暖暖區暖江國民小學")</f>
        <v>基隆市暖暖區暖江國民小學</v>
      </c>
      <c r="F467" s="14" t="str">
        <f>IFERROR(__xludf.DUMMYFUNCTION("""COMPUTED_VALUE"""),"五年級")</f>
        <v>五年級</v>
      </c>
      <c r="G467" s="14" t="str">
        <f>IFERROR(__xludf.DUMMYFUNCTION("""COMPUTED_VALUE"""),"●小禮物")</f>
        <v>●小禮物</v>
      </c>
      <c r="H467" s="8"/>
    </row>
    <row r="468">
      <c r="A468" s="18"/>
      <c r="B468" s="14">
        <f>IFERROR(__xludf.DUMMYFUNCTION("""COMPUTED_VALUE"""),531164.0)</f>
        <v>531164</v>
      </c>
      <c r="C468" s="14" t="str">
        <f>IFERROR(__xludf.DUMMYFUNCTION("""COMPUTED_VALUE"""),"翁懿潔")</f>
        <v>翁懿潔</v>
      </c>
      <c r="D468" s="16" t="str">
        <f>IFERROR(__xludf.DUMMYFUNCTION("""COMPUTED_VALUE"""),"sc5*****m.kl.edu.tw")</f>
        <v>sc5*****m.kl.edu.tw</v>
      </c>
      <c r="E468" s="17" t="str">
        <f>IFERROR(__xludf.DUMMYFUNCTION("""COMPUTED_VALUE"""),"基隆市暖暖區暖江國民小學")</f>
        <v>基隆市暖暖區暖江國民小學</v>
      </c>
      <c r="F468" s="14" t="str">
        <f>IFERROR(__xludf.DUMMYFUNCTION("""COMPUTED_VALUE"""),"五年級")</f>
        <v>五年級</v>
      </c>
      <c r="G468" s="14" t="str">
        <f>IFERROR(__xludf.DUMMYFUNCTION("""COMPUTED_VALUE"""),"●小禮物")</f>
        <v>●小禮物</v>
      </c>
      <c r="H468" s="8"/>
    </row>
    <row r="469">
      <c r="A469" s="18"/>
      <c r="B469" s="14">
        <f>IFERROR(__xludf.DUMMYFUNCTION("""COMPUTED_VALUE"""),531159.0)</f>
        <v>531159</v>
      </c>
      <c r="C469" s="14" t="str">
        <f>IFERROR(__xludf.DUMMYFUNCTION("""COMPUTED_VALUE"""),"郭昊承")</f>
        <v>郭昊承</v>
      </c>
      <c r="D469" s="16" t="str">
        <f>IFERROR(__xludf.DUMMYFUNCTION("""COMPUTED_VALUE"""),"sb3*****m.kl.edu.tw")</f>
        <v>sb3*****m.kl.edu.tw</v>
      </c>
      <c r="E469" s="17" t="str">
        <f>IFERROR(__xludf.DUMMYFUNCTION("""COMPUTED_VALUE"""),"基隆市暖暖區暖江國民小學")</f>
        <v>基隆市暖暖區暖江國民小學</v>
      </c>
      <c r="F469" s="14" t="str">
        <f>IFERROR(__xludf.DUMMYFUNCTION("""COMPUTED_VALUE"""),"五年級")</f>
        <v>五年級</v>
      </c>
      <c r="G469" s="14" t="str">
        <f>IFERROR(__xludf.DUMMYFUNCTION("""COMPUTED_VALUE"""),"●小禮物")</f>
        <v>●小禮物</v>
      </c>
      <c r="H469" s="8"/>
    </row>
    <row r="470">
      <c r="A470" s="18"/>
      <c r="B470" s="14">
        <f>IFERROR(__xludf.DUMMYFUNCTION("""COMPUTED_VALUE"""),604908.0)</f>
        <v>604908</v>
      </c>
      <c r="C470" s="14" t="str">
        <f>IFERROR(__xludf.DUMMYFUNCTION("""COMPUTED_VALUE"""),"陳依儀")</f>
        <v>陳依儀</v>
      </c>
      <c r="D470" s="16" t="str">
        <f>IFERROR(__xludf.DUMMYFUNCTION("""COMPUTED_VALUE"""),"sb4*****m.kl.edu.tw")</f>
        <v>sb4*****m.kl.edu.tw</v>
      </c>
      <c r="E470" s="17" t="str">
        <f>IFERROR(__xludf.DUMMYFUNCTION("""COMPUTED_VALUE"""),"基隆市暖暖區暖江國民小學")</f>
        <v>基隆市暖暖區暖江國民小學</v>
      </c>
      <c r="F470" s="14" t="str">
        <f>IFERROR(__xludf.DUMMYFUNCTION("""COMPUTED_VALUE"""),"五年級")</f>
        <v>五年級</v>
      </c>
      <c r="G470" s="14" t="str">
        <f>IFERROR(__xludf.DUMMYFUNCTION("""COMPUTED_VALUE"""),"●小禮物")</f>
        <v>●小禮物</v>
      </c>
      <c r="H470" s="8"/>
    </row>
    <row r="471">
      <c r="A471" s="18"/>
      <c r="B471" s="14">
        <f>IFERROR(__xludf.DUMMYFUNCTION("""COMPUTED_VALUE"""),531152.0)</f>
        <v>531152</v>
      </c>
      <c r="C471" s="14" t="str">
        <f>IFERROR(__xludf.DUMMYFUNCTION("""COMPUTED_VALUE"""),"黃宥斌")</f>
        <v>黃宥斌</v>
      </c>
      <c r="D471" s="16" t="str">
        <f>IFERROR(__xludf.DUMMYFUNCTION("""COMPUTED_VALUE"""),"se2*****m.kl.edu.tw")</f>
        <v>se2*****m.kl.edu.tw</v>
      </c>
      <c r="E471" s="17" t="str">
        <f>IFERROR(__xludf.DUMMYFUNCTION("""COMPUTED_VALUE"""),"基隆市暖暖區暖江國民小學")</f>
        <v>基隆市暖暖區暖江國民小學</v>
      </c>
      <c r="F471" s="14" t="str">
        <f>IFERROR(__xludf.DUMMYFUNCTION("""COMPUTED_VALUE"""),"五年級")</f>
        <v>五年級</v>
      </c>
      <c r="G471" s="14" t="str">
        <f>IFERROR(__xludf.DUMMYFUNCTION("""COMPUTED_VALUE"""),"●小禮物")</f>
        <v>●小禮物</v>
      </c>
      <c r="H471" s="8"/>
    </row>
    <row r="472">
      <c r="A472" s="18"/>
      <c r="B472" s="14">
        <f>IFERROR(__xludf.DUMMYFUNCTION("""COMPUTED_VALUE"""),531163.0)</f>
        <v>531163</v>
      </c>
      <c r="C472" s="14" t="str">
        <f>IFERROR(__xludf.DUMMYFUNCTION("""COMPUTED_VALUE"""),"塗茗婷")</f>
        <v>塗茗婷</v>
      </c>
      <c r="D472" s="16" t="str">
        <f>IFERROR(__xludf.DUMMYFUNCTION("""COMPUTED_VALUE"""),"se5*****m.kl.edu.tw")</f>
        <v>se5*****m.kl.edu.tw</v>
      </c>
      <c r="E472" s="17" t="str">
        <f>IFERROR(__xludf.DUMMYFUNCTION("""COMPUTED_VALUE"""),"基隆市暖暖區暖江國民小學")</f>
        <v>基隆市暖暖區暖江國民小學</v>
      </c>
      <c r="F472" s="14" t="str">
        <f>IFERROR(__xludf.DUMMYFUNCTION("""COMPUTED_VALUE"""),"五年級")</f>
        <v>五年級</v>
      </c>
      <c r="G472" s="14" t="str">
        <f>IFERROR(__xludf.DUMMYFUNCTION("""COMPUTED_VALUE"""),"●小禮物")</f>
        <v>●小禮物</v>
      </c>
      <c r="H472" s="8"/>
    </row>
    <row r="473">
      <c r="A473" s="18"/>
      <c r="B473" s="14">
        <f>IFERROR(__xludf.DUMMYFUNCTION("""COMPUTED_VALUE"""),531155.0)</f>
        <v>531155</v>
      </c>
      <c r="C473" s="14" t="str">
        <f>IFERROR(__xludf.DUMMYFUNCTION("""COMPUTED_VALUE"""),"戴永洋")</f>
        <v>戴永洋</v>
      </c>
      <c r="D473" s="16" t="str">
        <f>IFERROR(__xludf.DUMMYFUNCTION("""COMPUTED_VALUE"""),"sf6*****m.kl.edu.tw")</f>
        <v>sf6*****m.kl.edu.tw</v>
      </c>
      <c r="E473" s="17" t="str">
        <f>IFERROR(__xludf.DUMMYFUNCTION("""COMPUTED_VALUE"""),"基隆市暖暖區暖江國民小學")</f>
        <v>基隆市暖暖區暖江國民小學</v>
      </c>
      <c r="F473" s="14" t="str">
        <f>IFERROR(__xludf.DUMMYFUNCTION("""COMPUTED_VALUE"""),"五年級")</f>
        <v>五年級</v>
      </c>
      <c r="G473" s="14" t="str">
        <f>IFERROR(__xludf.DUMMYFUNCTION("""COMPUTED_VALUE"""),"●小禮物")</f>
        <v>●小禮物</v>
      </c>
      <c r="H473" s="8"/>
    </row>
    <row r="474">
      <c r="A474" s="18"/>
      <c r="B474" s="14">
        <f>IFERROR(__xludf.DUMMYFUNCTION("""COMPUTED_VALUE"""),531162.0)</f>
        <v>531162</v>
      </c>
      <c r="C474" s="14" t="str">
        <f>IFERROR(__xludf.DUMMYFUNCTION("""COMPUTED_VALUE"""),"鐘以涵")</f>
        <v>鐘以涵</v>
      </c>
      <c r="D474" s="16" t="str">
        <f>IFERROR(__xludf.DUMMYFUNCTION("""COMPUTED_VALUE"""),"sc6*****m.kl.edu.tw")</f>
        <v>sc6*****m.kl.edu.tw</v>
      </c>
      <c r="E474" s="17" t="str">
        <f>IFERROR(__xludf.DUMMYFUNCTION("""COMPUTED_VALUE"""),"基隆市暖暖區暖江國民小學")</f>
        <v>基隆市暖暖區暖江國民小學</v>
      </c>
      <c r="F474" s="14" t="str">
        <f>IFERROR(__xludf.DUMMYFUNCTION("""COMPUTED_VALUE"""),"五年級")</f>
        <v>五年級</v>
      </c>
      <c r="G474" s="14" t="str">
        <f>IFERROR(__xludf.DUMMYFUNCTION("""COMPUTED_VALUE"""),"★禮券$200")</f>
        <v>★禮券$200</v>
      </c>
      <c r="H474" s="8"/>
    </row>
    <row r="475">
      <c r="A475" s="18"/>
      <c r="B475" s="14">
        <f>IFERROR(__xludf.DUMMYFUNCTION("""COMPUTED_VALUE"""),531165.0)</f>
        <v>531165</v>
      </c>
      <c r="C475" s="14" t="str">
        <f>IFERROR(__xludf.DUMMYFUNCTION("""COMPUTED_VALUE"""),"張明瑀")</f>
        <v>張明瑀</v>
      </c>
      <c r="D475" s="16" t="str">
        <f>IFERROR(__xludf.DUMMYFUNCTION("""COMPUTED_VALUE"""),"sc5*****m.kl.edu.tw")</f>
        <v>sc5*****m.kl.edu.tw</v>
      </c>
      <c r="E475" s="17" t="str">
        <f>IFERROR(__xludf.DUMMYFUNCTION("""COMPUTED_VALUE"""),"基隆市暖暖區暖江國民小學")</f>
        <v>基隆市暖暖區暖江國民小學</v>
      </c>
      <c r="F475" s="14" t="str">
        <f>IFERROR(__xludf.DUMMYFUNCTION("""COMPUTED_VALUE"""),"五年級")</f>
        <v>五年級</v>
      </c>
      <c r="G475" s="14" t="str">
        <f>IFERROR(__xludf.DUMMYFUNCTION("""COMPUTED_VALUE"""),"★禮券$500")</f>
        <v>★禮券$500</v>
      </c>
      <c r="H475" s="8"/>
    </row>
    <row r="476">
      <c r="A476" s="18"/>
      <c r="B476" s="14">
        <f>IFERROR(__xludf.DUMMYFUNCTION("""COMPUTED_VALUE"""),531167.0)</f>
        <v>531167</v>
      </c>
      <c r="C476" s="14" t="str">
        <f>IFERROR(__xludf.DUMMYFUNCTION("""COMPUTED_VALUE"""),"王星樺")</f>
        <v>王星樺</v>
      </c>
      <c r="D476" s="16" t="str">
        <f>IFERROR(__xludf.DUMMYFUNCTION("""COMPUTED_VALUE"""),"sb1*****m.kl.edu.tw")</f>
        <v>sb1*****m.kl.edu.tw</v>
      </c>
      <c r="E476" s="17" t="str">
        <f>IFERROR(__xludf.DUMMYFUNCTION("""COMPUTED_VALUE"""),"基隆市暖暖區暖江國民小學")</f>
        <v>基隆市暖暖區暖江國民小學</v>
      </c>
      <c r="F476" s="14" t="str">
        <f>IFERROR(__xludf.DUMMYFUNCTION("""COMPUTED_VALUE"""),"五年級")</f>
        <v>五年級</v>
      </c>
      <c r="G476" s="14" t="str">
        <f>IFERROR(__xludf.DUMMYFUNCTION("""COMPUTED_VALUE"""),"獎狀")</f>
        <v>獎狀</v>
      </c>
      <c r="H476" s="8"/>
    </row>
    <row r="477">
      <c r="A477" s="18"/>
      <c r="B477" s="14">
        <f>IFERROR(__xludf.DUMMYFUNCTION("""COMPUTED_VALUE"""),531156.0)</f>
        <v>531156</v>
      </c>
      <c r="C477" s="14" t="str">
        <f>IFERROR(__xludf.DUMMYFUNCTION("""COMPUTED_VALUE"""),"石立揚")</f>
        <v>石立揚</v>
      </c>
      <c r="D477" s="16" t="str">
        <f>IFERROR(__xludf.DUMMYFUNCTION("""COMPUTED_VALUE"""),"sc9*****m.kl.edu.tw")</f>
        <v>sc9*****m.kl.edu.tw</v>
      </c>
      <c r="E477" s="17" t="str">
        <f>IFERROR(__xludf.DUMMYFUNCTION("""COMPUTED_VALUE"""),"基隆市暖暖區暖江國民小學")</f>
        <v>基隆市暖暖區暖江國民小學</v>
      </c>
      <c r="F477" s="14" t="str">
        <f>IFERROR(__xludf.DUMMYFUNCTION("""COMPUTED_VALUE"""),"五年級")</f>
        <v>五年級</v>
      </c>
      <c r="G477" s="14" t="str">
        <f>IFERROR(__xludf.DUMMYFUNCTION("""COMPUTED_VALUE"""),"獎狀")</f>
        <v>獎狀</v>
      </c>
      <c r="H477" s="8"/>
    </row>
    <row r="478">
      <c r="A478" s="18"/>
      <c r="B478" s="14">
        <f>IFERROR(__xludf.DUMMYFUNCTION("""COMPUTED_VALUE"""),531161.0)</f>
        <v>531161</v>
      </c>
      <c r="C478" s="14" t="str">
        <f>IFERROR(__xludf.DUMMYFUNCTION("""COMPUTED_VALUE"""),"吳沛柔")</f>
        <v>吳沛柔</v>
      </c>
      <c r="D478" s="16" t="str">
        <f>IFERROR(__xludf.DUMMYFUNCTION("""COMPUTED_VALUE"""),"sf8*****m.kl.edu.tw")</f>
        <v>sf8*****m.kl.edu.tw</v>
      </c>
      <c r="E478" s="17" t="str">
        <f>IFERROR(__xludf.DUMMYFUNCTION("""COMPUTED_VALUE"""),"基隆市暖暖區暖江國民小學")</f>
        <v>基隆市暖暖區暖江國民小學</v>
      </c>
      <c r="F478" s="14" t="str">
        <f>IFERROR(__xludf.DUMMYFUNCTION("""COMPUTED_VALUE"""),"五年級")</f>
        <v>五年級</v>
      </c>
      <c r="G478" s="14" t="str">
        <f>IFERROR(__xludf.DUMMYFUNCTION("""COMPUTED_VALUE"""),"獎狀")</f>
        <v>獎狀</v>
      </c>
      <c r="H478" s="8"/>
    </row>
    <row r="479">
      <c r="A479" s="18"/>
      <c r="B479" s="14">
        <f>IFERROR(__xludf.DUMMYFUNCTION("""COMPUTED_VALUE"""),531158.0)</f>
        <v>531158</v>
      </c>
      <c r="C479" s="14" t="str">
        <f>IFERROR(__xludf.DUMMYFUNCTION("""COMPUTED_VALUE"""),"李宗賢")</f>
        <v>李宗賢</v>
      </c>
      <c r="D479" s="16" t="str">
        <f>IFERROR(__xludf.DUMMYFUNCTION("""COMPUTED_VALUE"""),"sa9*****m.kl.edu.tw")</f>
        <v>sa9*****m.kl.edu.tw</v>
      </c>
      <c r="E479" s="17" t="str">
        <f>IFERROR(__xludf.DUMMYFUNCTION("""COMPUTED_VALUE"""),"基隆市暖暖區暖江國民小學")</f>
        <v>基隆市暖暖區暖江國民小學</v>
      </c>
      <c r="F479" s="14" t="str">
        <f>IFERROR(__xludf.DUMMYFUNCTION("""COMPUTED_VALUE"""),"五年級")</f>
        <v>五年級</v>
      </c>
      <c r="G479" s="14" t="str">
        <f>IFERROR(__xludf.DUMMYFUNCTION("""COMPUTED_VALUE"""),"獎狀")</f>
        <v>獎狀</v>
      </c>
      <c r="H479" s="8"/>
    </row>
    <row r="480">
      <c r="A480" s="18"/>
      <c r="B480" s="14">
        <f>IFERROR(__xludf.DUMMYFUNCTION("""COMPUTED_VALUE"""),531168.0)</f>
        <v>531168</v>
      </c>
      <c r="C480" s="14" t="str">
        <f>IFERROR(__xludf.DUMMYFUNCTION("""COMPUTED_VALUE"""),"周庭安")</f>
        <v>周庭安</v>
      </c>
      <c r="D480" s="16" t="str">
        <f>IFERROR(__xludf.DUMMYFUNCTION("""COMPUTED_VALUE"""),"sc1*****m.kl.edu.tw")</f>
        <v>sc1*****m.kl.edu.tw</v>
      </c>
      <c r="E480" s="17" t="str">
        <f>IFERROR(__xludf.DUMMYFUNCTION("""COMPUTED_VALUE"""),"基隆市暖暖區暖江國民小學")</f>
        <v>基隆市暖暖區暖江國民小學</v>
      </c>
      <c r="F480" s="14" t="str">
        <f>IFERROR(__xludf.DUMMYFUNCTION("""COMPUTED_VALUE"""),"五年級")</f>
        <v>五年級</v>
      </c>
      <c r="G480" s="14" t="str">
        <f>IFERROR(__xludf.DUMMYFUNCTION("""COMPUTED_VALUE"""),"獎狀")</f>
        <v>獎狀</v>
      </c>
      <c r="H480" s="8"/>
    </row>
    <row r="481">
      <c r="A481" s="18"/>
      <c r="B481" s="14">
        <f>IFERROR(__xludf.DUMMYFUNCTION("""COMPUTED_VALUE"""),531166.0)</f>
        <v>531166</v>
      </c>
      <c r="C481" s="14" t="str">
        <f>IFERROR(__xludf.DUMMYFUNCTION("""COMPUTED_VALUE"""),"陸妍禎")</f>
        <v>陸妍禎</v>
      </c>
      <c r="D481" s="16" t="str">
        <f>IFERROR(__xludf.DUMMYFUNCTION("""COMPUTED_VALUE"""),"sb9*****m.kl.edu.tw")</f>
        <v>sb9*****m.kl.edu.tw</v>
      </c>
      <c r="E481" s="17" t="str">
        <f>IFERROR(__xludf.DUMMYFUNCTION("""COMPUTED_VALUE"""),"基隆市暖暖區暖江國民小學")</f>
        <v>基隆市暖暖區暖江國民小學</v>
      </c>
      <c r="F481" s="14" t="str">
        <f>IFERROR(__xludf.DUMMYFUNCTION("""COMPUTED_VALUE"""),"五年級")</f>
        <v>五年級</v>
      </c>
      <c r="G481" s="14" t="str">
        <f>IFERROR(__xludf.DUMMYFUNCTION("""COMPUTED_VALUE"""),"獎狀")</f>
        <v>獎狀</v>
      </c>
      <c r="H481" s="8"/>
    </row>
    <row r="482">
      <c r="A482" s="18"/>
      <c r="B482" s="14">
        <f>IFERROR(__xludf.DUMMYFUNCTION("""COMPUTED_VALUE"""),531157.0)</f>
        <v>531157</v>
      </c>
      <c r="C482" s="14" t="str">
        <f>IFERROR(__xludf.DUMMYFUNCTION("""COMPUTED_VALUE"""),"黃柏燁")</f>
        <v>黃柏燁</v>
      </c>
      <c r="D482" s="16" t="str">
        <f>IFERROR(__xludf.DUMMYFUNCTION("""COMPUTED_VALUE"""),"sc9*****m.kl.edu.tw")</f>
        <v>sc9*****m.kl.edu.tw</v>
      </c>
      <c r="E482" s="17" t="str">
        <f>IFERROR(__xludf.DUMMYFUNCTION("""COMPUTED_VALUE"""),"基隆市暖暖區暖江國民小學")</f>
        <v>基隆市暖暖區暖江國民小學</v>
      </c>
      <c r="F482" s="14" t="str">
        <f>IFERROR(__xludf.DUMMYFUNCTION("""COMPUTED_VALUE"""),"五年級")</f>
        <v>五年級</v>
      </c>
      <c r="G482" s="14" t="str">
        <f>IFERROR(__xludf.DUMMYFUNCTION("""COMPUTED_VALUE"""),"獎狀")</f>
        <v>獎狀</v>
      </c>
      <c r="H482" s="8"/>
    </row>
    <row r="483">
      <c r="A483" s="18"/>
      <c r="B483" s="14">
        <f>IFERROR(__xludf.DUMMYFUNCTION("""COMPUTED_VALUE"""),531154.0)</f>
        <v>531154</v>
      </c>
      <c r="C483" s="14" t="str">
        <f>IFERROR(__xludf.DUMMYFUNCTION("""COMPUTED_VALUE"""),"劉和霖")</f>
        <v>劉和霖</v>
      </c>
      <c r="D483" s="16" t="str">
        <f>IFERROR(__xludf.DUMMYFUNCTION("""COMPUTED_VALUE"""),"se9*****m.kl.edu.tw")</f>
        <v>se9*****m.kl.edu.tw</v>
      </c>
      <c r="E483" s="17" t="str">
        <f>IFERROR(__xludf.DUMMYFUNCTION("""COMPUTED_VALUE"""),"基隆市暖暖區暖江國民小學")</f>
        <v>基隆市暖暖區暖江國民小學</v>
      </c>
      <c r="F483" s="14" t="str">
        <f>IFERROR(__xludf.DUMMYFUNCTION("""COMPUTED_VALUE"""),"五年級")</f>
        <v>五年級</v>
      </c>
      <c r="G483" s="14" t="str">
        <f>IFERROR(__xludf.DUMMYFUNCTION("""COMPUTED_VALUE"""),"獎狀")</f>
        <v>獎狀</v>
      </c>
      <c r="H483" s="8"/>
    </row>
    <row r="484">
      <c r="A484" s="18"/>
      <c r="B484" s="14">
        <f>IFERROR(__xludf.DUMMYFUNCTION("""COMPUTED_VALUE"""),604903.0)</f>
        <v>604903</v>
      </c>
      <c r="C484" s="14" t="str">
        <f>IFERROR(__xludf.DUMMYFUNCTION("""COMPUTED_VALUE"""),"魏睫芯")</f>
        <v>魏睫芯</v>
      </c>
      <c r="D484" s="16" t="str">
        <f>IFERROR(__xludf.DUMMYFUNCTION("""COMPUTED_VALUE"""),"sc5*****m.kl.edu.tw")</f>
        <v>sc5*****m.kl.edu.tw</v>
      </c>
      <c r="E484" s="17" t="str">
        <f>IFERROR(__xludf.DUMMYFUNCTION("""COMPUTED_VALUE"""),"基隆市暖暖區暖江國民小學")</f>
        <v>基隆市暖暖區暖江國民小學</v>
      </c>
      <c r="F484" s="14" t="str">
        <f>IFERROR(__xludf.DUMMYFUNCTION("""COMPUTED_VALUE"""),"五年級")</f>
        <v>五年級</v>
      </c>
      <c r="G484" s="14" t="str">
        <f>IFERROR(__xludf.DUMMYFUNCTION("""COMPUTED_VALUE"""),"獎狀")</f>
        <v>獎狀</v>
      </c>
      <c r="H484" s="8"/>
    </row>
    <row r="485">
      <c r="A485" s="18"/>
      <c r="B485" s="14">
        <f>IFERROR(__xludf.DUMMYFUNCTION("""COMPUTED_VALUE"""),368650.0)</f>
        <v>368650</v>
      </c>
      <c r="C485" s="14" t="str">
        <f>IFERROR(__xludf.DUMMYFUNCTION("""COMPUTED_VALUE"""),"石兆妍")</f>
        <v>石兆妍</v>
      </c>
      <c r="D485" s="16" t="str">
        <f>IFERROR(__xludf.DUMMYFUNCTION("""COMPUTED_VALUE"""),"sd3*****m.kl.edu.tw")</f>
        <v>sd3*****m.kl.edu.tw</v>
      </c>
      <c r="E485" s="17" t="str">
        <f>IFERROR(__xludf.DUMMYFUNCTION("""COMPUTED_VALUE"""),"基隆市暖暖區暖江國民小學")</f>
        <v>基隆市暖暖區暖江國民小學</v>
      </c>
      <c r="F485" s="14" t="str">
        <f>IFERROR(__xludf.DUMMYFUNCTION("""COMPUTED_VALUE"""),"六年級")</f>
        <v>六年級</v>
      </c>
      <c r="G485" s="14" t="str">
        <f>IFERROR(__xludf.DUMMYFUNCTION("""COMPUTED_VALUE"""),"●小禮物")</f>
        <v>●小禮物</v>
      </c>
      <c r="H485" s="8"/>
    </row>
    <row r="486">
      <c r="A486" s="18"/>
      <c r="B486" s="14">
        <f>IFERROR(__xludf.DUMMYFUNCTION("""COMPUTED_VALUE"""),368646.0)</f>
        <v>368646</v>
      </c>
      <c r="C486" s="14" t="str">
        <f>IFERROR(__xludf.DUMMYFUNCTION("""COMPUTED_VALUE"""),"余婕瑄")</f>
        <v>余婕瑄</v>
      </c>
      <c r="D486" s="16" t="str">
        <f>IFERROR(__xludf.DUMMYFUNCTION("""COMPUTED_VALUE"""),"sc3*****m.kl.edu.tw")</f>
        <v>sc3*****m.kl.edu.tw</v>
      </c>
      <c r="E486" s="17" t="str">
        <f>IFERROR(__xludf.DUMMYFUNCTION("""COMPUTED_VALUE"""),"基隆市暖暖區暖江國民小學")</f>
        <v>基隆市暖暖區暖江國民小學</v>
      </c>
      <c r="F486" s="14" t="str">
        <f>IFERROR(__xludf.DUMMYFUNCTION("""COMPUTED_VALUE"""),"六年級")</f>
        <v>六年級</v>
      </c>
      <c r="G486" s="14" t="str">
        <f>IFERROR(__xludf.DUMMYFUNCTION("""COMPUTED_VALUE"""),"●小禮物")</f>
        <v>●小禮物</v>
      </c>
      <c r="H486" s="8"/>
    </row>
    <row r="487">
      <c r="A487" s="18"/>
      <c r="B487" s="14">
        <f>IFERROR(__xludf.DUMMYFUNCTION("""COMPUTED_VALUE"""),368635.0)</f>
        <v>368635</v>
      </c>
      <c r="C487" s="14" t="str">
        <f>IFERROR(__xludf.DUMMYFUNCTION("""COMPUTED_VALUE"""),"吳宥杰")</f>
        <v>吳宥杰</v>
      </c>
      <c r="D487" s="16" t="str">
        <f>IFERROR(__xludf.DUMMYFUNCTION("""COMPUTED_VALUE"""),"sc8*****m.kl.edu.tw")</f>
        <v>sc8*****m.kl.edu.tw</v>
      </c>
      <c r="E487" s="17" t="str">
        <f>IFERROR(__xludf.DUMMYFUNCTION("""COMPUTED_VALUE"""),"基隆市暖暖區暖江國民小學")</f>
        <v>基隆市暖暖區暖江國民小學</v>
      </c>
      <c r="F487" s="14" t="str">
        <f>IFERROR(__xludf.DUMMYFUNCTION("""COMPUTED_VALUE"""),"六年級")</f>
        <v>六年級</v>
      </c>
      <c r="G487" s="14" t="str">
        <f>IFERROR(__xludf.DUMMYFUNCTION("""COMPUTED_VALUE"""),"●小禮物")</f>
        <v>●小禮物</v>
      </c>
      <c r="H487" s="8"/>
    </row>
    <row r="488">
      <c r="A488" s="18"/>
      <c r="B488" s="14">
        <f>IFERROR(__xludf.DUMMYFUNCTION("""COMPUTED_VALUE"""),368658.0)</f>
        <v>368658</v>
      </c>
      <c r="C488" s="14" t="str">
        <f>IFERROR(__xludf.DUMMYFUNCTION("""COMPUTED_VALUE"""),"吳紫瑄")</f>
        <v>吳紫瑄</v>
      </c>
      <c r="D488" s="16" t="str">
        <f>IFERROR(__xludf.DUMMYFUNCTION("""COMPUTED_VALUE"""),"sb4*****m.kl.edu.tw")</f>
        <v>sb4*****m.kl.edu.tw</v>
      </c>
      <c r="E488" s="17" t="str">
        <f>IFERROR(__xludf.DUMMYFUNCTION("""COMPUTED_VALUE"""),"基隆市暖暖區暖江國民小學")</f>
        <v>基隆市暖暖區暖江國民小學</v>
      </c>
      <c r="F488" s="14" t="str">
        <f>IFERROR(__xludf.DUMMYFUNCTION("""COMPUTED_VALUE"""),"六年級")</f>
        <v>六年級</v>
      </c>
      <c r="G488" s="14" t="str">
        <f>IFERROR(__xludf.DUMMYFUNCTION("""COMPUTED_VALUE"""),"●小禮物")</f>
        <v>●小禮物</v>
      </c>
      <c r="H488" s="8"/>
    </row>
    <row r="489">
      <c r="A489" s="18"/>
      <c r="B489" s="14">
        <f>IFERROR(__xludf.DUMMYFUNCTION("""COMPUTED_VALUE"""),368649.0)</f>
        <v>368649</v>
      </c>
      <c r="C489" s="14" t="str">
        <f>IFERROR(__xludf.DUMMYFUNCTION("""COMPUTED_VALUE"""),"林沛淇")</f>
        <v>林沛淇</v>
      </c>
      <c r="D489" s="16" t="str">
        <f>IFERROR(__xludf.DUMMYFUNCTION("""COMPUTED_VALUE"""),"se6*****m.kl.edu.tw")</f>
        <v>se6*****m.kl.edu.tw</v>
      </c>
      <c r="E489" s="17" t="str">
        <f>IFERROR(__xludf.DUMMYFUNCTION("""COMPUTED_VALUE"""),"基隆市暖暖區暖江國民小學")</f>
        <v>基隆市暖暖區暖江國民小學</v>
      </c>
      <c r="F489" s="14" t="str">
        <f>IFERROR(__xludf.DUMMYFUNCTION("""COMPUTED_VALUE"""),"六年級")</f>
        <v>六年級</v>
      </c>
      <c r="G489" s="14" t="str">
        <f>IFERROR(__xludf.DUMMYFUNCTION("""COMPUTED_VALUE"""),"●小禮物")</f>
        <v>●小禮物</v>
      </c>
      <c r="H489" s="8"/>
    </row>
    <row r="490">
      <c r="A490" s="18"/>
      <c r="B490" s="14">
        <f>IFERROR(__xludf.DUMMYFUNCTION("""COMPUTED_VALUE"""),368645.0)</f>
        <v>368645</v>
      </c>
      <c r="C490" s="14" t="str">
        <f>IFERROR(__xludf.DUMMYFUNCTION("""COMPUTED_VALUE"""),"徐子晴")</f>
        <v>徐子晴</v>
      </c>
      <c r="D490" s="16" t="str">
        <f>IFERROR(__xludf.DUMMYFUNCTION("""COMPUTED_VALUE"""),"sd3*****m.kl.edu.tw")</f>
        <v>sd3*****m.kl.edu.tw</v>
      </c>
      <c r="E490" s="17" t="str">
        <f>IFERROR(__xludf.DUMMYFUNCTION("""COMPUTED_VALUE"""),"基隆市暖暖區暖江國民小學")</f>
        <v>基隆市暖暖區暖江國民小學</v>
      </c>
      <c r="F490" s="14" t="str">
        <f>IFERROR(__xludf.DUMMYFUNCTION("""COMPUTED_VALUE"""),"六年級")</f>
        <v>六年級</v>
      </c>
      <c r="G490" s="14" t="str">
        <f>IFERROR(__xludf.DUMMYFUNCTION("""COMPUTED_VALUE"""),"●小禮物")</f>
        <v>●小禮物</v>
      </c>
      <c r="H490" s="8"/>
    </row>
    <row r="491">
      <c r="A491" s="18"/>
      <c r="B491" s="14">
        <f>IFERROR(__xludf.DUMMYFUNCTION("""COMPUTED_VALUE"""),368639.0)</f>
        <v>368639</v>
      </c>
      <c r="C491" s="14" t="str">
        <f>IFERROR(__xludf.DUMMYFUNCTION("""COMPUTED_VALUE"""),"連柏勝")</f>
        <v>連柏勝</v>
      </c>
      <c r="D491" s="16" t="str">
        <f>IFERROR(__xludf.DUMMYFUNCTION("""COMPUTED_VALUE"""),"sd8*****m.kl.edu.tw")</f>
        <v>sd8*****m.kl.edu.tw</v>
      </c>
      <c r="E491" s="17" t="str">
        <f>IFERROR(__xludf.DUMMYFUNCTION("""COMPUTED_VALUE"""),"基隆市暖暖區暖江國民小學")</f>
        <v>基隆市暖暖區暖江國民小學</v>
      </c>
      <c r="F491" s="14" t="str">
        <f>IFERROR(__xludf.DUMMYFUNCTION("""COMPUTED_VALUE"""),"六年級")</f>
        <v>六年級</v>
      </c>
      <c r="G491" s="14" t="str">
        <f>IFERROR(__xludf.DUMMYFUNCTION("""COMPUTED_VALUE"""),"●小禮物")</f>
        <v>●小禮物</v>
      </c>
      <c r="H491" s="8"/>
    </row>
    <row r="492">
      <c r="A492" s="18"/>
      <c r="B492" s="14">
        <f>IFERROR(__xludf.DUMMYFUNCTION("""COMPUTED_VALUE"""),368643.0)</f>
        <v>368643</v>
      </c>
      <c r="C492" s="14" t="str">
        <f>IFERROR(__xludf.DUMMYFUNCTION("""COMPUTED_VALUE"""),"曾宥翔")</f>
        <v>曾宥翔</v>
      </c>
      <c r="D492" s="16" t="str">
        <f>IFERROR(__xludf.DUMMYFUNCTION("""COMPUTED_VALUE"""),"se9*****m.kl.edu.tw")</f>
        <v>se9*****m.kl.edu.tw</v>
      </c>
      <c r="E492" s="17" t="str">
        <f>IFERROR(__xludf.DUMMYFUNCTION("""COMPUTED_VALUE"""),"基隆市暖暖區暖江國民小學")</f>
        <v>基隆市暖暖區暖江國民小學</v>
      </c>
      <c r="F492" s="14" t="str">
        <f>IFERROR(__xludf.DUMMYFUNCTION("""COMPUTED_VALUE"""),"六年級")</f>
        <v>六年級</v>
      </c>
      <c r="G492" s="14" t="str">
        <f>IFERROR(__xludf.DUMMYFUNCTION("""COMPUTED_VALUE"""),"●小禮物")</f>
        <v>●小禮物</v>
      </c>
      <c r="H492" s="8"/>
    </row>
    <row r="493">
      <c r="A493" s="18"/>
      <c r="B493" s="14">
        <f>IFERROR(__xludf.DUMMYFUNCTION("""COMPUTED_VALUE"""),368637.0)</f>
        <v>368637</v>
      </c>
      <c r="C493" s="14" t="str">
        <f>IFERROR(__xludf.DUMMYFUNCTION("""COMPUTED_VALUE"""),"塗茗傑")</f>
        <v>塗茗傑</v>
      </c>
      <c r="D493" s="16" t="str">
        <f>IFERROR(__xludf.DUMMYFUNCTION("""COMPUTED_VALUE"""),"sd8*****m.kl.edu.tw")</f>
        <v>sd8*****m.kl.edu.tw</v>
      </c>
      <c r="E493" s="17" t="str">
        <f>IFERROR(__xludf.DUMMYFUNCTION("""COMPUTED_VALUE"""),"基隆市暖暖區暖江國民小學")</f>
        <v>基隆市暖暖區暖江國民小學</v>
      </c>
      <c r="F493" s="14" t="str">
        <f>IFERROR(__xludf.DUMMYFUNCTION("""COMPUTED_VALUE"""),"六年級")</f>
        <v>六年級</v>
      </c>
      <c r="G493" s="14" t="str">
        <f>IFERROR(__xludf.DUMMYFUNCTION("""COMPUTED_VALUE"""),"●小禮物")</f>
        <v>●小禮物</v>
      </c>
      <c r="H493" s="8"/>
    </row>
    <row r="494">
      <c r="A494" s="18"/>
      <c r="B494" s="14">
        <f>IFERROR(__xludf.DUMMYFUNCTION("""COMPUTED_VALUE"""),368642.0)</f>
        <v>368642</v>
      </c>
      <c r="C494" s="14" t="str">
        <f>IFERROR(__xludf.DUMMYFUNCTION("""COMPUTED_VALUE"""),"劉子維")</f>
        <v>劉子維</v>
      </c>
      <c r="D494" s="16" t="str">
        <f>IFERROR(__xludf.DUMMYFUNCTION("""COMPUTED_VALUE"""),"sb8*****m.kl.edu.tw")</f>
        <v>sb8*****m.kl.edu.tw</v>
      </c>
      <c r="E494" s="17" t="str">
        <f>IFERROR(__xludf.DUMMYFUNCTION("""COMPUTED_VALUE"""),"基隆市暖暖區暖江國民小學")</f>
        <v>基隆市暖暖區暖江國民小學</v>
      </c>
      <c r="F494" s="14" t="str">
        <f>IFERROR(__xludf.DUMMYFUNCTION("""COMPUTED_VALUE"""),"六年級")</f>
        <v>六年級</v>
      </c>
      <c r="G494" s="14" t="str">
        <f>IFERROR(__xludf.DUMMYFUNCTION("""COMPUTED_VALUE"""),"●小禮物")</f>
        <v>●小禮物</v>
      </c>
      <c r="H494" s="8"/>
    </row>
    <row r="495">
      <c r="A495" s="18"/>
      <c r="B495" s="14">
        <f>IFERROR(__xludf.DUMMYFUNCTION("""COMPUTED_VALUE"""),368641.0)</f>
        <v>368641</v>
      </c>
      <c r="C495" s="14" t="str">
        <f>IFERROR(__xludf.DUMMYFUNCTION("""COMPUTED_VALUE"""),"蕭子堯")</f>
        <v>蕭子堯</v>
      </c>
      <c r="D495" s="16" t="str">
        <f>IFERROR(__xludf.DUMMYFUNCTION("""COMPUTED_VALUE"""),"sc8*****m.kl.edu.tw")</f>
        <v>sc8*****m.kl.edu.tw</v>
      </c>
      <c r="E495" s="17" t="str">
        <f>IFERROR(__xludf.DUMMYFUNCTION("""COMPUTED_VALUE"""),"基隆市暖暖區暖江國民小學")</f>
        <v>基隆市暖暖區暖江國民小學</v>
      </c>
      <c r="F495" s="14" t="str">
        <f>IFERROR(__xludf.DUMMYFUNCTION("""COMPUTED_VALUE"""),"六年級")</f>
        <v>六年級</v>
      </c>
      <c r="G495" s="14" t="str">
        <f>IFERROR(__xludf.DUMMYFUNCTION("""COMPUTED_VALUE"""),"●小禮物")</f>
        <v>●小禮物</v>
      </c>
      <c r="H495" s="8"/>
    </row>
    <row r="496">
      <c r="A496" s="18"/>
      <c r="B496" s="14">
        <f>IFERROR(__xludf.DUMMYFUNCTION("""COMPUTED_VALUE"""),368654.0)</f>
        <v>368654</v>
      </c>
      <c r="C496" s="14" t="str">
        <f>IFERROR(__xludf.DUMMYFUNCTION("""COMPUTED_VALUE"""),"簡于馨")</f>
        <v>簡于馨</v>
      </c>
      <c r="D496" s="16" t="str">
        <f>IFERROR(__xludf.DUMMYFUNCTION("""COMPUTED_VALUE"""),"sd4*****m.kl.edu.tw")</f>
        <v>sd4*****m.kl.edu.tw</v>
      </c>
      <c r="E496" s="17" t="str">
        <f>IFERROR(__xludf.DUMMYFUNCTION("""COMPUTED_VALUE"""),"基隆市暖暖區暖江國民小學")</f>
        <v>基隆市暖暖區暖江國民小學</v>
      </c>
      <c r="F496" s="14" t="str">
        <f>IFERROR(__xludf.DUMMYFUNCTION("""COMPUTED_VALUE"""),"六年級")</f>
        <v>六年級</v>
      </c>
      <c r="G496" s="14" t="str">
        <f>IFERROR(__xludf.DUMMYFUNCTION("""COMPUTED_VALUE"""),"●小禮物")</f>
        <v>●小禮物</v>
      </c>
      <c r="H496" s="8"/>
    </row>
    <row r="497">
      <c r="A497" s="18"/>
      <c r="B497" s="14">
        <f>IFERROR(__xludf.DUMMYFUNCTION("""COMPUTED_VALUE"""),368644.0)</f>
        <v>368644</v>
      </c>
      <c r="C497" s="14" t="str">
        <f>IFERROR(__xludf.DUMMYFUNCTION("""COMPUTED_VALUE"""),"王格謙")</f>
        <v>王格謙</v>
      </c>
      <c r="D497" s="16" t="str">
        <f>IFERROR(__xludf.DUMMYFUNCTION("""COMPUTED_VALUE"""),"sd9*****m.kl.edu.tw")</f>
        <v>sd9*****m.kl.edu.tw</v>
      </c>
      <c r="E497" s="17" t="str">
        <f>IFERROR(__xludf.DUMMYFUNCTION("""COMPUTED_VALUE"""),"基隆市暖暖區暖江國民小學")</f>
        <v>基隆市暖暖區暖江國民小學</v>
      </c>
      <c r="F497" s="14" t="str">
        <f>IFERROR(__xludf.DUMMYFUNCTION("""COMPUTED_VALUE"""),"六年級")</f>
        <v>六年級</v>
      </c>
      <c r="G497" s="14" t="str">
        <f>IFERROR(__xludf.DUMMYFUNCTION("""COMPUTED_VALUE"""),"獎狀")</f>
        <v>獎狀</v>
      </c>
      <c r="H497" s="8"/>
    </row>
    <row r="498">
      <c r="A498" s="18"/>
      <c r="B498" s="14">
        <f>IFERROR(__xludf.DUMMYFUNCTION("""COMPUTED_VALUE"""),368653.0)</f>
        <v>368653</v>
      </c>
      <c r="C498" s="14" t="str">
        <f>IFERROR(__xludf.DUMMYFUNCTION("""COMPUTED_VALUE"""),"余以真")</f>
        <v>余以真</v>
      </c>
      <c r="D498" s="16" t="str">
        <f>IFERROR(__xludf.DUMMYFUNCTION("""COMPUTED_VALUE"""),"sc4*****m.kl.edu.tw")</f>
        <v>sc4*****m.kl.edu.tw</v>
      </c>
      <c r="E498" s="17" t="str">
        <f>IFERROR(__xludf.DUMMYFUNCTION("""COMPUTED_VALUE"""),"基隆市暖暖區暖江國民小學")</f>
        <v>基隆市暖暖區暖江國民小學</v>
      </c>
      <c r="F498" s="14" t="str">
        <f>IFERROR(__xludf.DUMMYFUNCTION("""COMPUTED_VALUE"""),"六年級")</f>
        <v>六年級</v>
      </c>
      <c r="G498" s="14" t="str">
        <f>IFERROR(__xludf.DUMMYFUNCTION("""COMPUTED_VALUE"""),"獎狀")</f>
        <v>獎狀</v>
      </c>
      <c r="H498" s="8"/>
    </row>
    <row r="499">
      <c r="A499" s="18"/>
      <c r="B499" s="14">
        <f>IFERROR(__xludf.DUMMYFUNCTION("""COMPUTED_VALUE"""),368638.0)</f>
        <v>368638</v>
      </c>
      <c r="C499" s="14" t="str">
        <f>IFERROR(__xludf.DUMMYFUNCTION("""COMPUTED_VALUE"""),"李柏恩")</f>
        <v>李柏恩</v>
      </c>
      <c r="D499" s="16" t="str">
        <f>IFERROR(__xludf.DUMMYFUNCTION("""COMPUTED_VALUE"""),"sc6*****m.kl.edu.tw")</f>
        <v>sc6*****m.kl.edu.tw</v>
      </c>
      <c r="E499" s="17" t="str">
        <f>IFERROR(__xludf.DUMMYFUNCTION("""COMPUTED_VALUE"""),"基隆市暖暖區暖江國民小學")</f>
        <v>基隆市暖暖區暖江國民小學</v>
      </c>
      <c r="F499" s="14" t="str">
        <f>IFERROR(__xludf.DUMMYFUNCTION("""COMPUTED_VALUE"""),"六年級")</f>
        <v>六年級</v>
      </c>
      <c r="G499" s="14" t="str">
        <f>IFERROR(__xludf.DUMMYFUNCTION("""COMPUTED_VALUE"""),"獎狀")</f>
        <v>獎狀</v>
      </c>
      <c r="H499" s="8"/>
    </row>
    <row r="500">
      <c r="A500" s="18"/>
      <c r="B500" s="14">
        <f>IFERROR(__xludf.DUMMYFUNCTION("""COMPUTED_VALUE"""),368655.0)</f>
        <v>368655</v>
      </c>
      <c r="C500" s="14" t="str">
        <f>IFERROR(__xludf.DUMMYFUNCTION("""COMPUTED_VALUE"""),"周沛雯")</f>
        <v>周沛雯</v>
      </c>
      <c r="D500" s="16" t="str">
        <f>IFERROR(__xludf.DUMMYFUNCTION("""COMPUTED_VALUE"""),"sc0*****m.kl.edu.tw")</f>
        <v>sc0*****m.kl.edu.tw</v>
      </c>
      <c r="E500" s="17" t="str">
        <f>IFERROR(__xludf.DUMMYFUNCTION("""COMPUTED_VALUE"""),"基隆市暖暖區暖江國民小學")</f>
        <v>基隆市暖暖區暖江國民小學</v>
      </c>
      <c r="F500" s="14" t="str">
        <f>IFERROR(__xludf.DUMMYFUNCTION("""COMPUTED_VALUE"""),"六年級")</f>
        <v>六年級</v>
      </c>
      <c r="G500" s="14" t="str">
        <f>IFERROR(__xludf.DUMMYFUNCTION("""COMPUTED_VALUE"""),"獎狀")</f>
        <v>獎狀</v>
      </c>
      <c r="H500" s="8"/>
    </row>
    <row r="501">
      <c r="A501" s="18"/>
      <c r="B501" s="14">
        <f>IFERROR(__xludf.DUMMYFUNCTION("""COMPUTED_VALUE"""),368652.0)</f>
        <v>368652</v>
      </c>
      <c r="C501" s="14" t="str">
        <f>IFERROR(__xludf.DUMMYFUNCTION("""COMPUTED_VALUE"""),"林攸軒")</f>
        <v>林攸軒</v>
      </c>
      <c r="D501" s="16" t="str">
        <f>IFERROR(__xludf.DUMMYFUNCTION("""COMPUTED_VALUE"""),"sb9*****m.kl.edu.tw")</f>
        <v>sb9*****m.kl.edu.tw</v>
      </c>
      <c r="E501" s="17" t="str">
        <f>IFERROR(__xludf.DUMMYFUNCTION("""COMPUTED_VALUE"""),"基隆市暖暖區暖江國民小學")</f>
        <v>基隆市暖暖區暖江國民小學</v>
      </c>
      <c r="F501" s="14" t="str">
        <f>IFERROR(__xludf.DUMMYFUNCTION("""COMPUTED_VALUE"""),"六年級")</f>
        <v>六年級</v>
      </c>
      <c r="G501" s="14" t="str">
        <f>IFERROR(__xludf.DUMMYFUNCTION("""COMPUTED_VALUE"""),"獎狀")</f>
        <v>獎狀</v>
      </c>
      <c r="H501" s="8"/>
    </row>
    <row r="502">
      <c r="A502" s="18"/>
      <c r="B502" s="14">
        <f>IFERROR(__xludf.DUMMYFUNCTION("""COMPUTED_VALUE"""),368657.0)</f>
        <v>368657</v>
      </c>
      <c r="C502" s="14" t="str">
        <f>IFERROR(__xludf.DUMMYFUNCTION("""COMPUTED_VALUE"""),"張詩媛")</f>
        <v>張詩媛</v>
      </c>
      <c r="D502" s="16" t="str">
        <f>IFERROR(__xludf.DUMMYFUNCTION("""COMPUTED_VALUE"""),"sd4*****m.kl.edu.tw")</f>
        <v>sd4*****m.kl.edu.tw</v>
      </c>
      <c r="E502" s="17" t="str">
        <f>IFERROR(__xludf.DUMMYFUNCTION("""COMPUTED_VALUE"""),"基隆市暖暖區暖江國民小學")</f>
        <v>基隆市暖暖區暖江國民小學</v>
      </c>
      <c r="F502" s="14" t="str">
        <f>IFERROR(__xludf.DUMMYFUNCTION("""COMPUTED_VALUE"""),"六年級")</f>
        <v>六年級</v>
      </c>
      <c r="G502" s="14" t="str">
        <f>IFERROR(__xludf.DUMMYFUNCTION("""COMPUTED_VALUE"""),"獎狀")</f>
        <v>獎狀</v>
      </c>
      <c r="H502" s="8"/>
    </row>
    <row r="503">
      <c r="A503" s="18"/>
      <c r="B503" s="14">
        <f>IFERROR(__xludf.DUMMYFUNCTION("""COMPUTED_VALUE"""),368648.0)</f>
        <v>368648</v>
      </c>
      <c r="C503" s="14" t="str">
        <f>IFERROR(__xludf.DUMMYFUNCTION("""COMPUTED_VALUE"""),"許欣媛")</f>
        <v>許欣媛</v>
      </c>
      <c r="D503" s="16" t="str">
        <f>IFERROR(__xludf.DUMMYFUNCTION("""COMPUTED_VALUE"""),"sd3*****m.kl.edu.tw")</f>
        <v>sd3*****m.kl.edu.tw</v>
      </c>
      <c r="E503" s="17" t="str">
        <f>IFERROR(__xludf.DUMMYFUNCTION("""COMPUTED_VALUE"""),"基隆市暖暖區暖江國民小學")</f>
        <v>基隆市暖暖區暖江國民小學</v>
      </c>
      <c r="F503" s="14" t="str">
        <f>IFERROR(__xludf.DUMMYFUNCTION("""COMPUTED_VALUE"""),"六年級")</f>
        <v>六年級</v>
      </c>
      <c r="G503" s="14" t="str">
        <f>IFERROR(__xludf.DUMMYFUNCTION("""COMPUTED_VALUE"""),"獎狀")</f>
        <v>獎狀</v>
      </c>
      <c r="H503" s="8"/>
    </row>
    <row r="504">
      <c r="A504" s="18"/>
      <c r="B504" s="14">
        <f>IFERROR(__xludf.DUMMYFUNCTION("""COMPUTED_VALUE"""),368640.0)</f>
        <v>368640</v>
      </c>
      <c r="C504" s="14" t="str">
        <f>IFERROR(__xludf.DUMMYFUNCTION("""COMPUTED_VALUE"""),"黃鈺熹")</f>
        <v>黃鈺熹</v>
      </c>
      <c r="D504" s="16" t="str">
        <f>IFERROR(__xludf.DUMMYFUNCTION("""COMPUTED_VALUE"""),"sc8*****m.kl.edu.tw")</f>
        <v>sc8*****m.kl.edu.tw</v>
      </c>
      <c r="E504" s="17" t="str">
        <f>IFERROR(__xludf.DUMMYFUNCTION("""COMPUTED_VALUE"""),"基隆市暖暖區暖江國民小學")</f>
        <v>基隆市暖暖區暖江國民小學</v>
      </c>
      <c r="F504" s="14" t="str">
        <f>IFERROR(__xludf.DUMMYFUNCTION("""COMPUTED_VALUE"""),"六年級")</f>
        <v>六年級</v>
      </c>
      <c r="G504" s="14" t="str">
        <f>IFERROR(__xludf.DUMMYFUNCTION("""COMPUTED_VALUE"""),"獎狀")</f>
        <v>獎狀</v>
      </c>
      <c r="H504" s="8"/>
    </row>
    <row r="505">
      <c r="A505" s="18"/>
      <c r="B505" s="14">
        <f>IFERROR(__xludf.DUMMYFUNCTION("""COMPUTED_VALUE"""),368651.0)</f>
        <v>368651</v>
      </c>
      <c r="C505" s="14" t="str">
        <f>IFERROR(__xludf.DUMMYFUNCTION("""COMPUTED_VALUE"""),"簡莘頤")</f>
        <v>簡莘頤</v>
      </c>
      <c r="D505" s="16" t="str">
        <f>IFERROR(__xludf.DUMMYFUNCTION("""COMPUTED_VALUE"""),"sb4*****m.kl.edu.tw")</f>
        <v>sb4*****m.kl.edu.tw</v>
      </c>
      <c r="E505" s="17" t="str">
        <f>IFERROR(__xludf.DUMMYFUNCTION("""COMPUTED_VALUE"""),"基隆市暖暖區暖江國民小學")</f>
        <v>基隆市暖暖區暖江國民小學</v>
      </c>
      <c r="F505" s="14" t="str">
        <f>IFERROR(__xludf.DUMMYFUNCTION("""COMPUTED_VALUE"""),"六年級")</f>
        <v>六年級</v>
      </c>
      <c r="G505" s="14" t="str">
        <f>IFERROR(__xludf.DUMMYFUNCTION("""COMPUTED_VALUE"""),"獎狀")</f>
        <v>獎狀</v>
      </c>
      <c r="H505" s="8"/>
    </row>
    <row r="506">
      <c r="A506" s="18"/>
      <c r="B506" s="14">
        <f>IFERROR(__xludf.DUMMYFUNCTION("""COMPUTED_VALUE"""),993246.0)</f>
        <v>993246</v>
      </c>
      <c r="C506" s="14" t="str">
        <f>IFERROR(__xludf.DUMMYFUNCTION("""COMPUTED_VALUE"""),"林柔安")</f>
        <v>林柔安</v>
      </c>
      <c r="D506" s="16" t="str">
        <f>IFERROR(__xludf.DUMMYFUNCTION("""COMPUTED_VALUE"""),"sb6*****m.kl.edu.tw")</f>
        <v>sb6*****m.kl.edu.tw</v>
      </c>
      <c r="E506" s="17" t="str">
        <f>IFERROR(__xludf.DUMMYFUNCTION("""COMPUTED_VALUE"""),"基隆市七堵區尚仁國民小學")</f>
        <v>基隆市七堵區尚仁國民小學</v>
      </c>
      <c r="F506" s="14" t="str">
        <f>IFERROR(__xludf.DUMMYFUNCTION("""COMPUTED_VALUE"""),"六年級")</f>
        <v>六年級</v>
      </c>
      <c r="G506" s="14" t="str">
        <f>IFERROR(__xludf.DUMMYFUNCTION("""COMPUTED_VALUE"""),"●小禮物")</f>
        <v>●小禮物</v>
      </c>
      <c r="H506" s="8"/>
    </row>
    <row r="507">
      <c r="A507" s="18"/>
      <c r="B507" s="14">
        <f>IFERROR(__xludf.DUMMYFUNCTION("""COMPUTED_VALUE"""),587221.0)</f>
        <v>587221</v>
      </c>
      <c r="C507" s="14" t="str">
        <f>IFERROR(__xludf.DUMMYFUNCTION("""COMPUTED_VALUE"""),"曾柏溰")</f>
        <v>曾柏溰</v>
      </c>
      <c r="D507" s="16" t="str">
        <f>IFERROR(__xludf.DUMMYFUNCTION("""COMPUTED_VALUE"""),"sb2*****ail.edu.tw")</f>
        <v>sb2*****ail.edu.tw</v>
      </c>
      <c r="E507" s="17" t="str">
        <f>IFERROR(__xludf.DUMMYFUNCTION("""COMPUTED_VALUE"""),"基隆市七堵區尚仁國民小學")</f>
        <v>基隆市七堵區尚仁國民小學</v>
      </c>
      <c r="F507" s="14" t="str">
        <f>IFERROR(__xludf.DUMMYFUNCTION("""COMPUTED_VALUE"""),"六年級")</f>
        <v>六年級</v>
      </c>
      <c r="G507" s="14" t="str">
        <f>IFERROR(__xludf.DUMMYFUNCTION("""COMPUTED_VALUE"""),"●小禮物")</f>
        <v>●小禮物</v>
      </c>
      <c r="H507" s="8"/>
    </row>
    <row r="508">
      <c r="A508" s="18"/>
      <c r="B508" s="14">
        <f>IFERROR(__xludf.DUMMYFUNCTION("""COMPUTED_VALUE"""),1209356.0)</f>
        <v>1209356</v>
      </c>
      <c r="C508" s="14" t="str">
        <f>IFERROR(__xludf.DUMMYFUNCTION("""COMPUTED_VALUE"""),"張尹喬")</f>
        <v>張尹喬</v>
      </c>
      <c r="D508" s="16" t="str">
        <f>IFERROR(__xludf.DUMMYFUNCTION("""COMPUTED_VALUE"""),"se1*****m.kl.edu.tw")</f>
        <v>se1*****m.kl.edu.tw</v>
      </c>
      <c r="E508" s="17" t="str">
        <f>IFERROR(__xludf.DUMMYFUNCTION("""COMPUTED_VALUE"""),"基隆市七堵區七堵國民小學")</f>
        <v>基隆市七堵區七堵國民小學</v>
      </c>
      <c r="F508" s="14" t="str">
        <f>IFERROR(__xludf.DUMMYFUNCTION("""COMPUTED_VALUE"""),"五年級")</f>
        <v>五年級</v>
      </c>
      <c r="G508" s="14" t="str">
        <f>IFERROR(__xludf.DUMMYFUNCTION("""COMPUTED_VALUE"""),"獎狀")</f>
        <v>獎狀</v>
      </c>
      <c r="H508" s="8"/>
    </row>
    <row r="509">
      <c r="A509" s="18"/>
      <c r="B509" s="14">
        <f>IFERROR(__xludf.DUMMYFUNCTION("""COMPUTED_VALUE"""),591957.0)</f>
        <v>591957</v>
      </c>
      <c r="C509" s="14" t="str">
        <f>IFERROR(__xludf.DUMMYFUNCTION("""COMPUTED_VALUE"""),"呂宸菱")</f>
        <v>呂宸菱</v>
      </c>
      <c r="D509" s="16" t="str">
        <f>IFERROR(__xludf.DUMMYFUNCTION("""COMPUTED_VALUE"""),"sd4*****ail.edu.tw")</f>
        <v>sd4*****ail.edu.tw</v>
      </c>
      <c r="E509" s="17" t="str">
        <f>IFERROR(__xludf.DUMMYFUNCTION("""COMPUTED_VALUE"""),"基隆市七堵區華興國民小學")</f>
        <v>基隆市七堵區華興國民小學</v>
      </c>
      <c r="F509" s="14" t="str">
        <f>IFERROR(__xludf.DUMMYFUNCTION("""COMPUTED_VALUE"""),"六年級")</f>
        <v>六年級</v>
      </c>
      <c r="G509" s="14" t="str">
        <f>IFERROR(__xludf.DUMMYFUNCTION("""COMPUTED_VALUE"""),"獎狀")</f>
        <v>獎狀</v>
      </c>
      <c r="H509" s="8"/>
    </row>
    <row r="510">
      <c r="A510" s="18"/>
      <c r="B510" s="14">
        <f>IFERROR(__xludf.DUMMYFUNCTION("""COMPUTED_VALUE"""),413751.0)</f>
        <v>413751</v>
      </c>
      <c r="C510" s="14" t="str">
        <f>IFERROR(__xludf.DUMMYFUNCTION("""COMPUTED_VALUE"""),"徐苡芹")</f>
        <v>徐苡芹</v>
      </c>
      <c r="D510" s="16" t="str">
        <f>IFERROR(__xludf.DUMMYFUNCTION("""COMPUTED_VALUE"""),"mb3*****ail.edu.tw")</f>
        <v>mb3*****ail.edu.tw</v>
      </c>
      <c r="E510" s="17" t="str">
        <f>IFERROR(__xludf.DUMMYFUNCTION("""COMPUTED_VALUE"""),"連江縣立介壽國民中小學國小部")</f>
        <v>連江縣立介壽國民中小學國小部</v>
      </c>
      <c r="F510" s="14" t="str">
        <f>IFERROR(__xludf.DUMMYFUNCTION("""COMPUTED_VALUE"""),"六年級")</f>
        <v>六年級</v>
      </c>
      <c r="G510" s="14" t="str">
        <f>IFERROR(__xludf.DUMMYFUNCTION("""COMPUTED_VALUE"""),"●小禮物")</f>
        <v>●小禮物</v>
      </c>
      <c r="H510" s="8"/>
    </row>
    <row r="511">
      <c r="A511" s="18"/>
      <c r="B511" s="14">
        <f>IFERROR(__xludf.DUMMYFUNCTION("""COMPUTED_VALUE"""),1022854.0)</f>
        <v>1022854</v>
      </c>
      <c r="C511" s="14" t="str">
        <f>IFERROR(__xludf.DUMMYFUNCTION("""COMPUTED_VALUE"""),"許文馨")</f>
        <v>許文馨</v>
      </c>
      <c r="D511" s="16" t="str">
        <f>IFERROR(__xludf.DUMMYFUNCTION("""COMPUTED_VALUE"""),"s82*****c@mail.edu.tw")</f>
        <v>s82*****c@mail.edu.tw</v>
      </c>
      <c r="E511" s="17" t="str">
        <f>IFERROR(__xludf.DUMMYFUNCTION("""COMPUTED_VALUE"""),"連江縣立介壽國民中小學國小部")</f>
        <v>連江縣立介壽國民中小學國小部</v>
      </c>
      <c r="F511" s="14" t="str">
        <f>IFERROR(__xludf.DUMMYFUNCTION("""COMPUTED_VALUE"""),"六年級")</f>
        <v>六年級</v>
      </c>
      <c r="G511" s="14" t="str">
        <f>IFERROR(__xludf.DUMMYFUNCTION("""COMPUTED_VALUE"""),"●小禮物")</f>
        <v>●小禮物</v>
      </c>
      <c r="H511" s="8"/>
    </row>
    <row r="512">
      <c r="A512" s="18"/>
      <c r="B512" s="14">
        <f>IFERROR(__xludf.DUMMYFUNCTION("""COMPUTED_VALUE"""),413825.0)</f>
        <v>413825</v>
      </c>
      <c r="C512" s="14" t="str">
        <f>IFERROR(__xludf.DUMMYFUNCTION("""COMPUTED_VALUE"""),"陳璽允")</f>
        <v>陳璽允</v>
      </c>
      <c r="D512" s="16" t="str">
        <f>IFERROR(__xludf.DUMMYFUNCTION("""COMPUTED_VALUE"""),"ma6*****ail.edu.tw")</f>
        <v>ma6*****ail.edu.tw</v>
      </c>
      <c r="E512" s="17" t="str">
        <f>IFERROR(__xludf.DUMMYFUNCTION("""COMPUTED_VALUE"""),"連江縣立介壽國民中小學國小部")</f>
        <v>連江縣立介壽國民中小學國小部</v>
      </c>
      <c r="F512" s="14" t="str">
        <f>IFERROR(__xludf.DUMMYFUNCTION("""COMPUTED_VALUE"""),"六年級")</f>
        <v>六年級</v>
      </c>
      <c r="G512" s="14" t="str">
        <f>IFERROR(__xludf.DUMMYFUNCTION("""COMPUTED_VALUE"""),"獎狀")</f>
        <v>獎狀</v>
      </c>
      <c r="H512" s="8"/>
    </row>
    <row r="513">
      <c r="A513" s="18"/>
      <c r="B513" s="14">
        <f>IFERROR(__xludf.DUMMYFUNCTION("""COMPUTED_VALUE"""),413754.0)</f>
        <v>413754</v>
      </c>
      <c r="C513" s="14" t="str">
        <f>IFERROR(__xludf.DUMMYFUNCTION("""COMPUTED_VALUE"""),"劉芷羽")</f>
        <v>劉芷羽</v>
      </c>
      <c r="D513" s="16" t="str">
        <f>IFERROR(__xludf.DUMMYFUNCTION("""COMPUTED_VALUE"""),"ma6*****ail.edu.tw")</f>
        <v>ma6*****ail.edu.tw</v>
      </c>
      <c r="E513" s="17" t="str">
        <f>IFERROR(__xludf.DUMMYFUNCTION("""COMPUTED_VALUE"""),"連江縣立介壽國民中小學國小部")</f>
        <v>連江縣立介壽國民中小學國小部</v>
      </c>
      <c r="F513" s="14" t="str">
        <f>IFERROR(__xludf.DUMMYFUNCTION("""COMPUTED_VALUE"""),"六年級")</f>
        <v>六年級</v>
      </c>
      <c r="G513" s="14" t="str">
        <f>IFERROR(__xludf.DUMMYFUNCTION("""COMPUTED_VALUE"""),"獎狀")</f>
        <v>獎狀</v>
      </c>
      <c r="H513" s="8"/>
    </row>
    <row r="514">
      <c r="A514" s="18"/>
      <c r="B514" s="14">
        <f>IFERROR(__xludf.DUMMYFUNCTION("""COMPUTED_VALUE"""),863628.0)</f>
        <v>863628</v>
      </c>
      <c r="C514" s="14" t="str">
        <f>IFERROR(__xludf.DUMMYFUNCTION("""COMPUTED_VALUE"""),"曹予菲")</f>
        <v>曹予菲</v>
      </c>
      <c r="D514" s="16" t="str">
        <f>IFERROR(__xludf.DUMMYFUNCTION("""COMPUTED_VALUE"""),"ma6*****m.matsu.edu.tw")</f>
        <v>ma6*****m.matsu.edu.tw</v>
      </c>
      <c r="E514" s="17" t="str">
        <f>IFERROR(__xludf.DUMMYFUNCTION("""COMPUTED_VALUE"""),"連江縣立介壽國民中小學國小部")</f>
        <v>連江縣立介壽國民中小學國小部</v>
      </c>
      <c r="F514" s="14" t="str">
        <f>IFERROR(__xludf.DUMMYFUNCTION("""COMPUTED_VALUE"""),"六年級")</f>
        <v>六年級</v>
      </c>
      <c r="G514" s="14" t="str">
        <f>IFERROR(__xludf.DUMMYFUNCTION("""COMPUTED_VALUE"""),"●小禮物")</f>
        <v>●小禮物</v>
      </c>
      <c r="H514" s="8"/>
    </row>
    <row r="515">
      <c r="A515" s="18"/>
      <c r="B515" s="14">
        <f>IFERROR(__xludf.DUMMYFUNCTION("""COMPUTED_VALUE"""),413750.0)</f>
        <v>413750</v>
      </c>
      <c r="C515" s="14" t="str">
        <f>IFERROR(__xludf.DUMMYFUNCTION("""COMPUTED_VALUE"""),"陳勁愷")</f>
        <v>陳勁愷</v>
      </c>
      <c r="D515" s="16" t="str">
        <f>IFERROR(__xludf.DUMMYFUNCTION("""COMPUTED_VALUE"""),"ma4*****ail.edu.tw")</f>
        <v>ma4*****ail.edu.tw</v>
      </c>
      <c r="E515" s="17" t="str">
        <f>IFERROR(__xludf.DUMMYFUNCTION("""COMPUTED_VALUE"""),"連江縣立介壽國民中小學國小部")</f>
        <v>連江縣立介壽國民中小學國小部</v>
      </c>
      <c r="F515" s="14" t="str">
        <f>IFERROR(__xludf.DUMMYFUNCTION("""COMPUTED_VALUE"""),"六年級")</f>
        <v>六年級</v>
      </c>
      <c r="G515" s="14" t="str">
        <f>IFERROR(__xludf.DUMMYFUNCTION("""COMPUTED_VALUE"""),"●小禮物")</f>
        <v>●小禮物</v>
      </c>
      <c r="H515" s="8"/>
    </row>
    <row r="516">
      <c r="A516" s="18"/>
      <c r="B516" s="14">
        <f>IFERROR(__xludf.DUMMYFUNCTION("""COMPUTED_VALUE"""),456880.0)</f>
        <v>456880</v>
      </c>
      <c r="C516" s="14" t="str">
        <f>IFERROR(__xludf.DUMMYFUNCTION("""COMPUTED_VALUE"""),"林茲翎")</f>
        <v>林茲翎</v>
      </c>
      <c r="D516" s="16" t="str">
        <f>IFERROR(__xludf.DUMMYFUNCTION("""COMPUTED_VALUE"""),"lin*****g999@gmail.com")</f>
        <v>lin*****g999@gmail.com</v>
      </c>
      <c r="E516" s="17" t="str">
        <f>IFERROR(__xludf.DUMMYFUNCTION("""COMPUTED_VALUE"""),"新北市板橋區中山國民小學")</f>
        <v>新北市板橋區中山國民小學</v>
      </c>
      <c r="F516" s="14" t="str">
        <f>IFERROR(__xludf.DUMMYFUNCTION("""COMPUTED_VALUE"""),"三年級")</f>
        <v>三年級</v>
      </c>
      <c r="G516" s="14" t="str">
        <f>IFERROR(__xludf.DUMMYFUNCTION("""COMPUTED_VALUE"""),"獎狀")</f>
        <v>獎狀</v>
      </c>
      <c r="H516" s="8"/>
    </row>
    <row r="517">
      <c r="A517" s="18"/>
      <c r="B517" s="14">
        <f>IFERROR(__xludf.DUMMYFUNCTION("""COMPUTED_VALUE"""),1188653.0)</f>
        <v>1188653</v>
      </c>
      <c r="C517" s="14" t="str">
        <f>IFERROR(__xludf.DUMMYFUNCTION("""COMPUTED_VALUE"""),"張姵婕")</f>
        <v>張姵婕</v>
      </c>
      <c r="D517" s="16" t="str">
        <f>IFERROR(__xludf.DUMMYFUNCTION("""COMPUTED_VALUE"""),"yuk*****@yahoo.com.tw")</f>
        <v>yuk*****@yahoo.com.tw</v>
      </c>
      <c r="E517" s="17" t="str">
        <f>IFERROR(__xludf.DUMMYFUNCTION("""COMPUTED_VALUE"""),"新北市板橋區中山國民小學")</f>
        <v>新北市板橋區中山國民小學</v>
      </c>
      <c r="F517" s="14" t="str">
        <f>IFERROR(__xludf.DUMMYFUNCTION("""COMPUTED_VALUE"""),"三年級")</f>
        <v>三年級</v>
      </c>
      <c r="G517" s="14" t="str">
        <f>IFERROR(__xludf.DUMMYFUNCTION("""COMPUTED_VALUE"""),"獎狀")</f>
        <v>獎狀</v>
      </c>
      <c r="H517" s="8"/>
    </row>
    <row r="518">
      <c r="A518" s="18"/>
      <c r="B518" s="14">
        <f>IFERROR(__xludf.DUMMYFUNCTION("""COMPUTED_VALUE"""),299051.0)</f>
        <v>299051</v>
      </c>
      <c r="C518" s="14" t="str">
        <f>IFERROR(__xludf.DUMMYFUNCTION("""COMPUTED_VALUE"""),"林汯鈴")</f>
        <v>林汯鈴</v>
      </c>
      <c r="D518" s="16" t="str">
        <f>IFERROR(__xludf.DUMMYFUNCTION("""COMPUTED_VALUE"""),"lin*****ing101@gmail.com")</f>
        <v>lin*****ing101@gmail.com</v>
      </c>
      <c r="E518" s="17" t="str">
        <f>IFERROR(__xludf.DUMMYFUNCTION("""COMPUTED_VALUE"""),"新北市板橋區中山國民小學")</f>
        <v>新北市板橋區中山國民小學</v>
      </c>
      <c r="F518" s="14" t="str">
        <f>IFERROR(__xludf.DUMMYFUNCTION("""COMPUTED_VALUE"""),"五年級")</f>
        <v>五年級</v>
      </c>
      <c r="G518" s="14" t="str">
        <f>IFERROR(__xludf.DUMMYFUNCTION("""COMPUTED_VALUE"""),"獎狀")</f>
        <v>獎狀</v>
      </c>
      <c r="H518" s="8"/>
    </row>
    <row r="519">
      <c r="A519" s="18"/>
      <c r="B519" s="14">
        <f>IFERROR(__xludf.DUMMYFUNCTION("""COMPUTED_VALUE"""),755683.0)</f>
        <v>755683</v>
      </c>
      <c r="C519" s="14" t="str">
        <f>IFERROR(__xludf.DUMMYFUNCTION("""COMPUTED_VALUE"""),"龔佳瑩")</f>
        <v>龔佳瑩</v>
      </c>
      <c r="D519" s="16" t="str">
        <f>IFERROR(__xludf.DUMMYFUNCTION("""COMPUTED_VALUE"""),"yve*****8228@apps.ntpc.edu.tw")</f>
        <v>yve*****8228@apps.ntpc.edu.tw</v>
      </c>
      <c r="E519" s="17" t="str">
        <f>IFERROR(__xludf.DUMMYFUNCTION("""COMPUTED_VALUE"""),"新北市板橋區文聖國民小學")</f>
        <v>新北市板橋區文聖國民小學</v>
      </c>
      <c r="F519" s="14" t="str">
        <f>IFERROR(__xludf.DUMMYFUNCTION("""COMPUTED_VALUE"""),"四年級")</f>
        <v>四年級</v>
      </c>
      <c r="G519" s="14" t="str">
        <f>IFERROR(__xludf.DUMMYFUNCTION("""COMPUTED_VALUE"""),"獎狀")</f>
        <v>獎狀</v>
      </c>
      <c r="H519" s="8"/>
    </row>
    <row r="520">
      <c r="A520" s="18"/>
      <c r="B520" s="14">
        <f>IFERROR(__xludf.DUMMYFUNCTION("""COMPUTED_VALUE"""),835061.0)</f>
        <v>835061</v>
      </c>
      <c r="C520" s="14" t="str">
        <f>IFERROR(__xludf.DUMMYFUNCTION("""COMPUTED_VALUE"""),"蔡宗礽")</f>
        <v>蔡宗礽</v>
      </c>
      <c r="D520" s="16" t="str">
        <f>IFERROR(__xludf.DUMMYFUNCTION("""COMPUTED_VALUE"""),"rya*****49.ntpc@mail.edu.tw")</f>
        <v>rya*****49.ntpc@mail.edu.tw</v>
      </c>
      <c r="E520" s="17" t="str">
        <f>IFERROR(__xludf.DUMMYFUNCTION("""COMPUTED_VALUE"""),"新北市板橋區文聖國民小學")</f>
        <v>新北市板橋區文聖國民小學</v>
      </c>
      <c r="F520" s="14" t="str">
        <f>IFERROR(__xludf.DUMMYFUNCTION("""COMPUTED_VALUE"""),"四年級")</f>
        <v>四年級</v>
      </c>
      <c r="G520" s="14" t="str">
        <f>IFERROR(__xludf.DUMMYFUNCTION("""COMPUTED_VALUE"""),"●小禮物")</f>
        <v>●小禮物</v>
      </c>
      <c r="H520" s="8"/>
    </row>
    <row r="521">
      <c r="A521" s="18"/>
      <c r="B521" s="14">
        <f>IFERROR(__xludf.DUMMYFUNCTION("""COMPUTED_VALUE"""),1190248.0)</f>
        <v>1190248</v>
      </c>
      <c r="C521" s="14" t="str">
        <f>IFERROR(__xludf.DUMMYFUNCTION("""COMPUTED_VALUE"""),"許昕寧")</f>
        <v>許昕寧</v>
      </c>
      <c r="D521" s="16" t="str">
        <f>IFERROR(__xludf.DUMMYFUNCTION("""COMPUTED_VALUE"""),"hai*****7041@apps.ntpc.edu.tw")</f>
        <v>hai*****7041@apps.ntpc.edu.tw</v>
      </c>
      <c r="E521" s="17" t="str">
        <f>IFERROR(__xludf.DUMMYFUNCTION("""COMPUTED_VALUE"""),"新北市板橋區文聖國民小學")</f>
        <v>新北市板橋區文聖國民小學</v>
      </c>
      <c r="F521" s="14" t="str">
        <f>IFERROR(__xludf.DUMMYFUNCTION("""COMPUTED_VALUE"""),"五年級")</f>
        <v>五年級</v>
      </c>
      <c r="G521" s="14" t="str">
        <f>IFERROR(__xludf.DUMMYFUNCTION("""COMPUTED_VALUE"""),"●小禮物")</f>
        <v>●小禮物</v>
      </c>
      <c r="H521" s="8"/>
    </row>
    <row r="522">
      <c r="A522" s="18"/>
      <c r="B522" s="14">
        <f>IFERROR(__xludf.DUMMYFUNCTION("""COMPUTED_VALUE"""),1190236.0)</f>
        <v>1190236</v>
      </c>
      <c r="C522" s="14" t="str">
        <f>IFERROR(__xludf.DUMMYFUNCTION("""COMPUTED_VALUE"""),"陳柏瑋")</f>
        <v>陳柏瑋</v>
      </c>
      <c r="D522" s="16" t="str">
        <f>IFERROR(__xludf.DUMMYFUNCTION("""COMPUTED_VALUE"""),"ben*****@apps.ntpc.edu.tw")</f>
        <v>ben*****@apps.ntpc.edu.tw</v>
      </c>
      <c r="E522" s="17" t="str">
        <f>IFERROR(__xludf.DUMMYFUNCTION("""COMPUTED_VALUE"""),"新北市板橋區文聖國民小學")</f>
        <v>新北市板橋區文聖國民小學</v>
      </c>
      <c r="F522" s="14" t="str">
        <f>IFERROR(__xludf.DUMMYFUNCTION("""COMPUTED_VALUE"""),"五年級")</f>
        <v>五年級</v>
      </c>
      <c r="G522" s="14" t="str">
        <f>IFERROR(__xludf.DUMMYFUNCTION("""COMPUTED_VALUE"""),"獎狀")</f>
        <v>獎狀</v>
      </c>
      <c r="H522" s="8"/>
    </row>
    <row r="523">
      <c r="A523" s="18"/>
      <c r="B523" s="14">
        <f>IFERROR(__xludf.DUMMYFUNCTION("""COMPUTED_VALUE"""),1190269.0)</f>
        <v>1190269</v>
      </c>
      <c r="C523" s="14" t="str">
        <f>IFERROR(__xludf.DUMMYFUNCTION("""COMPUTED_VALUE"""),"葉子齊")</f>
        <v>葉子齊</v>
      </c>
      <c r="D523" s="16" t="str">
        <f>IFERROR(__xludf.DUMMYFUNCTION("""COMPUTED_VALUE"""),"iva*****35@apps.ntpc.edu.tw")</f>
        <v>iva*****35@apps.ntpc.edu.tw</v>
      </c>
      <c r="E523" s="17" t="str">
        <f>IFERROR(__xludf.DUMMYFUNCTION("""COMPUTED_VALUE"""),"新北市板橋區文聖國民小學")</f>
        <v>新北市板橋區文聖國民小學</v>
      </c>
      <c r="F523" s="14" t="str">
        <f>IFERROR(__xludf.DUMMYFUNCTION("""COMPUTED_VALUE"""),"五年級")</f>
        <v>五年級</v>
      </c>
      <c r="G523" s="14" t="str">
        <f>IFERROR(__xludf.DUMMYFUNCTION("""COMPUTED_VALUE"""),"●小禮物")</f>
        <v>●小禮物</v>
      </c>
      <c r="H523" s="8"/>
    </row>
    <row r="524">
      <c r="A524" s="18"/>
      <c r="B524" s="14">
        <f>IFERROR(__xludf.DUMMYFUNCTION("""COMPUTED_VALUE"""),1190365.0)</f>
        <v>1190365</v>
      </c>
      <c r="C524" s="14" t="str">
        <f>IFERROR(__xludf.DUMMYFUNCTION("""COMPUTED_VALUE"""),"柯曉鏇")</f>
        <v>柯曉鏇</v>
      </c>
      <c r="D524" s="16" t="str">
        <f>IFERROR(__xludf.DUMMYFUNCTION("""COMPUTED_VALUE"""),"ali*****021@apps.ntpc.edu.tw")</f>
        <v>ali*****021@apps.ntpc.edu.tw</v>
      </c>
      <c r="E524" s="17" t="str">
        <f>IFERROR(__xludf.DUMMYFUNCTION("""COMPUTED_VALUE"""),"新北市板橋區文聖國民小學")</f>
        <v>新北市板橋區文聖國民小學</v>
      </c>
      <c r="F524" s="14" t="str">
        <f>IFERROR(__xludf.DUMMYFUNCTION("""COMPUTED_VALUE"""),"五年級")</f>
        <v>五年級</v>
      </c>
      <c r="G524" s="14" t="str">
        <f>IFERROR(__xludf.DUMMYFUNCTION("""COMPUTED_VALUE"""),"●小禮物")</f>
        <v>●小禮物</v>
      </c>
      <c r="H524" s="8"/>
    </row>
    <row r="525">
      <c r="A525" s="18"/>
      <c r="B525" s="14">
        <f>IFERROR(__xludf.DUMMYFUNCTION("""COMPUTED_VALUE"""),1190360.0)</f>
        <v>1190360</v>
      </c>
      <c r="C525" s="14" t="str">
        <f>IFERROR(__xludf.DUMMYFUNCTION("""COMPUTED_VALUE"""),"蘇芷彤")</f>
        <v>蘇芷彤</v>
      </c>
      <c r="D525" s="16" t="str">
        <f>IFERROR(__xludf.DUMMYFUNCTION("""COMPUTED_VALUE"""),"ton*****3@apps.ntpc.edu.tw")</f>
        <v>ton*****3@apps.ntpc.edu.tw</v>
      </c>
      <c r="E525" s="17" t="str">
        <f>IFERROR(__xludf.DUMMYFUNCTION("""COMPUTED_VALUE"""),"新北市板橋區文聖國民小學")</f>
        <v>新北市板橋區文聖國民小學</v>
      </c>
      <c r="F525" s="14" t="str">
        <f>IFERROR(__xludf.DUMMYFUNCTION("""COMPUTED_VALUE"""),"五年級")</f>
        <v>五年級</v>
      </c>
      <c r="G525" s="14" t="str">
        <f>IFERROR(__xludf.DUMMYFUNCTION("""COMPUTED_VALUE"""),"●小禮物")</f>
        <v>●小禮物</v>
      </c>
      <c r="H525" s="8"/>
    </row>
    <row r="526">
      <c r="A526" s="18"/>
      <c r="B526" s="14">
        <f>IFERROR(__xludf.DUMMYFUNCTION("""COMPUTED_VALUE"""),1190527.0)</f>
        <v>1190527</v>
      </c>
      <c r="C526" s="14" t="str">
        <f>IFERROR(__xludf.DUMMYFUNCTION("""COMPUTED_VALUE"""),"徐梓瑄")</f>
        <v>徐梓瑄</v>
      </c>
      <c r="D526" s="16" t="str">
        <f>IFERROR(__xludf.DUMMYFUNCTION("""COMPUTED_VALUE"""),"amb*****173@apps.ntpc.edu.tw")</f>
        <v>amb*****173@apps.ntpc.edu.tw</v>
      </c>
      <c r="E526" s="17" t="str">
        <f>IFERROR(__xludf.DUMMYFUNCTION("""COMPUTED_VALUE"""),"新北市板橋區文聖國民小學")</f>
        <v>新北市板橋區文聖國民小學</v>
      </c>
      <c r="F526" s="14" t="str">
        <f>IFERROR(__xludf.DUMMYFUNCTION("""COMPUTED_VALUE"""),"五年級")</f>
        <v>五年級</v>
      </c>
      <c r="G526" s="14" t="str">
        <f>IFERROR(__xludf.DUMMYFUNCTION("""COMPUTED_VALUE"""),"●小禮物")</f>
        <v>●小禮物</v>
      </c>
      <c r="H526" s="8"/>
    </row>
    <row r="527">
      <c r="A527" s="18"/>
      <c r="B527" s="14">
        <f>IFERROR(__xludf.DUMMYFUNCTION("""COMPUTED_VALUE"""),1190513.0)</f>
        <v>1190513</v>
      </c>
      <c r="C527" s="14" t="str">
        <f>IFERROR(__xludf.DUMMYFUNCTION("""COMPUTED_VALUE"""),"景冠哲")</f>
        <v>景冠哲</v>
      </c>
      <c r="D527" s="16" t="str">
        <f>IFERROR(__xludf.DUMMYFUNCTION("""COMPUTED_VALUE"""),"pol*****57@apps.ntpc.edu.tw")</f>
        <v>pol*****57@apps.ntpc.edu.tw</v>
      </c>
      <c r="E527" s="17" t="str">
        <f>IFERROR(__xludf.DUMMYFUNCTION("""COMPUTED_VALUE"""),"新北市板橋區文聖國民小學")</f>
        <v>新北市板橋區文聖國民小學</v>
      </c>
      <c r="F527" s="14" t="str">
        <f>IFERROR(__xludf.DUMMYFUNCTION("""COMPUTED_VALUE"""),"五年級")</f>
        <v>五年級</v>
      </c>
      <c r="G527" s="14" t="str">
        <f>IFERROR(__xludf.DUMMYFUNCTION("""COMPUTED_VALUE"""),"●小禮物")</f>
        <v>●小禮物</v>
      </c>
      <c r="H527" s="8"/>
    </row>
    <row r="528">
      <c r="A528" s="18"/>
      <c r="B528" s="14">
        <f>IFERROR(__xludf.DUMMYFUNCTION("""COMPUTED_VALUE"""),1190521.0)</f>
        <v>1190521</v>
      </c>
      <c r="C528" s="14" t="str">
        <f>IFERROR(__xludf.DUMMYFUNCTION("""COMPUTED_VALUE"""),"董羽晏")</f>
        <v>董羽晏</v>
      </c>
      <c r="D528" s="16" t="str">
        <f>IFERROR(__xludf.DUMMYFUNCTION("""COMPUTED_VALUE"""),"dor*****42@apps.ntpc.edu.tw")</f>
        <v>dor*****42@apps.ntpc.edu.tw</v>
      </c>
      <c r="E528" s="17" t="str">
        <f>IFERROR(__xludf.DUMMYFUNCTION("""COMPUTED_VALUE"""),"新北市板橋區文聖國民小學")</f>
        <v>新北市板橋區文聖國民小學</v>
      </c>
      <c r="F528" s="14" t="str">
        <f>IFERROR(__xludf.DUMMYFUNCTION("""COMPUTED_VALUE"""),"五年級")</f>
        <v>五年級</v>
      </c>
      <c r="G528" s="14" t="str">
        <f>IFERROR(__xludf.DUMMYFUNCTION("""COMPUTED_VALUE"""),"●小禮物")</f>
        <v>●小禮物</v>
      </c>
      <c r="H528" s="8"/>
    </row>
    <row r="529">
      <c r="A529" s="18"/>
      <c r="B529" s="14">
        <f>IFERROR(__xludf.DUMMYFUNCTION("""COMPUTED_VALUE"""),1190516.0)</f>
        <v>1190516</v>
      </c>
      <c r="C529" s="14" t="str">
        <f>IFERROR(__xludf.DUMMYFUNCTION("""COMPUTED_VALUE"""),"洪弋鈞")</f>
        <v>洪弋鈞</v>
      </c>
      <c r="D529" s="16" t="str">
        <f>IFERROR(__xludf.DUMMYFUNCTION("""COMPUTED_VALUE"""),"joc*****62@apps.ntpc.edu.tw")</f>
        <v>joc*****62@apps.ntpc.edu.tw</v>
      </c>
      <c r="E529" s="17" t="str">
        <f>IFERROR(__xludf.DUMMYFUNCTION("""COMPUTED_VALUE"""),"新北市板橋區文聖國民小學")</f>
        <v>新北市板橋區文聖國民小學</v>
      </c>
      <c r="F529" s="14" t="str">
        <f>IFERROR(__xludf.DUMMYFUNCTION("""COMPUTED_VALUE"""),"五年級")</f>
        <v>五年級</v>
      </c>
      <c r="G529" s="14" t="str">
        <f>IFERROR(__xludf.DUMMYFUNCTION("""COMPUTED_VALUE"""),"獎狀")</f>
        <v>獎狀</v>
      </c>
      <c r="H529" s="8"/>
    </row>
    <row r="530">
      <c r="A530" s="18"/>
      <c r="B530" s="14">
        <f>IFERROR(__xludf.DUMMYFUNCTION("""COMPUTED_VALUE"""),1190524.0)</f>
        <v>1190524</v>
      </c>
      <c r="C530" s="14" t="str">
        <f>IFERROR(__xludf.DUMMYFUNCTION("""COMPUTED_VALUE"""),"張師慈")</f>
        <v>張師慈</v>
      </c>
      <c r="D530" s="16" t="str">
        <f>IFERROR(__xludf.DUMMYFUNCTION("""COMPUTED_VALUE"""),"els*****70@apps.ntpc.edu.tw")</f>
        <v>els*****70@apps.ntpc.edu.tw</v>
      </c>
      <c r="E530" s="17" t="str">
        <f>IFERROR(__xludf.DUMMYFUNCTION("""COMPUTED_VALUE"""),"新北市板橋區文聖國民小學")</f>
        <v>新北市板橋區文聖國民小學</v>
      </c>
      <c r="F530" s="14" t="str">
        <f>IFERROR(__xludf.DUMMYFUNCTION("""COMPUTED_VALUE"""),"五年級")</f>
        <v>五年級</v>
      </c>
      <c r="G530" s="14" t="str">
        <f>IFERROR(__xludf.DUMMYFUNCTION("""COMPUTED_VALUE"""),"獎狀")</f>
        <v>獎狀</v>
      </c>
      <c r="H530" s="8"/>
    </row>
    <row r="531">
      <c r="A531" s="18"/>
      <c r="B531" s="14">
        <f>IFERROR(__xludf.DUMMYFUNCTION("""COMPUTED_VALUE"""),1190534.0)</f>
        <v>1190534</v>
      </c>
      <c r="C531" s="14" t="str">
        <f>IFERROR(__xludf.DUMMYFUNCTION("""COMPUTED_VALUE"""),"陳詠緁")</f>
        <v>陳詠緁</v>
      </c>
      <c r="D531" s="16" t="str">
        <f>IFERROR(__xludf.DUMMYFUNCTION("""COMPUTED_VALUE"""),"yum*****07@apps.ntpc.edu.tw")</f>
        <v>yum*****07@apps.ntpc.edu.tw</v>
      </c>
      <c r="E531" s="17" t="str">
        <f>IFERROR(__xludf.DUMMYFUNCTION("""COMPUTED_VALUE"""),"新北市板橋區文聖國民小學")</f>
        <v>新北市板橋區文聖國民小學</v>
      </c>
      <c r="F531" s="14" t="str">
        <f>IFERROR(__xludf.DUMMYFUNCTION("""COMPUTED_VALUE"""),"五年級")</f>
        <v>五年級</v>
      </c>
      <c r="G531" s="14" t="str">
        <f>IFERROR(__xludf.DUMMYFUNCTION("""COMPUTED_VALUE"""),"獎狀")</f>
        <v>獎狀</v>
      </c>
      <c r="H531" s="8"/>
    </row>
    <row r="532">
      <c r="A532" s="18"/>
      <c r="B532" s="14">
        <f>IFERROR(__xludf.DUMMYFUNCTION("""COMPUTED_VALUE"""),1190523.0)</f>
        <v>1190523</v>
      </c>
      <c r="C532" s="14" t="str">
        <f>IFERROR(__xludf.DUMMYFUNCTION("""COMPUTED_VALUE"""),"趙羽晴")</f>
        <v>趙羽晴</v>
      </c>
      <c r="D532" s="16" t="str">
        <f>IFERROR(__xludf.DUMMYFUNCTION("""COMPUTED_VALUE"""),"sun*****apps.ntpc.edu.tw")</f>
        <v>sun*****apps.ntpc.edu.tw</v>
      </c>
      <c r="E532" s="17" t="str">
        <f>IFERROR(__xludf.DUMMYFUNCTION("""COMPUTED_VALUE"""),"新北市板橋區文聖國民小學")</f>
        <v>新北市板橋區文聖國民小學</v>
      </c>
      <c r="F532" s="14" t="str">
        <f>IFERROR(__xludf.DUMMYFUNCTION("""COMPUTED_VALUE"""),"五年級")</f>
        <v>五年級</v>
      </c>
      <c r="G532" s="14" t="str">
        <f>IFERROR(__xludf.DUMMYFUNCTION("""COMPUTED_VALUE"""),"獎狀")</f>
        <v>獎狀</v>
      </c>
      <c r="H532" s="8"/>
    </row>
    <row r="533">
      <c r="A533" s="18"/>
      <c r="B533" s="14">
        <f>IFERROR(__xludf.DUMMYFUNCTION("""COMPUTED_VALUE"""),1190578.0)</f>
        <v>1190578</v>
      </c>
      <c r="C533" s="14" t="str">
        <f>IFERROR(__xludf.DUMMYFUNCTION("""COMPUTED_VALUE"""),"許芙瑄")</f>
        <v>許芙瑄</v>
      </c>
      <c r="D533" s="16" t="str">
        <f>IFERROR(__xludf.DUMMYFUNCTION("""COMPUTED_VALUE"""),"cry*****07181@apps.ntpc.edu.tw")</f>
        <v>cry*****07181@apps.ntpc.edu.tw</v>
      </c>
      <c r="E533" s="17" t="str">
        <f>IFERROR(__xludf.DUMMYFUNCTION("""COMPUTED_VALUE"""),"新北市板橋區文聖國民小學")</f>
        <v>新北市板橋區文聖國民小學</v>
      </c>
      <c r="F533" s="14" t="str">
        <f>IFERROR(__xludf.DUMMYFUNCTION("""COMPUTED_VALUE"""),"五年級")</f>
        <v>五年級</v>
      </c>
      <c r="G533" s="14" t="str">
        <f>IFERROR(__xludf.DUMMYFUNCTION("""COMPUTED_VALUE"""),"●小禮物")</f>
        <v>●小禮物</v>
      </c>
      <c r="H533" s="8"/>
    </row>
    <row r="534">
      <c r="A534" s="18"/>
      <c r="B534" s="14">
        <f>IFERROR(__xludf.DUMMYFUNCTION("""COMPUTED_VALUE"""),1190570.0)</f>
        <v>1190570</v>
      </c>
      <c r="C534" s="14" t="str">
        <f>IFERROR(__xludf.DUMMYFUNCTION("""COMPUTED_VALUE"""),"簡裔臻")</f>
        <v>簡裔臻</v>
      </c>
      <c r="D534" s="16" t="str">
        <f>IFERROR(__xludf.DUMMYFUNCTION("""COMPUTED_VALUE"""),"jan*****7199@apps.ntpc.edu.tw")</f>
        <v>jan*****7199@apps.ntpc.edu.tw</v>
      </c>
      <c r="E534" s="17" t="str">
        <f>IFERROR(__xludf.DUMMYFUNCTION("""COMPUTED_VALUE"""),"新北市板橋區文聖國民小學")</f>
        <v>新北市板橋區文聖國民小學</v>
      </c>
      <c r="F534" s="14" t="str">
        <f>IFERROR(__xludf.DUMMYFUNCTION("""COMPUTED_VALUE"""),"五年級")</f>
        <v>五年級</v>
      </c>
      <c r="G534" s="14" t="str">
        <f>IFERROR(__xludf.DUMMYFUNCTION("""COMPUTED_VALUE"""),"●小禮物")</f>
        <v>●小禮物</v>
      </c>
      <c r="H534" s="8"/>
    </row>
    <row r="535">
      <c r="A535" s="18"/>
      <c r="B535" s="14">
        <f>IFERROR(__xludf.DUMMYFUNCTION("""COMPUTED_VALUE"""),1190562.0)</f>
        <v>1190562</v>
      </c>
      <c r="C535" s="14" t="str">
        <f>IFERROR(__xludf.DUMMYFUNCTION("""COMPUTED_VALUE"""),"林佑安")</f>
        <v>林佑安</v>
      </c>
      <c r="D535" s="16" t="str">
        <f>IFERROR(__xludf.DUMMYFUNCTION("""COMPUTED_VALUE"""),"owe*****86@apps.ntpc.edu.tw")</f>
        <v>owe*****86@apps.ntpc.edu.tw</v>
      </c>
      <c r="E535" s="17" t="str">
        <f>IFERROR(__xludf.DUMMYFUNCTION("""COMPUTED_VALUE"""),"新北市板橋區文聖國民小學")</f>
        <v>新北市板橋區文聖國民小學</v>
      </c>
      <c r="F535" s="14" t="str">
        <f>IFERROR(__xludf.DUMMYFUNCTION("""COMPUTED_VALUE"""),"五年級")</f>
        <v>五年級</v>
      </c>
      <c r="G535" s="14" t="str">
        <f>IFERROR(__xludf.DUMMYFUNCTION("""COMPUTED_VALUE"""),"獎狀")</f>
        <v>獎狀</v>
      </c>
      <c r="H535" s="8"/>
    </row>
    <row r="536">
      <c r="A536" s="18"/>
      <c r="B536" s="14">
        <f>IFERROR(__xludf.DUMMYFUNCTION("""COMPUTED_VALUE"""),791374.0)</f>
        <v>791374</v>
      </c>
      <c r="C536" s="14" t="str">
        <f>IFERROR(__xludf.DUMMYFUNCTION("""COMPUTED_VALUE"""),"陳宥妤")</f>
        <v>陳宥妤</v>
      </c>
      <c r="D536" s="16" t="str">
        <f>IFERROR(__xludf.DUMMYFUNCTION("""COMPUTED_VALUE"""),"bec*****202@apps.ntpc.edu.tw")</f>
        <v>bec*****202@apps.ntpc.edu.tw</v>
      </c>
      <c r="E536" s="17" t="str">
        <f>IFERROR(__xludf.DUMMYFUNCTION("""COMPUTED_VALUE"""),"新北市板橋區文聖國民小學")</f>
        <v>新北市板橋區文聖國民小學</v>
      </c>
      <c r="F536" s="14" t="str">
        <f>IFERROR(__xludf.DUMMYFUNCTION("""COMPUTED_VALUE"""),"五年級")</f>
        <v>五年級</v>
      </c>
      <c r="G536" s="14" t="str">
        <f>IFERROR(__xludf.DUMMYFUNCTION("""COMPUTED_VALUE"""),"獎狀")</f>
        <v>獎狀</v>
      </c>
      <c r="H536" s="8"/>
    </row>
    <row r="537">
      <c r="A537" s="18"/>
      <c r="B537" s="14">
        <f>IFERROR(__xludf.DUMMYFUNCTION("""COMPUTED_VALUE"""),1190565.0)</f>
        <v>1190565</v>
      </c>
      <c r="C537" s="14" t="str">
        <f>IFERROR(__xludf.DUMMYFUNCTION("""COMPUTED_VALUE"""),"鄭丞祐")</f>
        <v>鄭丞祐</v>
      </c>
      <c r="D537" s="16" t="str">
        <f>IFERROR(__xludf.DUMMYFUNCTION("""COMPUTED_VALUE"""),"cas*****09@apps.ntpc.edu.twv")</f>
        <v>cas*****09@apps.ntpc.edu.twv</v>
      </c>
      <c r="E537" s="17" t="str">
        <f>IFERROR(__xludf.DUMMYFUNCTION("""COMPUTED_VALUE"""),"新北市板橋區文聖國民小學")</f>
        <v>新北市板橋區文聖國民小學</v>
      </c>
      <c r="F537" s="14" t="str">
        <f>IFERROR(__xludf.DUMMYFUNCTION("""COMPUTED_VALUE"""),"五年級")</f>
        <v>五年級</v>
      </c>
      <c r="G537" s="14" t="str">
        <f>IFERROR(__xludf.DUMMYFUNCTION("""COMPUTED_VALUE"""),"獎狀")</f>
        <v>獎狀</v>
      </c>
      <c r="H537" s="8"/>
    </row>
    <row r="538">
      <c r="A538" s="18"/>
      <c r="B538" s="14">
        <f>IFERROR(__xludf.DUMMYFUNCTION("""COMPUTED_VALUE"""),1190604.0)</f>
        <v>1190604</v>
      </c>
      <c r="C538" s="14" t="str">
        <f>IFERROR(__xludf.DUMMYFUNCTION("""COMPUTED_VALUE"""),"李沛潔")</f>
        <v>李沛潔</v>
      </c>
      <c r="D538" s="16" t="str">
        <f>IFERROR(__xludf.DUMMYFUNCTION("""COMPUTED_VALUE"""),"ali*****143@apps.ntpc.edu.tw")</f>
        <v>ali*****143@apps.ntpc.edu.tw</v>
      </c>
      <c r="E538" s="17" t="str">
        <f>IFERROR(__xludf.DUMMYFUNCTION("""COMPUTED_VALUE"""),"新北市板橋區文聖國民小學")</f>
        <v>新北市板橋區文聖國民小學</v>
      </c>
      <c r="F538" s="14" t="str">
        <f>IFERROR(__xludf.DUMMYFUNCTION("""COMPUTED_VALUE"""),"五年級")</f>
        <v>五年級</v>
      </c>
      <c r="G538" s="14" t="str">
        <f>IFERROR(__xludf.DUMMYFUNCTION("""COMPUTED_VALUE"""),"●小禮物")</f>
        <v>●小禮物</v>
      </c>
      <c r="H538" s="8"/>
    </row>
    <row r="539">
      <c r="A539" s="18"/>
      <c r="B539" s="14">
        <f>IFERROR(__xludf.DUMMYFUNCTION("""COMPUTED_VALUE"""),1190608.0)</f>
        <v>1190608</v>
      </c>
      <c r="C539" s="14" t="str">
        <f>IFERROR(__xludf.DUMMYFUNCTION("""COMPUTED_VALUE"""),"詹謹霙")</f>
        <v>詹謹霙</v>
      </c>
      <c r="D539" s="16" t="str">
        <f>IFERROR(__xludf.DUMMYFUNCTION("""COMPUTED_VALUE"""),"jen*****107044@apps.ntpc.edu.tw")</f>
        <v>jen*****107044@apps.ntpc.edu.tw</v>
      </c>
      <c r="E539" s="17" t="str">
        <f>IFERROR(__xludf.DUMMYFUNCTION("""COMPUTED_VALUE"""),"新北市板橋區文聖國民小學")</f>
        <v>新北市板橋區文聖國民小學</v>
      </c>
      <c r="F539" s="14" t="str">
        <f>IFERROR(__xludf.DUMMYFUNCTION("""COMPUTED_VALUE"""),"五年級")</f>
        <v>五年級</v>
      </c>
      <c r="G539" s="14" t="str">
        <f>IFERROR(__xludf.DUMMYFUNCTION("""COMPUTED_VALUE"""),"●小禮物")</f>
        <v>●小禮物</v>
      </c>
      <c r="H539" s="8"/>
    </row>
    <row r="540">
      <c r="A540" s="18"/>
      <c r="B540" s="14">
        <f>IFERROR(__xludf.DUMMYFUNCTION("""COMPUTED_VALUE"""),1190594.0)</f>
        <v>1190594</v>
      </c>
      <c r="C540" s="14" t="str">
        <f>IFERROR(__xludf.DUMMYFUNCTION("""COMPUTED_VALUE"""),"李奕震")</f>
        <v>李奕震</v>
      </c>
      <c r="D540" s="16" t="str">
        <f>IFERROR(__xludf.DUMMYFUNCTION("""COMPUTED_VALUE"""),"jay*****9@apps.ntpc.edu.tw")</f>
        <v>jay*****9@apps.ntpc.edu.tw</v>
      </c>
      <c r="E540" s="17" t="str">
        <f>IFERROR(__xludf.DUMMYFUNCTION("""COMPUTED_VALUE"""),"新北市板橋區文聖國民小學")</f>
        <v>新北市板橋區文聖國民小學</v>
      </c>
      <c r="F540" s="14" t="str">
        <f>IFERROR(__xludf.DUMMYFUNCTION("""COMPUTED_VALUE"""),"五年級")</f>
        <v>五年級</v>
      </c>
      <c r="G540" s="14" t="str">
        <f>IFERROR(__xludf.DUMMYFUNCTION("""COMPUTED_VALUE"""),"獎狀")</f>
        <v>獎狀</v>
      </c>
      <c r="H540" s="8"/>
    </row>
    <row r="541">
      <c r="A541" s="18"/>
      <c r="B541" s="14">
        <f>IFERROR(__xludf.DUMMYFUNCTION("""COMPUTED_VALUE"""),1190599.0)</f>
        <v>1190599</v>
      </c>
      <c r="C541" s="14" t="str">
        <f>IFERROR(__xludf.DUMMYFUNCTION("""COMPUTED_VALUE"""),"周祐慶")</f>
        <v>周祐慶</v>
      </c>
      <c r="D541" s="16" t="str">
        <f>IFERROR(__xludf.DUMMYFUNCTION("""COMPUTED_VALUE"""),"rya*****87@apps.ntpc.edu.tw")</f>
        <v>rya*****87@apps.ntpc.edu.tw</v>
      </c>
      <c r="E541" s="17" t="str">
        <f>IFERROR(__xludf.DUMMYFUNCTION("""COMPUTED_VALUE"""),"新北市板橋區文聖國民小學")</f>
        <v>新北市板橋區文聖國民小學</v>
      </c>
      <c r="F541" s="14" t="str">
        <f>IFERROR(__xludf.DUMMYFUNCTION("""COMPUTED_VALUE"""),"五年級")</f>
        <v>五年級</v>
      </c>
      <c r="G541" s="14" t="str">
        <f>IFERROR(__xludf.DUMMYFUNCTION("""COMPUTED_VALUE"""),"獎狀")</f>
        <v>獎狀</v>
      </c>
      <c r="H541" s="8"/>
    </row>
    <row r="542">
      <c r="A542" s="18"/>
      <c r="B542" s="14">
        <f>IFERROR(__xludf.DUMMYFUNCTION("""COMPUTED_VALUE"""),1190593.0)</f>
        <v>1190593</v>
      </c>
      <c r="C542" s="14" t="str">
        <f>IFERROR(__xludf.DUMMYFUNCTION("""COMPUTED_VALUE"""),"張書勤")</f>
        <v>張書勤</v>
      </c>
      <c r="D542" s="16" t="str">
        <f>IFERROR(__xludf.DUMMYFUNCTION("""COMPUTED_VALUE"""),"luc*****134@apps.ntpc.edu.tw")</f>
        <v>luc*****134@apps.ntpc.edu.tw</v>
      </c>
      <c r="E542" s="17" t="str">
        <f>IFERROR(__xludf.DUMMYFUNCTION("""COMPUTED_VALUE"""),"新北市板橋區文聖國民小學")</f>
        <v>新北市板橋區文聖國民小學</v>
      </c>
      <c r="F542" s="14" t="str">
        <f>IFERROR(__xludf.DUMMYFUNCTION("""COMPUTED_VALUE"""),"五年級")</f>
        <v>五年級</v>
      </c>
      <c r="G542" s="14" t="str">
        <f>IFERROR(__xludf.DUMMYFUNCTION("""COMPUTED_VALUE"""),"獎狀")</f>
        <v>獎狀</v>
      </c>
      <c r="H542" s="8"/>
    </row>
    <row r="543">
      <c r="A543" s="18"/>
      <c r="B543" s="14">
        <f>IFERROR(__xludf.DUMMYFUNCTION("""COMPUTED_VALUE"""),1190600.0)</f>
        <v>1190600</v>
      </c>
      <c r="C543" s="14" t="str">
        <f>IFERROR(__xludf.DUMMYFUNCTION("""COMPUTED_VALUE"""),"陳楷霖")</f>
        <v>陳楷霖</v>
      </c>
      <c r="D543" s="16" t="str">
        <f>IFERROR(__xludf.DUMMYFUNCTION("""COMPUTED_VALUE"""),"aar*****215@apps.ntpc.edu.tw")</f>
        <v>aar*****215@apps.ntpc.edu.tw</v>
      </c>
      <c r="E543" s="17" t="str">
        <f>IFERROR(__xludf.DUMMYFUNCTION("""COMPUTED_VALUE"""),"新北市板橋區文聖國民小學")</f>
        <v>新北市板橋區文聖國民小學</v>
      </c>
      <c r="F543" s="14" t="str">
        <f>IFERROR(__xludf.DUMMYFUNCTION("""COMPUTED_VALUE"""),"五年級")</f>
        <v>五年級</v>
      </c>
      <c r="G543" s="14" t="str">
        <f>IFERROR(__xludf.DUMMYFUNCTION("""COMPUTED_VALUE"""),"獎狀")</f>
        <v>獎狀</v>
      </c>
      <c r="H543" s="8"/>
    </row>
    <row r="544">
      <c r="A544" s="18"/>
      <c r="B544" s="14">
        <f>IFERROR(__xludf.DUMMYFUNCTION("""COMPUTED_VALUE"""),1190611.0)</f>
        <v>1190611</v>
      </c>
      <c r="C544" s="14" t="str">
        <f>IFERROR(__xludf.DUMMYFUNCTION("""COMPUTED_VALUE"""),"黃雨婕")</f>
        <v>黃雨婕</v>
      </c>
      <c r="D544" s="16" t="str">
        <f>IFERROR(__xludf.DUMMYFUNCTION("""COMPUTED_VALUE"""),"min*****25@apps.ntpc.edu.tw")</f>
        <v>min*****25@apps.ntpc.edu.tw</v>
      </c>
      <c r="E544" s="17" t="str">
        <f>IFERROR(__xludf.DUMMYFUNCTION("""COMPUTED_VALUE"""),"新北市板橋區文聖國民小學")</f>
        <v>新北市板橋區文聖國民小學</v>
      </c>
      <c r="F544" s="14" t="str">
        <f>IFERROR(__xludf.DUMMYFUNCTION("""COMPUTED_VALUE"""),"五年級")</f>
        <v>五年級</v>
      </c>
      <c r="G544" s="14" t="str">
        <f>IFERROR(__xludf.DUMMYFUNCTION("""COMPUTED_VALUE"""),"獎狀")</f>
        <v>獎狀</v>
      </c>
      <c r="H544" s="8"/>
    </row>
    <row r="545">
      <c r="A545" s="18"/>
      <c r="B545" s="14">
        <f>IFERROR(__xludf.DUMMYFUNCTION("""COMPUTED_VALUE"""),1190610.0)</f>
        <v>1190610</v>
      </c>
      <c r="C545" s="14" t="str">
        <f>IFERROR(__xludf.DUMMYFUNCTION("""COMPUTED_VALUE"""),"廖楚瑿")</f>
        <v>廖楚瑿</v>
      </c>
      <c r="D545" s="16" t="str">
        <f>IFERROR(__xludf.DUMMYFUNCTION("""COMPUTED_VALUE"""),"eve*****4@apps.ntpc.edu.tw")</f>
        <v>eve*****4@apps.ntpc.edu.tw</v>
      </c>
      <c r="E545" s="17" t="str">
        <f>IFERROR(__xludf.DUMMYFUNCTION("""COMPUTED_VALUE"""),"新北市板橋區文聖國民小學")</f>
        <v>新北市板橋區文聖國民小學</v>
      </c>
      <c r="F545" s="14" t="str">
        <f>IFERROR(__xludf.DUMMYFUNCTION("""COMPUTED_VALUE"""),"五年級")</f>
        <v>五年級</v>
      </c>
      <c r="G545" s="14" t="str">
        <f>IFERROR(__xludf.DUMMYFUNCTION("""COMPUTED_VALUE"""),"獎狀")</f>
        <v>獎狀</v>
      </c>
      <c r="H545" s="8"/>
    </row>
    <row r="546">
      <c r="A546" s="18"/>
      <c r="B546" s="14">
        <f>IFERROR(__xludf.DUMMYFUNCTION("""COMPUTED_VALUE"""),1190592.0)</f>
        <v>1190592</v>
      </c>
      <c r="C546" s="14" t="str">
        <f>IFERROR(__xludf.DUMMYFUNCTION("""COMPUTED_VALUE"""),"蔡曜丞")</f>
        <v>蔡曜丞</v>
      </c>
      <c r="D546" s="16" t="str">
        <f>IFERROR(__xludf.DUMMYFUNCTION("""COMPUTED_VALUE"""),"aar*****167@apps.ntpc.edu.tw")</f>
        <v>aar*****167@apps.ntpc.edu.tw</v>
      </c>
      <c r="E546" s="17" t="str">
        <f>IFERROR(__xludf.DUMMYFUNCTION("""COMPUTED_VALUE"""),"新北市板橋區文聖國民小學")</f>
        <v>新北市板橋區文聖國民小學</v>
      </c>
      <c r="F546" s="14" t="str">
        <f>IFERROR(__xludf.DUMMYFUNCTION("""COMPUTED_VALUE"""),"五年級")</f>
        <v>五年級</v>
      </c>
      <c r="G546" s="14" t="str">
        <f>IFERROR(__xludf.DUMMYFUNCTION("""COMPUTED_VALUE"""),"獎狀")</f>
        <v>獎狀</v>
      </c>
      <c r="H546" s="8"/>
    </row>
    <row r="547">
      <c r="A547" s="18"/>
      <c r="B547" s="14">
        <f>IFERROR(__xludf.DUMMYFUNCTION("""COMPUTED_VALUE"""),1215402.0)</f>
        <v>1215402</v>
      </c>
      <c r="C547" s="14" t="str">
        <f>IFERROR(__xludf.DUMMYFUNCTION("""COMPUTED_VALUE"""),"何燦佑")</f>
        <v>何燦佑</v>
      </c>
      <c r="D547" s="16" t="str">
        <f>IFERROR(__xludf.DUMMYFUNCTION("""COMPUTED_VALUE"""),"edw*****7999.ntpc@mail.edu.tw")</f>
        <v>edw*****7999.ntpc@mail.edu.tw</v>
      </c>
      <c r="E547" s="17" t="str">
        <f>IFERROR(__xludf.DUMMYFUNCTION("""COMPUTED_VALUE"""),"新北市板橋區文聖國民小學")</f>
        <v>新北市板橋區文聖國民小學</v>
      </c>
      <c r="F547" s="14" t="str">
        <f>IFERROR(__xludf.DUMMYFUNCTION("""COMPUTED_VALUE"""),"五年級")</f>
        <v>五年級</v>
      </c>
      <c r="G547" s="14" t="str">
        <f>IFERROR(__xludf.DUMMYFUNCTION("""COMPUTED_VALUE"""),"獎狀")</f>
        <v>獎狀</v>
      </c>
      <c r="H547" s="8"/>
    </row>
    <row r="548">
      <c r="A548" s="18"/>
      <c r="B548" s="14">
        <f>IFERROR(__xludf.DUMMYFUNCTION("""COMPUTED_VALUE"""),1190326.0)</f>
        <v>1190326</v>
      </c>
      <c r="C548" s="14" t="str">
        <f>IFERROR(__xludf.DUMMYFUNCTION("""COMPUTED_VALUE"""),"趙羽喬")</f>
        <v>趙羽喬</v>
      </c>
      <c r="D548" s="16" t="str">
        <f>IFERROR(__xludf.DUMMYFUNCTION("""COMPUTED_VALUE"""),"jen*****apps.ntpc.edu.tw")</f>
        <v>jen*****apps.ntpc.edu.tw</v>
      </c>
      <c r="E548" s="17" t="str">
        <f>IFERROR(__xludf.DUMMYFUNCTION("""COMPUTED_VALUE"""),"新北市板橋區文聖國民小學")</f>
        <v>新北市板橋區文聖國民小學</v>
      </c>
      <c r="F548" s="14" t="str">
        <f>IFERROR(__xludf.DUMMYFUNCTION("""COMPUTED_VALUE"""),"五年級")</f>
        <v>五年級</v>
      </c>
      <c r="G548" s="14" t="str">
        <f>IFERROR(__xludf.DUMMYFUNCTION("""COMPUTED_VALUE"""),"獎狀")</f>
        <v>獎狀</v>
      </c>
      <c r="H548" s="8"/>
    </row>
    <row r="549">
      <c r="A549" s="18"/>
      <c r="B549" s="14">
        <f>IFERROR(__xludf.DUMMYFUNCTION("""COMPUTED_VALUE"""),718635.0)</f>
        <v>718635</v>
      </c>
      <c r="C549" s="14" t="str">
        <f>IFERROR(__xludf.DUMMYFUNCTION("""COMPUTED_VALUE"""),"陳咨霈")</f>
        <v>陳咨霈</v>
      </c>
      <c r="D549" s="16" t="str">
        <f>IFERROR(__xludf.DUMMYFUNCTION("""COMPUTED_VALUE"""),"per*****s.ntpc.edu.tw")</f>
        <v>per*****s.ntpc.edu.tw</v>
      </c>
      <c r="E549" s="17" t="str">
        <f>IFERROR(__xludf.DUMMYFUNCTION("""COMPUTED_VALUE"""),"新北市板橋區信義國民小學")</f>
        <v>新北市板橋區信義國民小學</v>
      </c>
      <c r="F549" s="14" t="str">
        <f>IFERROR(__xludf.DUMMYFUNCTION("""COMPUTED_VALUE"""),"五年級")</f>
        <v>五年級</v>
      </c>
      <c r="G549" s="14" t="str">
        <f>IFERROR(__xludf.DUMMYFUNCTION("""COMPUTED_VALUE"""),"●小禮物")</f>
        <v>●小禮物</v>
      </c>
      <c r="H549" s="8"/>
    </row>
    <row r="550">
      <c r="A550" s="18"/>
      <c r="B550" s="14">
        <f>IFERROR(__xludf.DUMMYFUNCTION("""COMPUTED_VALUE"""),765312.0)</f>
        <v>765312</v>
      </c>
      <c r="C550" s="14" t="str">
        <f>IFERROR(__xludf.DUMMYFUNCTION("""COMPUTED_VALUE"""),"陳怡蓁")</f>
        <v>陳怡蓁</v>
      </c>
      <c r="D550" s="16" t="str">
        <f>IFERROR(__xludf.DUMMYFUNCTION("""COMPUTED_VALUE"""),"ycc*****08@apps.ntpc.edu.tw")</f>
        <v>ycc*****08@apps.ntpc.edu.tw</v>
      </c>
      <c r="E550" s="17" t="str">
        <f>IFERROR(__xludf.DUMMYFUNCTION("""COMPUTED_VALUE"""),"新北市板橋區信義國民小學")</f>
        <v>新北市板橋區信義國民小學</v>
      </c>
      <c r="F550" s="14" t="str">
        <f>IFERROR(__xludf.DUMMYFUNCTION("""COMPUTED_VALUE"""),"六年級")</f>
        <v>六年級</v>
      </c>
      <c r="G550" s="14" t="str">
        <f>IFERROR(__xludf.DUMMYFUNCTION("""COMPUTED_VALUE"""),"★禮券$500")</f>
        <v>★禮券$500</v>
      </c>
      <c r="H550" s="8"/>
    </row>
    <row r="551">
      <c r="A551" s="18"/>
      <c r="B551" s="14">
        <f>IFERROR(__xludf.DUMMYFUNCTION("""COMPUTED_VALUE"""),1117976.0)</f>
        <v>1117976</v>
      </c>
      <c r="C551" s="14" t="str">
        <f>IFERROR(__xludf.DUMMYFUNCTION("""COMPUTED_VALUE"""),"李林蓁")</f>
        <v>李林蓁</v>
      </c>
      <c r="D551" s="16" t="str">
        <f>IFERROR(__xludf.DUMMYFUNCTION("""COMPUTED_VALUE"""),"llj*****ntpc@mail.edu.tw")</f>
        <v>llj*****ntpc@mail.edu.tw</v>
      </c>
      <c r="E551" s="17" t="str">
        <f>IFERROR(__xludf.DUMMYFUNCTION("""COMPUTED_VALUE"""),"新北市板橋區江翠國民小學")</f>
        <v>新北市板橋區江翠國民小學</v>
      </c>
      <c r="F551" s="14" t="str">
        <f>IFERROR(__xludf.DUMMYFUNCTION("""COMPUTED_VALUE"""),"三年級")</f>
        <v>三年級</v>
      </c>
      <c r="G551" s="14" t="str">
        <f>IFERROR(__xludf.DUMMYFUNCTION("""COMPUTED_VALUE"""),"獎狀")</f>
        <v>獎狀</v>
      </c>
      <c r="H551" s="8"/>
    </row>
    <row r="552">
      <c r="A552" s="18"/>
      <c r="B552" s="14">
        <f>IFERROR(__xludf.DUMMYFUNCTION("""COMPUTED_VALUE"""),1202203.0)</f>
        <v>1202203</v>
      </c>
      <c r="C552" s="14" t="str">
        <f>IFERROR(__xludf.DUMMYFUNCTION("""COMPUTED_VALUE"""),"許晉誠")</f>
        <v>許晉誠</v>
      </c>
      <c r="D552" s="16" t="str">
        <f>IFERROR(__xludf.DUMMYFUNCTION("""COMPUTED_VALUE"""),"jc0*****4.ntpc@mail.edu.tw")</f>
        <v>jc0*****4.ntpc@mail.edu.tw</v>
      </c>
      <c r="E552" s="17" t="str">
        <f>IFERROR(__xludf.DUMMYFUNCTION("""COMPUTED_VALUE"""),"新北市板橋區江翠國民小學")</f>
        <v>新北市板橋區江翠國民小學</v>
      </c>
      <c r="F552" s="14" t="str">
        <f>IFERROR(__xludf.DUMMYFUNCTION("""COMPUTED_VALUE"""),"六年級")</f>
        <v>六年級</v>
      </c>
      <c r="G552" s="14" t="str">
        <f>IFERROR(__xludf.DUMMYFUNCTION("""COMPUTED_VALUE"""),"獎狀")</f>
        <v>獎狀</v>
      </c>
      <c r="H552" s="8"/>
    </row>
    <row r="553">
      <c r="A553" s="18"/>
      <c r="B553" s="14">
        <f>IFERROR(__xludf.DUMMYFUNCTION("""COMPUTED_VALUE"""),556698.0)</f>
        <v>556698</v>
      </c>
      <c r="C553" s="14" t="str">
        <f>IFERROR(__xludf.DUMMYFUNCTION("""COMPUTED_VALUE"""),"陳裕岳")</f>
        <v>陳裕岳</v>
      </c>
      <c r="D553" s="16" t="str">
        <f>IFERROR(__xludf.DUMMYFUNCTION("""COMPUTED_VALUE"""),"jc0*****1.ntpc@mail.edu.tw")</f>
        <v>jc0*****1.ntpc@mail.edu.tw</v>
      </c>
      <c r="E553" s="17" t="str">
        <f>IFERROR(__xludf.DUMMYFUNCTION("""COMPUTED_VALUE"""),"新北市板橋區江翠國民小學")</f>
        <v>新北市板橋區江翠國民小學</v>
      </c>
      <c r="F553" s="14" t="str">
        <f>IFERROR(__xludf.DUMMYFUNCTION("""COMPUTED_VALUE"""),"六年級")</f>
        <v>六年級</v>
      </c>
      <c r="G553" s="14" t="str">
        <f>IFERROR(__xludf.DUMMYFUNCTION("""COMPUTED_VALUE"""),"獎狀")</f>
        <v>獎狀</v>
      </c>
      <c r="H553" s="8"/>
    </row>
    <row r="554">
      <c r="A554" s="18"/>
      <c r="B554" s="14">
        <f>IFERROR(__xludf.DUMMYFUNCTION("""COMPUTED_VALUE"""),1202208.0)</f>
        <v>1202208</v>
      </c>
      <c r="C554" s="14" t="str">
        <f>IFERROR(__xludf.DUMMYFUNCTION("""COMPUTED_VALUE"""),"王舒菡")</f>
        <v>王舒菡</v>
      </c>
      <c r="D554" s="16" t="str">
        <f>IFERROR(__xludf.DUMMYFUNCTION("""COMPUTED_VALUE"""),"jc1*****.ntpc@mail.edu.tw")</f>
        <v>jc1*****.ntpc@mail.edu.tw</v>
      </c>
      <c r="E554" s="17" t="str">
        <f>IFERROR(__xludf.DUMMYFUNCTION("""COMPUTED_VALUE"""),"新北市板橋區江翠國民小學")</f>
        <v>新北市板橋區江翠國民小學</v>
      </c>
      <c r="F554" s="14" t="str">
        <f>IFERROR(__xludf.DUMMYFUNCTION("""COMPUTED_VALUE"""),"六年級")</f>
        <v>六年級</v>
      </c>
      <c r="G554" s="14" t="str">
        <f>IFERROR(__xludf.DUMMYFUNCTION("""COMPUTED_VALUE"""),"獎狀")</f>
        <v>獎狀</v>
      </c>
      <c r="H554" s="8"/>
    </row>
    <row r="555">
      <c r="A555" s="18"/>
      <c r="B555" s="14">
        <f>IFERROR(__xludf.DUMMYFUNCTION("""COMPUTED_VALUE"""),1202210.0)</f>
        <v>1202210</v>
      </c>
      <c r="C555" s="14" t="str">
        <f>IFERROR(__xludf.DUMMYFUNCTION("""COMPUTED_VALUE"""),"李承翰")</f>
        <v>李承翰</v>
      </c>
      <c r="D555" s="16" t="str">
        <f>IFERROR(__xludf.DUMMYFUNCTION("""COMPUTED_VALUE"""),"jc0*****8.ntpc@mail.edu.tw")</f>
        <v>jc0*****8.ntpc@mail.edu.tw</v>
      </c>
      <c r="E555" s="17" t="str">
        <f>IFERROR(__xludf.DUMMYFUNCTION("""COMPUTED_VALUE"""),"新北市板橋區江翠國民小學")</f>
        <v>新北市板橋區江翠國民小學</v>
      </c>
      <c r="F555" s="14" t="str">
        <f>IFERROR(__xludf.DUMMYFUNCTION("""COMPUTED_VALUE"""),"六年級")</f>
        <v>六年級</v>
      </c>
      <c r="G555" s="14" t="str">
        <f>IFERROR(__xludf.DUMMYFUNCTION("""COMPUTED_VALUE"""),"獎狀")</f>
        <v>獎狀</v>
      </c>
      <c r="H555" s="8"/>
    </row>
    <row r="556">
      <c r="A556" s="18"/>
      <c r="B556" s="14">
        <f>IFERROR(__xludf.DUMMYFUNCTION("""COMPUTED_VALUE"""),1202211.0)</f>
        <v>1202211</v>
      </c>
      <c r="C556" s="14" t="str">
        <f>IFERROR(__xludf.DUMMYFUNCTION("""COMPUTED_VALUE"""),"李柏緯")</f>
        <v>李柏緯</v>
      </c>
      <c r="D556" s="16" t="str">
        <f>IFERROR(__xludf.DUMMYFUNCTION("""COMPUTED_VALUE"""),"jc0*****1.ntpc@mail.edu.tw")</f>
        <v>jc0*****1.ntpc@mail.edu.tw</v>
      </c>
      <c r="E556" s="17" t="str">
        <f>IFERROR(__xludf.DUMMYFUNCTION("""COMPUTED_VALUE"""),"新北市板橋區江翠國民小學")</f>
        <v>新北市板橋區江翠國民小學</v>
      </c>
      <c r="F556" s="14" t="str">
        <f>IFERROR(__xludf.DUMMYFUNCTION("""COMPUTED_VALUE"""),"六年級")</f>
        <v>六年級</v>
      </c>
      <c r="G556" s="14" t="str">
        <f>IFERROR(__xludf.DUMMYFUNCTION("""COMPUTED_VALUE"""),"●小禮物")</f>
        <v>●小禮物</v>
      </c>
      <c r="H556" s="8"/>
    </row>
    <row r="557">
      <c r="A557" s="18"/>
      <c r="B557" s="14">
        <f>IFERROR(__xludf.DUMMYFUNCTION("""COMPUTED_VALUE"""),1202240.0)</f>
        <v>1202240</v>
      </c>
      <c r="C557" s="14" t="str">
        <f>IFERROR(__xludf.DUMMYFUNCTION("""COMPUTED_VALUE"""),"黃鈺庭")</f>
        <v>黃鈺庭</v>
      </c>
      <c r="D557" s="16" t="str">
        <f>IFERROR(__xludf.DUMMYFUNCTION("""COMPUTED_VALUE"""),"jc0*****2.ntpc@mail.edu.tw")</f>
        <v>jc0*****2.ntpc@mail.edu.tw</v>
      </c>
      <c r="E557" s="17" t="str">
        <f>IFERROR(__xludf.DUMMYFUNCTION("""COMPUTED_VALUE"""),"新北市板橋區江翠國民小學")</f>
        <v>新北市板橋區江翠國民小學</v>
      </c>
      <c r="F557" s="14" t="str">
        <f>IFERROR(__xludf.DUMMYFUNCTION("""COMPUTED_VALUE"""),"六年級")</f>
        <v>六年級</v>
      </c>
      <c r="G557" s="14" t="str">
        <f>IFERROR(__xludf.DUMMYFUNCTION("""COMPUTED_VALUE"""),"●小禮物")</f>
        <v>●小禮物</v>
      </c>
      <c r="H557" s="8"/>
    </row>
    <row r="558">
      <c r="A558" s="18"/>
      <c r="B558" s="14">
        <f>IFERROR(__xludf.DUMMYFUNCTION("""COMPUTED_VALUE"""),1202229.0)</f>
        <v>1202229</v>
      </c>
      <c r="C558" s="14" t="str">
        <f>IFERROR(__xludf.DUMMYFUNCTION("""COMPUTED_VALUE"""),"李程稼")</f>
        <v>李程稼</v>
      </c>
      <c r="D558" s="16" t="str">
        <f>IFERROR(__xludf.DUMMYFUNCTION("""COMPUTED_VALUE"""),"jc0*****6.ntpc@mail.edu.tw")</f>
        <v>jc0*****6.ntpc@mail.edu.tw</v>
      </c>
      <c r="E558" s="17" t="str">
        <f>IFERROR(__xludf.DUMMYFUNCTION("""COMPUTED_VALUE"""),"新北市板橋區江翠國民小學")</f>
        <v>新北市板橋區江翠國民小學</v>
      </c>
      <c r="F558" s="14" t="str">
        <f>IFERROR(__xludf.DUMMYFUNCTION("""COMPUTED_VALUE"""),"六年級")</f>
        <v>六年級</v>
      </c>
      <c r="G558" s="14" t="str">
        <f>IFERROR(__xludf.DUMMYFUNCTION("""COMPUTED_VALUE"""),"獎狀")</f>
        <v>獎狀</v>
      </c>
      <c r="H558" s="8"/>
    </row>
    <row r="559">
      <c r="A559" s="18"/>
      <c r="B559" s="14">
        <f>IFERROR(__xludf.DUMMYFUNCTION("""COMPUTED_VALUE"""),1202226.0)</f>
        <v>1202226</v>
      </c>
      <c r="C559" s="14" t="str">
        <f>IFERROR(__xludf.DUMMYFUNCTION("""COMPUTED_VALUE"""),"凌婕恩")</f>
        <v>凌婕恩</v>
      </c>
      <c r="D559" s="16" t="str">
        <f>IFERROR(__xludf.DUMMYFUNCTION("""COMPUTED_VALUE"""),"jc1*****.ntpc@mail.edu.tw")</f>
        <v>jc1*****.ntpc@mail.edu.tw</v>
      </c>
      <c r="E559" s="17" t="str">
        <f>IFERROR(__xludf.DUMMYFUNCTION("""COMPUTED_VALUE"""),"新北市板橋區江翠國民小學")</f>
        <v>新北市板橋區江翠國民小學</v>
      </c>
      <c r="F559" s="14" t="str">
        <f>IFERROR(__xludf.DUMMYFUNCTION("""COMPUTED_VALUE"""),"六年級")</f>
        <v>六年級</v>
      </c>
      <c r="G559" s="14" t="str">
        <f>IFERROR(__xludf.DUMMYFUNCTION("""COMPUTED_VALUE"""),"獎狀")</f>
        <v>獎狀</v>
      </c>
      <c r="H559" s="8"/>
    </row>
    <row r="560">
      <c r="A560" s="18"/>
      <c r="B560" s="14">
        <f>IFERROR(__xludf.DUMMYFUNCTION("""COMPUTED_VALUE"""),861873.0)</f>
        <v>861873</v>
      </c>
      <c r="C560" s="14" t="str">
        <f>IFERROR(__xludf.DUMMYFUNCTION("""COMPUTED_VALUE"""),"黃盈伽")</f>
        <v>黃盈伽</v>
      </c>
      <c r="D560" s="16" t="str">
        <f>IFERROR(__xludf.DUMMYFUNCTION("""COMPUTED_VALUE"""),"ka1*****m@mail.edu.tw")</f>
        <v>ka1*****m@mail.edu.tw</v>
      </c>
      <c r="E560" s="17" t="str">
        <f>IFERROR(__xludf.DUMMYFUNCTION("""COMPUTED_VALUE"""),"新北市板橋區江翠國民小學")</f>
        <v>新北市板橋區江翠國民小學</v>
      </c>
      <c r="F560" s="14" t="str">
        <f>IFERROR(__xludf.DUMMYFUNCTION("""COMPUTED_VALUE"""),"六年級")</f>
        <v>六年級</v>
      </c>
      <c r="G560" s="14" t="str">
        <f>IFERROR(__xludf.DUMMYFUNCTION("""COMPUTED_VALUE"""),"獎狀")</f>
        <v>獎狀</v>
      </c>
      <c r="H560" s="8"/>
    </row>
    <row r="561">
      <c r="A561" s="18"/>
      <c r="B561" s="14">
        <f>IFERROR(__xludf.DUMMYFUNCTION("""COMPUTED_VALUE"""),1202204.0)</f>
        <v>1202204</v>
      </c>
      <c r="C561" s="14" t="str">
        <f>IFERROR(__xludf.DUMMYFUNCTION("""COMPUTED_VALUE"""),"戴靖恩")</f>
        <v>戴靖恩</v>
      </c>
      <c r="D561" s="16" t="str">
        <f>IFERROR(__xludf.DUMMYFUNCTION("""COMPUTED_VALUE"""),"jc0*****1.ntpc@mail.edu.tw")</f>
        <v>jc0*****1.ntpc@mail.edu.tw</v>
      </c>
      <c r="E561" s="17" t="str">
        <f>IFERROR(__xludf.DUMMYFUNCTION("""COMPUTED_VALUE"""),"新北市板橋區江翠國民小學")</f>
        <v>新北市板橋區江翠國民小學</v>
      </c>
      <c r="F561" s="14" t="str">
        <f>IFERROR(__xludf.DUMMYFUNCTION("""COMPUTED_VALUE"""),"六年級")</f>
        <v>六年級</v>
      </c>
      <c r="G561" s="14" t="str">
        <f>IFERROR(__xludf.DUMMYFUNCTION("""COMPUTED_VALUE"""),"獎狀")</f>
        <v>獎狀</v>
      </c>
      <c r="H561" s="8"/>
    </row>
    <row r="562">
      <c r="A562" s="18"/>
      <c r="B562" s="14">
        <f>IFERROR(__xludf.DUMMYFUNCTION("""COMPUTED_VALUE"""),1206885.0)</f>
        <v>1206885</v>
      </c>
      <c r="C562" s="14" t="str">
        <f>IFERROR(__xludf.DUMMYFUNCTION("""COMPUTED_VALUE"""),"石庭睿")</f>
        <v>石庭睿</v>
      </c>
      <c r="D562" s="16" t="str">
        <f>IFERROR(__xludf.DUMMYFUNCTION("""COMPUTED_VALUE"""),"jc0*****6.ntpc@mail.edu.tw")</f>
        <v>jc0*****6.ntpc@mail.edu.tw</v>
      </c>
      <c r="E562" s="17" t="str">
        <f>IFERROR(__xludf.DUMMYFUNCTION("""COMPUTED_VALUE"""),"新北市板橋區江翠國民小學")</f>
        <v>新北市板橋區江翠國民小學</v>
      </c>
      <c r="F562" s="14" t="str">
        <f>IFERROR(__xludf.DUMMYFUNCTION("""COMPUTED_VALUE"""),"六年級")</f>
        <v>六年級</v>
      </c>
      <c r="G562" s="14" t="str">
        <f>IFERROR(__xludf.DUMMYFUNCTION("""COMPUTED_VALUE"""),"獎狀")</f>
        <v>獎狀</v>
      </c>
      <c r="H562" s="8"/>
    </row>
    <row r="563">
      <c r="A563" s="18"/>
      <c r="B563" s="14">
        <f>IFERROR(__xludf.DUMMYFUNCTION("""COMPUTED_VALUE"""),1207736.0)</f>
        <v>1207736</v>
      </c>
      <c r="C563" s="14" t="str">
        <f>IFERROR(__xludf.DUMMYFUNCTION("""COMPUTED_VALUE"""),"陳禹潼")</f>
        <v>陳禹潼</v>
      </c>
      <c r="D563" s="16" t="str">
        <f>IFERROR(__xludf.DUMMYFUNCTION("""COMPUTED_VALUE"""),"ton*****.ntpc@mail.edu.tw")</f>
        <v>ton*****.ntpc@mail.edu.tw</v>
      </c>
      <c r="E563" s="17" t="str">
        <f>IFERROR(__xludf.DUMMYFUNCTION("""COMPUTED_VALUE"""),"新北市板橋區江翠國民小學")</f>
        <v>新北市板橋區江翠國民小學</v>
      </c>
      <c r="F563" s="14" t="str">
        <f>IFERROR(__xludf.DUMMYFUNCTION("""COMPUTED_VALUE"""),"六年級")</f>
        <v>六年級</v>
      </c>
      <c r="G563" s="14" t="str">
        <f>IFERROR(__xludf.DUMMYFUNCTION("""COMPUTED_VALUE"""),"★禮券$500")</f>
        <v>★禮券$500</v>
      </c>
      <c r="H563" s="8"/>
    </row>
    <row r="564">
      <c r="A564" s="18"/>
      <c r="B564" s="14">
        <f>IFERROR(__xludf.DUMMYFUNCTION("""COMPUTED_VALUE"""),1207728.0)</f>
        <v>1207728</v>
      </c>
      <c r="C564" s="14" t="str">
        <f>IFERROR(__xludf.DUMMYFUNCTION("""COMPUTED_VALUE"""),"李萁浧")</f>
        <v>李萁浧</v>
      </c>
      <c r="D564" s="16" t="str">
        <f>IFERROR(__xludf.DUMMYFUNCTION("""COMPUTED_VALUE"""),"jc0*****8.ntpc@mail.edu.tw")</f>
        <v>jc0*****8.ntpc@mail.edu.tw</v>
      </c>
      <c r="E564" s="17" t="str">
        <f>IFERROR(__xludf.DUMMYFUNCTION("""COMPUTED_VALUE"""),"新北市板橋區江翠國民小學")</f>
        <v>新北市板橋區江翠國民小學</v>
      </c>
      <c r="F564" s="14" t="str">
        <f>IFERROR(__xludf.DUMMYFUNCTION("""COMPUTED_VALUE"""),"六年級")</f>
        <v>六年級</v>
      </c>
      <c r="G564" s="14" t="str">
        <f>IFERROR(__xludf.DUMMYFUNCTION("""COMPUTED_VALUE"""),"獎狀")</f>
        <v>獎狀</v>
      </c>
      <c r="H564" s="8"/>
    </row>
    <row r="565">
      <c r="A565" s="18"/>
      <c r="B565" s="14">
        <f>IFERROR(__xludf.DUMMYFUNCTION("""COMPUTED_VALUE"""),1207737.0)</f>
        <v>1207737</v>
      </c>
      <c r="C565" s="14" t="str">
        <f>IFERROR(__xludf.DUMMYFUNCTION("""COMPUTED_VALUE"""),"張晏甄")</f>
        <v>張晏甄</v>
      </c>
      <c r="D565" s="16" t="str">
        <f>IFERROR(__xludf.DUMMYFUNCTION("""COMPUTED_VALUE"""),"jc1*****.ntpc@mail.edu.tw")</f>
        <v>jc1*****.ntpc@mail.edu.tw</v>
      </c>
      <c r="E565" s="17" t="str">
        <f>IFERROR(__xludf.DUMMYFUNCTION("""COMPUTED_VALUE"""),"新北市板橋區江翠國民小學")</f>
        <v>新北市板橋區江翠國民小學</v>
      </c>
      <c r="F565" s="14" t="str">
        <f>IFERROR(__xludf.DUMMYFUNCTION("""COMPUTED_VALUE"""),"六年級")</f>
        <v>六年級</v>
      </c>
      <c r="G565" s="14" t="str">
        <f>IFERROR(__xludf.DUMMYFUNCTION("""COMPUTED_VALUE"""),"獎狀")</f>
        <v>獎狀</v>
      </c>
      <c r="H565" s="8"/>
    </row>
    <row r="566">
      <c r="A566" s="18"/>
      <c r="B566" s="14">
        <f>IFERROR(__xludf.DUMMYFUNCTION("""COMPUTED_VALUE"""),1207752.0)</f>
        <v>1207752</v>
      </c>
      <c r="C566" s="14" t="str">
        <f>IFERROR(__xludf.DUMMYFUNCTION("""COMPUTED_VALUE"""),"曾楷恆")</f>
        <v>曾楷恆</v>
      </c>
      <c r="D566" s="16" t="str">
        <f>IFERROR(__xludf.DUMMYFUNCTION("""COMPUTED_VALUE"""),"jc0*****6.ntpc@mail.edu.tw")</f>
        <v>jc0*****6.ntpc@mail.edu.tw</v>
      </c>
      <c r="E566" s="17" t="str">
        <f>IFERROR(__xludf.DUMMYFUNCTION("""COMPUTED_VALUE"""),"新北市板橋區江翠國民小學")</f>
        <v>新北市板橋區江翠國民小學</v>
      </c>
      <c r="F566" s="14" t="str">
        <f>IFERROR(__xludf.DUMMYFUNCTION("""COMPUTED_VALUE"""),"六年級")</f>
        <v>六年級</v>
      </c>
      <c r="G566" s="14" t="str">
        <f>IFERROR(__xludf.DUMMYFUNCTION("""COMPUTED_VALUE"""),"獎狀")</f>
        <v>獎狀</v>
      </c>
      <c r="H566" s="8"/>
    </row>
    <row r="567">
      <c r="A567" s="18"/>
      <c r="B567" s="14">
        <f>IFERROR(__xludf.DUMMYFUNCTION("""COMPUTED_VALUE"""),353847.0)</f>
        <v>353847</v>
      </c>
      <c r="C567" s="14" t="str">
        <f>IFERROR(__xludf.DUMMYFUNCTION("""COMPUTED_VALUE"""),"余浩誠")</f>
        <v>余浩誠</v>
      </c>
      <c r="D567" s="16" t="str">
        <f>IFERROR(__xludf.DUMMYFUNCTION("""COMPUTED_VALUE"""),"jc0*****3@apps.ntpc.edu.tw")</f>
        <v>jc0*****3@apps.ntpc.edu.tw</v>
      </c>
      <c r="E567" s="17" t="str">
        <f>IFERROR(__xludf.DUMMYFUNCTION("""COMPUTED_VALUE"""),"新北市板橋區江翠國民小學")</f>
        <v>新北市板橋區江翠國民小學</v>
      </c>
      <c r="F567" s="14" t="str">
        <f>IFERROR(__xludf.DUMMYFUNCTION("""COMPUTED_VALUE"""),"六年級")</f>
        <v>六年級</v>
      </c>
      <c r="G567" s="14" t="str">
        <f>IFERROR(__xludf.DUMMYFUNCTION("""COMPUTED_VALUE"""),"獎狀")</f>
        <v>獎狀</v>
      </c>
      <c r="H567" s="8"/>
    </row>
    <row r="568">
      <c r="A568" s="18"/>
      <c r="B568" s="14">
        <f>IFERROR(__xludf.DUMMYFUNCTION("""COMPUTED_VALUE"""),1215837.0)</f>
        <v>1215837</v>
      </c>
      <c r="C568" s="14" t="str">
        <f>IFERROR(__xludf.DUMMYFUNCTION("""COMPUTED_VALUE"""),"張佳承")</f>
        <v>張佳承</v>
      </c>
      <c r="D568" s="16" t="str">
        <f>IFERROR(__xludf.DUMMYFUNCTION("""COMPUTED_VALUE"""),"zjc*****apps.ntpc.edu.tw")</f>
        <v>zjc*****apps.ntpc.edu.tw</v>
      </c>
      <c r="E568" s="17" t="str">
        <f>IFERROR(__xludf.DUMMYFUNCTION("""COMPUTED_VALUE"""),"新北市板橋區江翠國民小學")</f>
        <v>新北市板橋區江翠國民小學</v>
      </c>
      <c r="F568" s="14" t="str">
        <f>IFERROR(__xludf.DUMMYFUNCTION("""COMPUTED_VALUE"""),"六年級")</f>
        <v>六年級</v>
      </c>
      <c r="G568" s="14" t="str">
        <f>IFERROR(__xludf.DUMMYFUNCTION("""COMPUTED_VALUE"""),"●小禮物")</f>
        <v>●小禮物</v>
      </c>
      <c r="H568" s="8"/>
    </row>
    <row r="569">
      <c r="A569" s="18"/>
      <c r="B569" s="14">
        <f>IFERROR(__xludf.DUMMYFUNCTION("""COMPUTED_VALUE"""),748711.0)</f>
        <v>748711</v>
      </c>
      <c r="C569" s="14" t="str">
        <f>IFERROR(__xludf.DUMMYFUNCTION("""COMPUTED_VALUE"""),"彭懷德")</f>
        <v>彭懷德</v>
      </c>
      <c r="D569" s="16" t="str">
        <f>IFERROR(__xludf.DUMMYFUNCTION("""COMPUTED_VALUE"""),"luc*****@yahoo.com.tw")</f>
        <v>luc*****@yahoo.com.tw</v>
      </c>
      <c r="E569" s="17" t="str">
        <f>IFERROR(__xludf.DUMMYFUNCTION("""COMPUTED_VALUE"""),"新北市板橋區後埔國民小學")</f>
        <v>新北市板橋區後埔國民小學</v>
      </c>
      <c r="F569" s="14" t="str">
        <f>IFERROR(__xludf.DUMMYFUNCTION("""COMPUTED_VALUE"""),"三年級")</f>
        <v>三年級</v>
      </c>
      <c r="G569" s="14" t="str">
        <f>IFERROR(__xludf.DUMMYFUNCTION("""COMPUTED_VALUE"""),"獎狀")</f>
        <v>獎狀</v>
      </c>
      <c r="H569" s="8"/>
    </row>
    <row r="570">
      <c r="A570" s="18"/>
      <c r="B570" s="14">
        <f>IFERROR(__xludf.DUMMYFUNCTION("""COMPUTED_VALUE"""),800859.0)</f>
        <v>800859</v>
      </c>
      <c r="C570" s="14" t="str">
        <f>IFERROR(__xludf.DUMMYFUNCTION("""COMPUTED_VALUE"""),"陳顥文")</f>
        <v>陳顥文</v>
      </c>
      <c r="D570" s="16" t="str">
        <f>IFERROR(__xludf.DUMMYFUNCTION("""COMPUTED_VALUE"""),"rya*****en@gmail.com")</f>
        <v>rya*****en@gmail.com</v>
      </c>
      <c r="E570" s="17" t="str">
        <f>IFERROR(__xludf.DUMMYFUNCTION("""COMPUTED_VALUE"""),"新北市板橋區後埔國民小學")</f>
        <v>新北市板橋區後埔國民小學</v>
      </c>
      <c r="F570" s="14" t="str">
        <f>IFERROR(__xludf.DUMMYFUNCTION("""COMPUTED_VALUE"""),"四年級")</f>
        <v>四年級</v>
      </c>
      <c r="G570" s="14" t="str">
        <f>IFERROR(__xludf.DUMMYFUNCTION("""COMPUTED_VALUE"""),"獎狀")</f>
        <v>獎狀</v>
      </c>
      <c r="H570" s="8"/>
    </row>
    <row r="571">
      <c r="A571" s="18"/>
      <c r="B571" s="14">
        <f>IFERROR(__xludf.DUMMYFUNCTION("""COMPUTED_VALUE"""),940378.0)</f>
        <v>940378</v>
      </c>
      <c r="C571" s="14" t="str">
        <f>IFERROR(__xludf.DUMMYFUNCTION("""COMPUTED_VALUE"""),"劉彥妤")</f>
        <v>劉彥妤</v>
      </c>
      <c r="D571" s="16" t="str">
        <f>IFERROR(__xludf.DUMMYFUNCTION("""COMPUTED_VALUE"""),"hp1*****28@apps.ntpc.edu.tw")</f>
        <v>hp1*****28@apps.ntpc.edu.tw</v>
      </c>
      <c r="E571" s="17" t="str">
        <f>IFERROR(__xludf.DUMMYFUNCTION("""COMPUTED_VALUE"""),"新北市板橋區後埔國民小學")</f>
        <v>新北市板橋區後埔國民小學</v>
      </c>
      <c r="F571" s="14" t="str">
        <f>IFERROR(__xludf.DUMMYFUNCTION("""COMPUTED_VALUE"""),"四年級")</f>
        <v>四年級</v>
      </c>
      <c r="G571" s="14" t="str">
        <f>IFERROR(__xludf.DUMMYFUNCTION("""COMPUTED_VALUE"""),"●小禮物")</f>
        <v>●小禮物</v>
      </c>
      <c r="H571" s="8"/>
    </row>
    <row r="572">
      <c r="A572" s="18"/>
      <c r="B572" s="14">
        <f>IFERROR(__xludf.DUMMYFUNCTION("""COMPUTED_VALUE"""),986867.0)</f>
        <v>986867</v>
      </c>
      <c r="C572" s="14" t="str">
        <f>IFERROR(__xludf.DUMMYFUNCTION("""COMPUTED_VALUE"""),"李詠晴")</f>
        <v>李詠晴</v>
      </c>
      <c r="D572" s="16" t="str">
        <f>IFERROR(__xludf.DUMMYFUNCTION("""COMPUTED_VALUE"""),"hp1*****pps.ntpc.edu.tw")</f>
        <v>hp1*****pps.ntpc.edu.tw</v>
      </c>
      <c r="E572" s="17" t="str">
        <f>IFERROR(__xludf.DUMMYFUNCTION("""COMPUTED_VALUE"""),"新北市板橋區後埔國民小學")</f>
        <v>新北市板橋區後埔國民小學</v>
      </c>
      <c r="F572" s="14" t="str">
        <f>IFERROR(__xludf.DUMMYFUNCTION("""COMPUTED_VALUE"""),"五年級")</f>
        <v>五年級</v>
      </c>
      <c r="G572" s="14" t="str">
        <f>IFERROR(__xludf.DUMMYFUNCTION("""COMPUTED_VALUE"""),"獎狀")</f>
        <v>獎狀</v>
      </c>
      <c r="H572" s="8"/>
    </row>
    <row r="573">
      <c r="A573" s="18"/>
      <c r="B573" s="14">
        <f>IFERROR(__xludf.DUMMYFUNCTION("""COMPUTED_VALUE"""),993667.0)</f>
        <v>993667</v>
      </c>
      <c r="C573" s="14" t="str">
        <f>IFERROR(__xludf.DUMMYFUNCTION("""COMPUTED_VALUE"""),"蔡昕燁")</f>
        <v>蔡昕燁</v>
      </c>
      <c r="D573" s="16" t="str">
        <f>IFERROR(__xludf.DUMMYFUNCTION("""COMPUTED_VALUE"""),"ava*****2@gmail.com")</f>
        <v>ava*****2@gmail.com</v>
      </c>
      <c r="E573" s="17" t="str">
        <f>IFERROR(__xludf.DUMMYFUNCTION("""COMPUTED_VALUE"""),"新北市板橋區莒光國民小學")</f>
        <v>新北市板橋區莒光國民小學</v>
      </c>
      <c r="F573" s="14" t="str">
        <f>IFERROR(__xludf.DUMMYFUNCTION("""COMPUTED_VALUE"""),"四年級")</f>
        <v>四年級</v>
      </c>
      <c r="G573" s="14" t="str">
        <f>IFERROR(__xludf.DUMMYFUNCTION("""COMPUTED_VALUE"""),"獎狀")</f>
        <v>獎狀</v>
      </c>
      <c r="H573" s="8"/>
    </row>
    <row r="574">
      <c r="A574" s="18"/>
      <c r="B574" s="14">
        <f>IFERROR(__xludf.DUMMYFUNCTION("""COMPUTED_VALUE"""),278670.0)</f>
        <v>278670</v>
      </c>
      <c r="C574" s="14" t="str">
        <f>IFERROR(__xludf.DUMMYFUNCTION("""COMPUTED_VALUE"""),"游千霈")</f>
        <v>游千霈</v>
      </c>
      <c r="D574" s="16" t="str">
        <f>IFERROR(__xludf.DUMMYFUNCTION("""COMPUTED_VALUE"""),"s08*****ntpc@mail.edu.tw")</f>
        <v>s08*****ntpc@mail.edu.tw</v>
      </c>
      <c r="E574" s="17" t="str">
        <f>IFERROR(__xludf.DUMMYFUNCTION("""COMPUTED_VALUE"""),"新北市板橋區莒光國民小學")</f>
        <v>新北市板橋區莒光國民小學</v>
      </c>
      <c r="F574" s="14" t="str">
        <f>IFERROR(__xludf.DUMMYFUNCTION("""COMPUTED_VALUE"""),"四年級")</f>
        <v>四年級</v>
      </c>
      <c r="G574" s="14" t="str">
        <f>IFERROR(__xludf.DUMMYFUNCTION("""COMPUTED_VALUE"""),"獎狀")</f>
        <v>獎狀</v>
      </c>
      <c r="H574" s="8"/>
    </row>
    <row r="575">
      <c r="A575" s="18"/>
      <c r="B575" s="14">
        <f>IFERROR(__xludf.DUMMYFUNCTION("""COMPUTED_VALUE"""),1040625.0)</f>
        <v>1040625</v>
      </c>
      <c r="C575" s="14" t="str">
        <f>IFERROR(__xludf.DUMMYFUNCTION("""COMPUTED_VALUE"""),"張奕祥")</f>
        <v>張奕祥</v>
      </c>
      <c r="D575" s="16" t="str">
        <f>IFERROR(__xludf.DUMMYFUNCTION("""COMPUTED_VALUE"""),"asn*****0@gmail.com")</f>
        <v>asn*****0@gmail.com</v>
      </c>
      <c r="E575" s="17" t="str">
        <f>IFERROR(__xludf.DUMMYFUNCTION("""COMPUTED_VALUE"""),"新北市板橋區板橋國民小學")</f>
        <v>新北市板橋區板橋國民小學</v>
      </c>
      <c r="F575" s="14" t="str">
        <f>IFERROR(__xludf.DUMMYFUNCTION("""COMPUTED_VALUE"""),"三年級")</f>
        <v>三年級</v>
      </c>
      <c r="G575" s="14" t="str">
        <f>IFERROR(__xludf.DUMMYFUNCTION("""COMPUTED_VALUE"""),"●小禮物")</f>
        <v>●小禮物</v>
      </c>
      <c r="H575" s="8"/>
    </row>
    <row r="576">
      <c r="A576" s="18"/>
      <c r="B576" s="14">
        <f>IFERROR(__xludf.DUMMYFUNCTION("""COMPUTED_VALUE"""),1214575.0)</f>
        <v>1214575</v>
      </c>
      <c r="C576" s="14" t="str">
        <f>IFERROR(__xludf.DUMMYFUNCTION("""COMPUTED_VALUE"""),"曾宥熙")</f>
        <v>曾宥熙</v>
      </c>
      <c r="D576" s="16" t="str">
        <f>IFERROR(__xludf.DUMMYFUNCTION("""COMPUTED_VALUE"""),"cyx*****mail.edu.tw")</f>
        <v>cyx*****mail.edu.tw</v>
      </c>
      <c r="E576" s="17" t="str">
        <f>IFERROR(__xludf.DUMMYFUNCTION("""COMPUTED_VALUE"""),"新北市板橋區板橋國民小學")</f>
        <v>新北市板橋區板橋國民小學</v>
      </c>
      <c r="F576" s="14" t="str">
        <f>IFERROR(__xludf.DUMMYFUNCTION("""COMPUTED_VALUE"""),"四年級")</f>
        <v>四年級</v>
      </c>
      <c r="G576" s="14" t="str">
        <f>IFERROR(__xludf.DUMMYFUNCTION("""COMPUTED_VALUE"""),"獎狀")</f>
        <v>獎狀</v>
      </c>
      <c r="H576" s="8"/>
    </row>
    <row r="577">
      <c r="A577" s="18"/>
      <c r="B577" s="14">
        <f>IFERROR(__xludf.DUMMYFUNCTION("""COMPUTED_VALUE"""),217060.0)</f>
        <v>217060</v>
      </c>
      <c r="C577" s="14" t="str">
        <f>IFERROR(__xludf.DUMMYFUNCTION("""COMPUTED_VALUE"""),"翁明妤")</f>
        <v>翁明妤</v>
      </c>
      <c r="D577" s="16" t="str">
        <f>IFERROR(__xludf.DUMMYFUNCTION("""COMPUTED_VALUE"""),"s10*****pcps.ntpc.edu.tw")</f>
        <v>s10*****pcps.ntpc.edu.tw</v>
      </c>
      <c r="E577" s="17" t="str">
        <f>IFERROR(__xludf.DUMMYFUNCTION("""COMPUTED_VALUE"""),"新北市板橋區板橋國民小學")</f>
        <v>新北市板橋區板橋國民小學</v>
      </c>
      <c r="F577" s="14" t="str">
        <f>IFERROR(__xludf.DUMMYFUNCTION("""COMPUTED_VALUE"""),"五年級")</f>
        <v>五年級</v>
      </c>
      <c r="G577" s="14" t="str">
        <f>IFERROR(__xludf.DUMMYFUNCTION("""COMPUTED_VALUE"""),"●小禮物")</f>
        <v>●小禮物</v>
      </c>
      <c r="H577" s="8"/>
    </row>
    <row r="578">
      <c r="A578" s="18"/>
      <c r="B578" s="14">
        <f>IFERROR(__xludf.DUMMYFUNCTION("""COMPUTED_VALUE"""),656566.0)</f>
        <v>656566</v>
      </c>
      <c r="C578" s="14" t="str">
        <f>IFERROR(__xludf.DUMMYFUNCTION("""COMPUTED_VALUE"""),"李瑄")</f>
        <v>李瑄</v>
      </c>
      <c r="D578" s="16" t="str">
        <f>IFERROR(__xludf.DUMMYFUNCTION("""COMPUTED_VALUE"""),"sha*****okage@hotmail.com")</f>
        <v>sha*****okage@hotmail.com</v>
      </c>
      <c r="E578" s="17" t="str">
        <f>IFERROR(__xludf.DUMMYFUNCTION("""COMPUTED_VALUE"""),"新北市板橋區板橋國民小學")</f>
        <v>新北市板橋區板橋國民小學</v>
      </c>
      <c r="F578" s="14" t="str">
        <f>IFERROR(__xludf.DUMMYFUNCTION("""COMPUTED_VALUE"""),"五年級")</f>
        <v>五年級</v>
      </c>
      <c r="G578" s="14" t="str">
        <f>IFERROR(__xludf.DUMMYFUNCTION("""COMPUTED_VALUE"""),"獎狀")</f>
        <v>獎狀</v>
      </c>
      <c r="H578" s="8"/>
    </row>
    <row r="579">
      <c r="A579" s="18"/>
      <c r="B579" s="14">
        <f>IFERROR(__xludf.DUMMYFUNCTION("""COMPUTED_VALUE"""),975128.0)</f>
        <v>975128</v>
      </c>
      <c r="C579" s="14" t="str">
        <f>IFERROR(__xludf.DUMMYFUNCTION("""COMPUTED_VALUE"""),"謝沐昀")</f>
        <v>謝沐昀</v>
      </c>
      <c r="D579" s="16" t="str">
        <f>IFERROR(__xludf.DUMMYFUNCTION("""COMPUTED_VALUE"""),"s10*****pcps.ntpc.edu.tw")</f>
        <v>s10*****pcps.ntpc.edu.tw</v>
      </c>
      <c r="E579" s="17" t="str">
        <f>IFERROR(__xludf.DUMMYFUNCTION("""COMPUTED_VALUE"""),"新北市板橋區板橋國民小學")</f>
        <v>新北市板橋區板橋國民小學</v>
      </c>
      <c r="F579" s="14" t="str">
        <f>IFERROR(__xludf.DUMMYFUNCTION("""COMPUTED_VALUE"""),"五年級")</f>
        <v>五年級</v>
      </c>
      <c r="G579" s="14" t="str">
        <f>IFERROR(__xludf.DUMMYFUNCTION("""COMPUTED_VALUE"""),"★禮券$200")</f>
        <v>★禮券$200</v>
      </c>
      <c r="H579" s="8"/>
    </row>
    <row r="580">
      <c r="A580" s="18"/>
      <c r="B580" s="14">
        <f>IFERROR(__xludf.DUMMYFUNCTION("""COMPUTED_VALUE"""),1210824.0)</f>
        <v>1210824</v>
      </c>
      <c r="C580" s="14" t="str">
        <f>IFERROR(__xludf.DUMMYFUNCTION("""COMPUTED_VALUE"""),"林歆潼")</f>
        <v>林歆潼</v>
      </c>
      <c r="D580" s="16" t="str">
        <f>IFERROR(__xludf.DUMMYFUNCTION("""COMPUTED_VALUE"""),"lxt*****apps.ntpc.edu.tw")</f>
        <v>lxt*****apps.ntpc.edu.tw</v>
      </c>
      <c r="E580" s="17" t="str">
        <f>IFERROR(__xludf.DUMMYFUNCTION("""COMPUTED_VALUE"""),"新北市板橋區文德國民小學")</f>
        <v>新北市板橋區文德國民小學</v>
      </c>
      <c r="F580" s="14" t="str">
        <f>IFERROR(__xludf.DUMMYFUNCTION("""COMPUTED_VALUE"""),"三年級")</f>
        <v>三年級</v>
      </c>
      <c r="G580" s="14" t="str">
        <f>IFERROR(__xludf.DUMMYFUNCTION("""COMPUTED_VALUE"""),"獎狀")</f>
        <v>獎狀</v>
      </c>
      <c r="H580" s="8"/>
    </row>
    <row r="581">
      <c r="A581" s="18"/>
      <c r="B581" s="14">
        <f>IFERROR(__xludf.DUMMYFUNCTION("""COMPUTED_VALUE"""),1205883.0)</f>
        <v>1205883</v>
      </c>
      <c r="C581" s="14" t="str">
        <f>IFERROR(__xludf.DUMMYFUNCTION("""COMPUTED_VALUE"""),"林歆宸")</f>
        <v>林歆宸</v>
      </c>
      <c r="D581" s="16" t="str">
        <f>IFERROR(__xludf.DUMMYFUNCTION("""COMPUTED_VALUE"""),"lxc*****apps.ntpc.edu.tw")</f>
        <v>lxc*****apps.ntpc.edu.tw</v>
      </c>
      <c r="E581" s="17" t="str">
        <f>IFERROR(__xludf.DUMMYFUNCTION("""COMPUTED_VALUE"""),"新北市板橋區文德國民小學")</f>
        <v>新北市板橋區文德國民小學</v>
      </c>
      <c r="F581" s="14" t="str">
        <f>IFERROR(__xludf.DUMMYFUNCTION("""COMPUTED_VALUE"""),"五年級")</f>
        <v>五年級</v>
      </c>
      <c r="G581" s="14" t="str">
        <f>IFERROR(__xludf.DUMMYFUNCTION("""COMPUTED_VALUE"""),"●小禮物")</f>
        <v>●小禮物</v>
      </c>
      <c r="H581" s="8"/>
    </row>
    <row r="582">
      <c r="A582" s="18"/>
      <c r="B582" s="14">
        <f>IFERROR(__xludf.DUMMYFUNCTION("""COMPUTED_VALUE"""),603758.0)</f>
        <v>603758</v>
      </c>
      <c r="C582" s="14" t="str">
        <f>IFERROR(__xludf.DUMMYFUNCTION("""COMPUTED_VALUE"""),"詹睿安")</f>
        <v>詹睿安</v>
      </c>
      <c r="D582" s="16" t="str">
        <f>IFERROR(__xludf.DUMMYFUNCTION("""COMPUTED_VALUE"""),"zra*****apps.ntpc.edu.tw")</f>
        <v>zra*****apps.ntpc.edu.tw</v>
      </c>
      <c r="E582" s="17" t="str">
        <f>IFERROR(__xludf.DUMMYFUNCTION("""COMPUTED_VALUE"""),"新北市板橋區文德國民小學")</f>
        <v>新北市板橋區文德國民小學</v>
      </c>
      <c r="F582" s="14" t="str">
        <f>IFERROR(__xludf.DUMMYFUNCTION("""COMPUTED_VALUE"""),"五年級")</f>
        <v>五年級</v>
      </c>
      <c r="G582" s="14" t="str">
        <f>IFERROR(__xludf.DUMMYFUNCTION("""COMPUTED_VALUE"""),"獎狀")</f>
        <v>獎狀</v>
      </c>
      <c r="H582" s="8"/>
    </row>
    <row r="583">
      <c r="A583" s="18"/>
      <c r="B583" s="14">
        <f>IFERROR(__xludf.DUMMYFUNCTION("""COMPUTED_VALUE"""),824849.0)</f>
        <v>824849</v>
      </c>
      <c r="C583" s="14" t="str">
        <f>IFERROR(__xludf.DUMMYFUNCTION("""COMPUTED_VALUE"""),"楊淮蓁")</f>
        <v>楊淮蓁</v>
      </c>
      <c r="D583" s="16" t="str">
        <f>IFERROR(__xludf.DUMMYFUNCTION("""COMPUTED_VALUE"""),"lan*****s@yahoo.com.tw")</f>
        <v>lan*****s@yahoo.com.tw</v>
      </c>
      <c r="E583" s="17" t="str">
        <f>IFERROR(__xludf.DUMMYFUNCTION("""COMPUTED_VALUE"""),"新北市板橋區新埔國民小學")</f>
        <v>新北市板橋區新埔國民小學</v>
      </c>
      <c r="F583" s="14" t="str">
        <f>IFERROR(__xludf.DUMMYFUNCTION("""COMPUTED_VALUE"""),"四年級")</f>
        <v>四年級</v>
      </c>
      <c r="G583" s="14" t="str">
        <f>IFERROR(__xludf.DUMMYFUNCTION("""COMPUTED_VALUE"""),"獎狀")</f>
        <v>獎狀</v>
      </c>
      <c r="H583" s="8"/>
    </row>
    <row r="584">
      <c r="A584" s="18"/>
      <c r="B584" s="14">
        <f>IFERROR(__xludf.DUMMYFUNCTION("""COMPUTED_VALUE"""),1202264.0)</f>
        <v>1202264</v>
      </c>
      <c r="C584" s="14" t="str">
        <f>IFERROR(__xludf.DUMMYFUNCTION("""COMPUTED_VALUE"""),"許富婷")</f>
        <v>許富婷</v>
      </c>
      <c r="D584" s="16" t="str">
        <f>IFERROR(__xludf.DUMMYFUNCTION("""COMPUTED_VALUE"""),"xft*****ntpc@mail.edu.tw")</f>
        <v>xft*****ntpc@mail.edu.tw</v>
      </c>
      <c r="E584" s="17" t="str">
        <f>IFERROR(__xludf.DUMMYFUNCTION("""COMPUTED_VALUE"""),"新北市板橋區新埔國民小學")</f>
        <v>新北市板橋區新埔國民小學</v>
      </c>
      <c r="F584" s="14" t="str">
        <f>IFERROR(__xludf.DUMMYFUNCTION("""COMPUTED_VALUE"""),"五年級")</f>
        <v>五年級</v>
      </c>
      <c r="G584" s="14" t="str">
        <f>IFERROR(__xludf.DUMMYFUNCTION("""COMPUTED_VALUE"""),"獎狀")</f>
        <v>獎狀</v>
      </c>
      <c r="H584" s="8"/>
    </row>
    <row r="585">
      <c r="A585" s="18"/>
      <c r="B585" s="14">
        <f>IFERROR(__xludf.DUMMYFUNCTION("""COMPUTED_VALUE"""),1118990.0)</f>
        <v>1118990</v>
      </c>
      <c r="C585" s="14" t="str">
        <f>IFERROR(__xludf.DUMMYFUNCTION("""COMPUTED_VALUE"""),"梁恩愷")</f>
        <v>梁恩愷</v>
      </c>
      <c r="D585" s="16" t="str">
        <f>IFERROR(__xludf.DUMMYFUNCTION("""COMPUTED_VALUE"""),"neo*****1@gmail.com")</f>
        <v>neo*****1@gmail.com</v>
      </c>
      <c r="E585" s="17" t="str">
        <f>IFERROR(__xludf.DUMMYFUNCTION("""COMPUTED_VALUE"""),"新北市板橋區新埔國民小學")</f>
        <v>新北市板橋區新埔國民小學</v>
      </c>
      <c r="F585" s="14" t="str">
        <f>IFERROR(__xludf.DUMMYFUNCTION("""COMPUTED_VALUE"""),"五年級")</f>
        <v>五年級</v>
      </c>
      <c r="G585" s="14" t="str">
        <f>IFERROR(__xludf.DUMMYFUNCTION("""COMPUTED_VALUE"""),"●小禮物")</f>
        <v>●小禮物</v>
      </c>
      <c r="H585" s="8"/>
    </row>
    <row r="586">
      <c r="A586" s="18"/>
      <c r="B586" s="14">
        <f>IFERROR(__xludf.DUMMYFUNCTION("""COMPUTED_VALUE"""),1203706.0)</f>
        <v>1203706</v>
      </c>
      <c r="C586" s="14" t="str">
        <f>IFERROR(__xludf.DUMMYFUNCTION("""COMPUTED_VALUE"""),"王彤心")</f>
        <v>王彤心</v>
      </c>
      <c r="D586" s="16" t="str">
        <f>IFERROR(__xludf.DUMMYFUNCTION("""COMPUTED_VALUE"""),"f10*****apps.ntpc.edu.tw")</f>
        <v>f10*****apps.ntpc.edu.tw</v>
      </c>
      <c r="E586" s="17" t="str">
        <f>IFERROR(__xludf.DUMMYFUNCTION("""COMPUTED_VALUE"""),"新北市板橋區新埔國民小學")</f>
        <v>新北市板橋區新埔國民小學</v>
      </c>
      <c r="F586" s="14" t="str">
        <f>IFERROR(__xludf.DUMMYFUNCTION("""COMPUTED_VALUE"""),"六年級")</f>
        <v>六年級</v>
      </c>
      <c r="G586" s="14" t="str">
        <f>IFERROR(__xludf.DUMMYFUNCTION("""COMPUTED_VALUE"""),"●小禮物")</f>
        <v>●小禮物</v>
      </c>
      <c r="H586" s="8"/>
    </row>
    <row r="587">
      <c r="A587" s="18"/>
      <c r="B587" s="14">
        <f>IFERROR(__xludf.DUMMYFUNCTION("""COMPUTED_VALUE"""),838510.0)</f>
        <v>838510</v>
      </c>
      <c r="C587" s="14" t="str">
        <f>IFERROR(__xludf.DUMMYFUNCTION("""COMPUTED_VALUE"""),"蔡心彤")</f>
        <v>蔡心彤</v>
      </c>
      <c r="D587" s="16" t="str">
        <f>IFERROR(__xludf.DUMMYFUNCTION("""COMPUTED_VALUE"""),"f10*****apps.ntpc.edu.tw")</f>
        <v>f10*****apps.ntpc.edu.tw</v>
      </c>
      <c r="E587" s="17" t="str">
        <f>IFERROR(__xludf.DUMMYFUNCTION("""COMPUTED_VALUE"""),"新北市板橋區新埔國民小學")</f>
        <v>新北市板橋區新埔國民小學</v>
      </c>
      <c r="F587" s="14" t="str">
        <f>IFERROR(__xludf.DUMMYFUNCTION("""COMPUTED_VALUE"""),"六年級")</f>
        <v>六年級</v>
      </c>
      <c r="G587" s="14" t="str">
        <f>IFERROR(__xludf.DUMMYFUNCTION("""COMPUTED_VALUE"""),"●小禮物")</f>
        <v>●小禮物</v>
      </c>
      <c r="H587" s="8"/>
    </row>
    <row r="588">
      <c r="A588" s="18"/>
      <c r="B588" s="14">
        <f>IFERROR(__xludf.DUMMYFUNCTION("""COMPUTED_VALUE"""),1203709.0)</f>
        <v>1203709</v>
      </c>
      <c r="C588" s="14" t="str">
        <f>IFERROR(__xludf.DUMMYFUNCTION("""COMPUTED_VALUE"""),"陳譓筑")</f>
        <v>陳譓筑</v>
      </c>
      <c r="D588" s="16" t="str">
        <f>IFERROR(__xludf.DUMMYFUNCTION("""COMPUTED_VALUE"""),"f10*****apps.ntpc.edu.tw")</f>
        <v>f10*****apps.ntpc.edu.tw</v>
      </c>
      <c r="E588" s="17" t="str">
        <f>IFERROR(__xludf.DUMMYFUNCTION("""COMPUTED_VALUE"""),"新北市板橋區新埔國民小學")</f>
        <v>新北市板橋區新埔國民小學</v>
      </c>
      <c r="F588" s="14" t="str">
        <f>IFERROR(__xludf.DUMMYFUNCTION("""COMPUTED_VALUE"""),"六年級")</f>
        <v>六年級</v>
      </c>
      <c r="G588" s="14" t="str">
        <f>IFERROR(__xludf.DUMMYFUNCTION("""COMPUTED_VALUE"""),"獎狀")</f>
        <v>獎狀</v>
      </c>
      <c r="H588" s="8"/>
    </row>
    <row r="589">
      <c r="A589" s="18"/>
      <c r="B589" s="14">
        <f>IFERROR(__xludf.DUMMYFUNCTION("""COMPUTED_VALUE"""),1100038.0)</f>
        <v>1100038</v>
      </c>
      <c r="C589" s="14" t="str">
        <f>IFERROR(__xludf.DUMMYFUNCTION("""COMPUTED_VALUE"""),"江書辰")</f>
        <v>江書辰</v>
      </c>
      <c r="D589" s="16" t="str">
        <f>IFERROR(__xludf.DUMMYFUNCTION("""COMPUTED_VALUE"""),"ray*****1121@apps.ntpc.edu.tw")</f>
        <v>ray*****1121@apps.ntpc.edu.tw</v>
      </c>
      <c r="E589" s="17" t="str">
        <f>IFERROR(__xludf.DUMMYFUNCTION("""COMPUTED_VALUE"""),"新北市板橋區實踐國民小學")</f>
        <v>新北市板橋區實踐國民小學</v>
      </c>
      <c r="F589" s="14" t="str">
        <f>IFERROR(__xludf.DUMMYFUNCTION("""COMPUTED_VALUE"""),"三年級")</f>
        <v>三年級</v>
      </c>
      <c r="G589" s="14" t="str">
        <f>IFERROR(__xludf.DUMMYFUNCTION("""COMPUTED_VALUE"""),"獎狀")</f>
        <v>獎狀</v>
      </c>
      <c r="H589" s="8"/>
    </row>
    <row r="590">
      <c r="A590" s="18"/>
      <c r="B590" s="14">
        <f>IFERROR(__xludf.DUMMYFUNCTION("""COMPUTED_VALUE"""),1017787.0)</f>
        <v>1017787</v>
      </c>
      <c r="C590" s="14" t="str">
        <f>IFERROR(__xludf.DUMMYFUNCTION("""COMPUTED_VALUE"""),"劉品樂")</f>
        <v>劉品樂</v>
      </c>
      <c r="D590" s="16" t="str">
        <f>IFERROR(__xludf.DUMMYFUNCTION("""COMPUTED_VALUE"""),"wil*****@apps.ntpc.edu.tw")</f>
        <v>wil*****@apps.ntpc.edu.tw</v>
      </c>
      <c r="E590" s="17" t="str">
        <f>IFERROR(__xludf.DUMMYFUNCTION("""COMPUTED_VALUE"""),"新北市板橋區實踐國民小學")</f>
        <v>新北市板橋區實踐國民小學</v>
      </c>
      <c r="F590" s="14" t="str">
        <f>IFERROR(__xludf.DUMMYFUNCTION("""COMPUTED_VALUE"""),"六年級")</f>
        <v>六年級</v>
      </c>
      <c r="G590" s="14" t="str">
        <f>IFERROR(__xludf.DUMMYFUNCTION("""COMPUTED_VALUE"""),"●小禮物")</f>
        <v>●小禮物</v>
      </c>
      <c r="H590" s="8"/>
    </row>
    <row r="591">
      <c r="A591" s="18"/>
      <c r="B591" s="14">
        <f>IFERROR(__xludf.DUMMYFUNCTION("""COMPUTED_VALUE"""),1207113.0)</f>
        <v>1207113</v>
      </c>
      <c r="C591" s="14" t="str">
        <f>IFERROR(__xludf.DUMMYFUNCTION("""COMPUTED_VALUE"""),"王元佑")</f>
        <v>王元佑</v>
      </c>
      <c r="D591" s="16" t="str">
        <f>IFERROR(__xludf.DUMMYFUNCTION("""COMPUTED_VALUE"""),"wyy*****apps.ntpc.edu.tw")</f>
        <v>wyy*****apps.ntpc.edu.tw</v>
      </c>
      <c r="E591" s="17" t="str">
        <f>IFERROR(__xludf.DUMMYFUNCTION("""COMPUTED_VALUE"""),"新北市板橋區實踐國民小學")</f>
        <v>新北市板橋區實踐國民小學</v>
      </c>
      <c r="F591" s="14" t="str">
        <f>IFERROR(__xludf.DUMMYFUNCTION("""COMPUTED_VALUE"""),"六年級")</f>
        <v>六年級</v>
      </c>
      <c r="G591" s="14" t="str">
        <f>IFERROR(__xludf.DUMMYFUNCTION("""COMPUTED_VALUE"""),"獎狀")</f>
        <v>獎狀</v>
      </c>
      <c r="H591" s="8"/>
    </row>
    <row r="592">
      <c r="A592" s="18"/>
      <c r="B592" s="14">
        <f>IFERROR(__xludf.DUMMYFUNCTION("""COMPUTED_VALUE"""),1167726.0)</f>
        <v>1167726</v>
      </c>
      <c r="C592" s="14" t="str">
        <f>IFERROR(__xludf.DUMMYFUNCTION("""COMPUTED_VALUE"""),"李丞鏡")</f>
        <v>李丞鏡</v>
      </c>
      <c r="D592" s="16" t="str">
        <f>IFERROR(__xludf.DUMMYFUNCTION("""COMPUTED_VALUE"""),"hs1*****@apps.ntpc.edu.tw")</f>
        <v>hs1*****@apps.ntpc.edu.tw</v>
      </c>
      <c r="E592" s="17" t="str">
        <f>IFERROR(__xludf.DUMMYFUNCTION("""COMPUTED_VALUE"""),"新北市板橋區海山國民小學")</f>
        <v>新北市板橋區海山國民小學</v>
      </c>
      <c r="F592" s="14" t="str">
        <f>IFERROR(__xludf.DUMMYFUNCTION("""COMPUTED_VALUE"""),"四年級")</f>
        <v>四年級</v>
      </c>
      <c r="G592" s="14" t="str">
        <f>IFERROR(__xludf.DUMMYFUNCTION("""COMPUTED_VALUE"""),"獎狀")</f>
        <v>獎狀</v>
      </c>
      <c r="H592" s="8"/>
    </row>
    <row r="593">
      <c r="A593" s="18"/>
      <c r="B593" s="14">
        <f>IFERROR(__xludf.DUMMYFUNCTION("""COMPUTED_VALUE"""),824037.0)</f>
        <v>824037</v>
      </c>
      <c r="C593" s="14" t="str">
        <f>IFERROR(__xludf.DUMMYFUNCTION("""COMPUTED_VALUE"""),"吳宇皓")</f>
        <v>吳宇皓</v>
      </c>
      <c r="D593" s="16" t="str">
        <f>IFERROR(__xludf.DUMMYFUNCTION("""COMPUTED_VALUE"""),"hs1*****.ntpc@mail.edu.tw")</f>
        <v>hs1*****.ntpc@mail.edu.tw</v>
      </c>
      <c r="E593" s="17" t="str">
        <f>IFERROR(__xludf.DUMMYFUNCTION("""COMPUTED_VALUE"""),"新北市板橋區海山國民小學")</f>
        <v>新北市板橋區海山國民小學</v>
      </c>
      <c r="F593" s="14" t="str">
        <f>IFERROR(__xludf.DUMMYFUNCTION("""COMPUTED_VALUE"""),"四年級")</f>
        <v>四年級</v>
      </c>
      <c r="G593" s="14" t="str">
        <f>IFERROR(__xludf.DUMMYFUNCTION("""COMPUTED_VALUE"""),"●小禮物")</f>
        <v>●小禮物</v>
      </c>
      <c r="H593" s="8"/>
    </row>
    <row r="594">
      <c r="A594" s="18"/>
      <c r="B594" s="14">
        <f>IFERROR(__xludf.DUMMYFUNCTION("""COMPUTED_VALUE"""),823113.0)</f>
        <v>823113</v>
      </c>
      <c r="C594" s="14" t="str">
        <f>IFERROR(__xludf.DUMMYFUNCTION("""COMPUTED_VALUE"""),"陳品霓")</f>
        <v>陳品霓</v>
      </c>
      <c r="D594" s="16" t="str">
        <f>IFERROR(__xludf.DUMMYFUNCTION("""COMPUTED_VALUE"""),"hs1*****.ntpc@mail.edu.tw")</f>
        <v>hs1*****.ntpc@mail.edu.tw</v>
      </c>
      <c r="E594" s="17" t="str">
        <f>IFERROR(__xludf.DUMMYFUNCTION("""COMPUTED_VALUE"""),"新北市板橋區海山國民小學")</f>
        <v>新北市板橋區海山國民小學</v>
      </c>
      <c r="F594" s="14" t="str">
        <f>IFERROR(__xludf.DUMMYFUNCTION("""COMPUTED_VALUE"""),"四年級")</f>
        <v>四年級</v>
      </c>
      <c r="G594" s="14" t="str">
        <f>IFERROR(__xludf.DUMMYFUNCTION("""COMPUTED_VALUE"""),"獎狀")</f>
        <v>獎狀</v>
      </c>
      <c r="H594" s="8"/>
    </row>
    <row r="595">
      <c r="A595" s="18"/>
      <c r="B595" s="14">
        <f>IFERROR(__xludf.DUMMYFUNCTION("""COMPUTED_VALUE"""),1169278.0)</f>
        <v>1169278</v>
      </c>
      <c r="C595" s="14" t="str">
        <f>IFERROR(__xludf.DUMMYFUNCTION("""COMPUTED_VALUE"""),"吳帷碩")</f>
        <v>吳帷碩</v>
      </c>
      <c r="D595" s="16" t="str">
        <f>IFERROR(__xludf.DUMMYFUNCTION("""COMPUTED_VALUE"""),"wws*****apps.ntpc.edu.tw")</f>
        <v>wws*****apps.ntpc.edu.tw</v>
      </c>
      <c r="E595" s="17" t="str">
        <f>IFERROR(__xludf.DUMMYFUNCTION("""COMPUTED_VALUE"""),"新北市板橋區沙崙國民小學")</f>
        <v>新北市板橋區沙崙國民小學</v>
      </c>
      <c r="F595" s="14" t="str">
        <f>IFERROR(__xludf.DUMMYFUNCTION("""COMPUTED_VALUE"""),"三年級")</f>
        <v>三年級</v>
      </c>
      <c r="G595" s="14" t="str">
        <f>IFERROR(__xludf.DUMMYFUNCTION("""COMPUTED_VALUE"""),"獎狀")</f>
        <v>獎狀</v>
      </c>
      <c r="H595" s="8"/>
    </row>
    <row r="596">
      <c r="A596" s="18"/>
      <c r="B596" s="14">
        <f>IFERROR(__xludf.DUMMYFUNCTION("""COMPUTED_VALUE"""),957602.0)</f>
        <v>957602</v>
      </c>
      <c r="C596" s="14" t="str">
        <f>IFERROR(__xludf.DUMMYFUNCTION("""COMPUTED_VALUE"""),"林亞潔")</f>
        <v>林亞潔</v>
      </c>
      <c r="D596" s="16" t="str">
        <f>IFERROR(__xludf.DUMMYFUNCTION("""COMPUTED_VALUE"""),"ajm*****07.ntpc@mail.edu.tw")</f>
        <v>ajm*****07.ntpc@mail.edu.tw</v>
      </c>
      <c r="E596" s="17" t="str">
        <f>IFERROR(__xludf.DUMMYFUNCTION("""COMPUTED_VALUE"""),"新北市板橋區沙崙國民小學")</f>
        <v>新北市板橋區沙崙國民小學</v>
      </c>
      <c r="F596" s="14" t="str">
        <f>IFERROR(__xludf.DUMMYFUNCTION("""COMPUTED_VALUE"""),"五年級")</f>
        <v>五年級</v>
      </c>
      <c r="G596" s="14" t="str">
        <f>IFERROR(__xludf.DUMMYFUNCTION("""COMPUTED_VALUE"""),"●小禮物")</f>
        <v>●小禮物</v>
      </c>
      <c r="H596" s="8"/>
    </row>
    <row r="597">
      <c r="A597" s="18"/>
      <c r="B597" s="14">
        <f>IFERROR(__xludf.DUMMYFUNCTION("""COMPUTED_VALUE"""),337854.0)</f>
        <v>337854</v>
      </c>
      <c r="C597" s="14" t="str">
        <f>IFERROR(__xludf.DUMMYFUNCTION("""COMPUTED_VALUE"""),"林彤宥")</f>
        <v>林彤宥</v>
      </c>
      <c r="D597" s="16" t="str">
        <f>IFERROR(__xludf.DUMMYFUNCTION("""COMPUTED_VALUE"""),"lin*****23.ntpc@mail.edu.tw")</f>
        <v>lin*****23.ntpc@mail.edu.tw</v>
      </c>
      <c r="E597" s="17" t="str">
        <f>IFERROR(__xludf.DUMMYFUNCTION("""COMPUTED_VALUE"""),"新北市板橋區沙崙國民小學")</f>
        <v>新北市板橋區沙崙國民小學</v>
      </c>
      <c r="F597" s="14" t="str">
        <f>IFERROR(__xludf.DUMMYFUNCTION("""COMPUTED_VALUE"""),"六年級")</f>
        <v>六年級</v>
      </c>
      <c r="G597" s="14" t="str">
        <f>IFERROR(__xludf.DUMMYFUNCTION("""COMPUTED_VALUE"""),"獎狀")</f>
        <v>獎狀</v>
      </c>
      <c r="H597" s="8"/>
    </row>
    <row r="598">
      <c r="A598" s="18"/>
      <c r="B598" s="14">
        <f>IFERROR(__xludf.DUMMYFUNCTION("""COMPUTED_VALUE"""),861687.0)</f>
        <v>861687</v>
      </c>
      <c r="C598" s="14" t="str">
        <f>IFERROR(__xludf.DUMMYFUNCTION("""COMPUTED_VALUE"""),"梁祐愷")</f>
        <v>梁祐愷</v>
      </c>
      <c r="D598" s="16" t="str">
        <f>IFERROR(__xludf.DUMMYFUNCTION("""COMPUTED_VALUE"""),"jam*****ng354@gmail.com")</f>
        <v>jam*****ng354@gmail.com</v>
      </c>
      <c r="E598" s="17" t="str">
        <f>IFERROR(__xludf.DUMMYFUNCTION("""COMPUTED_VALUE"""),"新北市汐止區汐止國民小學")</f>
        <v>新北市汐止區汐止國民小學</v>
      </c>
      <c r="F598" s="14" t="str">
        <f>IFERROR(__xludf.DUMMYFUNCTION("""COMPUTED_VALUE"""),"五年級")</f>
        <v>五年級</v>
      </c>
      <c r="G598" s="14" t="str">
        <f>IFERROR(__xludf.DUMMYFUNCTION("""COMPUTED_VALUE"""),"獎狀")</f>
        <v>獎狀</v>
      </c>
      <c r="H598" s="8"/>
    </row>
    <row r="599">
      <c r="A599" s="18"/>
      <c r="B599" s="14">
        <f>IFERROR(__xludf.DUMMYFUNCTION("""COMPUTED_VALUE"""),773176.0)</f>
        <v>773176</v>
      </c>
      <c r="C599" s="14" t="str">
        <f>IFERROR(__xludf.DUMMYFUNCTION("""COMPUTED_VALUE"""),"廖彥甯")</f>
        <v>廖彥甯</v>
      </c>
      <c r="D599" s="16" t="str">
        <f>IFERROR(__xludf.DUMMYFUNCTION("""COMPUTED_VALUE"""),"mia*****ntpc@mail.edu.tw")</f>
        <v>mia*****ntpc@mail.edu.tw</v>
      </c>
      <c r="E599" s="17" t="str">
        <f>IFERROR(__xludf.DUMMYFUNCTION("""COMPUTED_VALUE"""),"新北市汐止區北港國民小學")</f>
        <v>新北市汐止區北港國民小學</v>
      </c>
      <c r="F599" s="14" t="str">
        <f>IFERROR(__xludf.DUMMYFUNCTION("""COMPUTED_VALUE"""),"五年級")</f>
        <v>五年級</v>
      </c>
      <c r="G599" s="14" t="str">
        <f>IFERROR(__xludf.DUMMYFUNCTION("""COMPUTED_VALUE"""),"獎狀")</f>
        <v>獎狀</v>
      </c>
      <c r="H599" s="8"/>
    </row>
    <row r="600">
      <c r="A600" s="18"/>
      <c r="B600" s="14">
        <f>IFERROR(__xludf.DUMMYFUNCTION("""COMPUTED_VALUE"""),1008862.0)</f>
        <v>1008862</v>
      </c>
      <c r="C600" s="14" t="str">
        <f>IFERROR(__xludf.DUMMYFUNCTION("""COMPUTED_VALUE"""),"李郁欣")</f>
        <v>李郁欣</v>
      </c>
      <c r="D600" s="16" t="str">
        <f>IFERROR(__xludf.DUMMYFUNCTION("""COMPUTED_VALUE"""),"gd1*****.ntpc@mail.edu.tw")</f>
        <v>gd1*****.ntpc@mail.edu.tw</v>
      </c>
      <c r="E600" s="17" t="str">
        <f>IFERROR(__xludf.DUMMYFUNCTION("""COMPUTED_VALUE"""),"新北市汐止區金龍國民小學")</f>
        <v>新北市汐止區金龍國民小學</v>
      </c>
      <c r="F600" s="14" t="str">
        <f>IFERROR(__xludf.DUMMYFUNCTION("""COMPUTED_VALUE"""),"四年級")</f>
        <v>四年級</v>
      </c>
      <c r="G600" s="14" t="str">
        <f>IFERROR(__xludf.DUMMYFUNCTION("""COMPUTED_VALUE"""),"獎狀")</f>
        <v>獎狀</v>
      </c>
      <c r="H600" s="8"/>
    </row>
    <row r="601">
      <c r="A601" s="18"/>
      <c r="B601" s="14">
        <f>IFERROR(__xludf.DUMMYFUNCTION("""COMPUTED_VALUE"""),913066.0)</f>
        <v>913066</v>
      </c>
      <c r="C601" s="14" t="str">
        <f>IFERROR(__xludf.DUMMYFUNCTION("""COMPUTED_VALUE"""),"顏千洵")</f>
        <v>顏千洵</v>
      </c>
      <c r="D601" s="16" t="str">
        <f>IFERROR(__xludf.DUMMYFUNCTION("""COMPUTED_VALUE"""),"cla*****n.ntpc@mail.edu.tw")</f>
        <v>cla*****n.ntpc@mail.edu.tw</v>
      </c>
      <c r="E601" s="17" t="str">
        <f>IFERROR(__xludf.DUMMYFUNCTION("""COMPUTED_VALUE"""),"新北市汐止區金龍國民小學")</f>
        <v>新北市汐止區金龍國民小學</v>
      </c>
      <c r="F601" s="14" t="str">
        <f>IFERROR(__xludf.DUMMYFUNCTION("""COMPUTED_VALUE"""),"四年級")</f>
        <v>四年級</v>
      </c>
      <c r="G601" s="14" t="str">
        <f>IFERROR(__xludf.DUMMYFUNCTION("""COMPUTED_VALUE"""),"獎狀")</f>
        <v>獎狀</v>
      </c>
      <c r="H601" s="8"/>
    </row>
    <row r="602">
      <c r="A602" s="18"/>
      <c r="B602" s="14">
        <f>IFERROR(__xludf.DUMMYFUNCTION("""COMPUTED_VALUE"""),1007790.0)</f>
        <v>1007790</v>
      </c>
      <c r="C602" s="14" t="str">
        <f>IFERROR(__xludf.DUMMYFUNCTION("""COMPUTED_VALUE"""),"李尚承")</f>
        <v>李尚承</v>
      </c>
      <c r="D602" s="16" t="str">
        <f>IFERROR(__xludf.DUMMYFUNCTION("""COMPUTED_VALUE"""),"gd1*****.ntpc@mail.edu.tw")</f>
        <v>gd1*****.ntpc@mail.edu.tw</v>
      </c>
      <c r="E602" s="17" t="str">
        <f>IFERROR(__xludf.DUMMYFUNCTION("""COMPUTED_VALUE"""),"新北市汐止區金龍國民小學")</f>
        <v>新北市汐止區金龍國民小學</v>
      </c>
      <c r="F602" s="14" t="str">
        <f>IFERROR(__xludf.DUMMYFUNCTION("""COMPUTED_VALUE"""),"四年級")</f>
        <v>四年級</v>
      </c>
      <c r="G602" s="14" t="str">
        <f>IFERROR(__xludf.DUMMYFUNCTION("""COMPUTED_VALUE"""),"●小禮物")</f>
        <v>●小禮物</v>
      </c>
      <c r="H602" s="8"/>
    </row>
    <row r="603">
      <c r="A603" s="18"/>
      <c r="B603" s="14">
        <f>IFERROR(__xludf.DUMMYFUNCTION("""COMPUTED_VALUE"""),704002.0)</f>
        <v>704002</v>
      </c>
      <c r="C603" s="14" t="str">
        <f>IFERROR(__xludf.DUMMYFUNCTION("""COMPUTED_VALUE"""),"高婷俞")</f>
        <v>高婷俞</v>
      </c>
      <c r="D603" s="16" t="str">
        <f>IFERROR(__xludf.DUMMYFUNCTION("""COMPUTED_VALUE"""),"gd1*****.ntpc@mail.edu.tw")</f>
        <v>gd1*****.ntpc@mail.edu.tw</v>
      </c>
      <c r="E603" s="17" t="str">
        <f>IFERROR(__xludf.DUMMYFUNCTION("""COMPUTED_VALUE"""),"新北市汐止區金龍國民小學")</f>
        <v>新北市汐止區金龍國民小學</v>
      </c>
      <c r="F603" s="14" t="str">
        <f>IFERROR(__xludf.DUMMYFUNCTION("""COMPUTED_VALUE"""),"五年級")</f>
        <v>五年級</v>
      </c>
      <c r="G603" s="14" t="str">
        <f>IFERROR(__xludf.DUMMYFUNCTION("""COMPUTED_VALUE"""),"獎狀")</f>
        <v>獎狀</v>
      </c>
      <c r="H603" s="8"/>
    </row>
    <row r="604">
      <c r="A604" s="18"/>
      <c r="B604" s="14">
        <f>IFERROR(__xludf.DUMMYFUNCTION("""COMPUTED_VALUE"""),1011359.0)</f>
        <v>1011359</v>
      </c>
      <c r="C604" s="14" t="str">
        <f>IFERROR(__xludf.DUMMYFUNCTION("""COMPUTED_VALUE"""),"李雨潔")</f>
        <v>李雨潔</v>
      </c>
      <c r="D604" s="16" t="str">
        <f>IFERROR(__xludf.DUMMYFUNCTION("""COMPUTED_VALUE"""),"gd1*****@apps.ntpc.edu.tw")</f>
        <v>gd1*****@apps.ntpc.edu.tw</v>
      </c>
      <c r="E604" s="17" t="str">
        <f>IFERROR(__xludf.DUMMYFUNCTION("""COMPUTED_VALUE"""),"新北市汐止區金龍國民小學")</f>
        <v>新北市汐止區金龍國民小學</v>
      </c>
      <c r="F604" s="14" t="str">
        <f>IFERROR(__xludf.DUMMYFUNCTION("""COMPUTED_VALUE"""),"五年級")</f>
        <v>五年級</v>
      </c>
      <c r="G604" s="14" t="str">
        <f>IFERROR(__xludf.DUMMYFUNCTION("""COMPUTED_VALUE"""),"●小禮物")</f>
        <v>●小禮物</v>
      </c>
      <c r="H604" s="8"/>
    </row>
    <row r="605">
      <c r="A605" s="18"/>
      <c r="B605" s="14">
        <f>IFERROR(__xludf.DUMMYFUNCTION("""COMPUTED_VALUE"""),881075.0)</f>
        <v>881075</v>
      </c>
      <c r="C605" s="14" t="str">
        <f>IFERROR(__xludf.DUMMYFUNCTION("""COMPUTED_VALUE"""),"林妍伶")</f>
        <v>林妍伶</v>
      </c>
      <c r="D605" s="16" t="str">
        <f>IFERROR(__xludf.DUMMYFUNCTION("""COMPUTED_VALUE"""),"lin*****a0907@gmail.com")</f>
        <v>lin*****a0907@gmail.com</v>
      </c>
      <c r="E605" s="17" t="str">
        <f>IFERROR(__xludf.DUMMYFUNCTION("""COMPUTED_VALUE"""),"新北市汐止區東山國民小學")</f>
        <v>新北市汐止區東山國民小學</v>
      </c>
      <c r="F605" s="14" t="str">
        <f>IFERROR(__xludf.DUMMYFUNCTION("""COMPUTED_VALUE"""),"四年級")</f>
        <v>四年級</v>
      </c>
      <c r="G605" s="14" t="str">
        <f>IFERROR(__xludf.DUMMYFUNCTION("""COMPUTED_VALUE"""),"●小禮物")</f>
        <v>●小禮物</v>
      </c>
      <c r="H605" s="8"/>
    </row>
    <row r="606">
      <c r="A606" s="18"/>
      <c r="B606" s="14">
        <f>IFERROR(__xludf.DUMMYFUNCTION("""COMPUTED_VALUE"""),760911.0)</f>
        <v>760911</v>
      </c>
      <c r="C606" s="14" t="str">
        <f>IFERROR(__xludf.DUMMYFUNCTION("""COMPUTED_VALUE"""),"蕭以愛")</f>
        <v>蕭以愛</v>
      </c>
      <c r="D606" s="16" t="str">
        <f>IFERROR(__xludf.DUMMYFUNCTION("""COMPUTED_VALUE"""),"elm*****tpc@mail.edu.tw")</f>
        <v>elm*****tpc@mail.edu.tw</v>
      </c>
      <c r="E606" s="17" t="str">
        <f>IFERROR(__xludf.DUMMYFUNCTION("""COMPUTED_VALUE"""),"新北市汐止區東山國民小學")</f>
        <v>新北市汐止區東山國民小學</v>
      </c>
      <c r="F606" s="14" t="str">
        <f>IFERROR(__xludf.DUMMYFUNCTION("""COMPUTED_VALUE"""),"四年級")</f>
        <v>四年級</v>
      </c>
      <c r="G606" s="14" t="str">
        <f>IFERROR(__xludf.DUMMYFUNCTION("""COMPUTED_VALUE"""),"獎狀")</f>
        <v>獎狀</v>
      </c>
      <c r="H606" s="8"/>
    </row>
    <row r="607">
      <c r="A607" s="18"/>
      <c r="B607" s="14">
        <f>IFERROR(__xludf.DUMMYFUNCTION("""COMPUTED_VALUE"""),592326.0)</f>
        <v>592326</v>
      </c>
      <c r="C607" s="14" t="str">
        <f>IFERROR(__xludf.DUMMYFUNCTION("""COMPUTED_VALUE"""),"陳柏勳")</f>
        <v>陳柏勳</v>
      </c>
      <c r="D607" s="16" t="str">
        <f>IFERROR(__xludf.DUMMYFUNCTION("""COMPUTED_VALUE"""),"dsp*****05@apps.ntpc.edu.tw")</f>
        <v>dsp*****05@apps.ntpc.edu.tw</v>
      </c>
      <c r="E607" s="17" t="str">
        <f>IFERROR(__xludf.DUMMYFUNCTION("""COMPUTED_VALUE"""),"新北市汐止區東山國民小學")</f>
        <v>新北市汐止區東山國民小學</v>
      </c>
      <c r="F607" s="14" t="str">
        <f>IFERROR(__xludf.DUMMYFUNCTION("""COMPUTED_VALUE"""),"六年級")</f>
        <v>六年級</v>
      </c>
      <c r="G607" s="14" t="str">
        <f>IFERROR(__xludf.DUMMYFUNCTION("""COMPUTED_VALUE"""),"★禮券$500")</f>
        <v>★禮券$500</v>
      </c>
      <c r="H607" s="8"/>
    </row>
    <row r="608">
      <c r="A608" s="18"/>
      <c r="B608" s="14">
        <f>IFERROR(__xludf.DUMMYFUNCTION("""COMPUTED_VALUE"""),665353.0)</f>
        <v>665353</v>
      </c>
      <c r="C608" s="14" t="str">
        <f>IFERROR(__xludf.DUMMYFUNCTION("""COMPUTED_VALUE"""),"吳侑晨")</f>
        <v>吳侑晨</v>
      </c>
      <c r="D608" s="16" t="str">
        <f>IFERROR(__xludf.DUMMYFUNCTION("""COMPUTED_VALUE"""),"wyc*****ntpc@mail.edu.tw")</f>
        <v>wyc*****ntpc@mail.edu.tw</v>
      </c>
      <c r="E608" s="17" t="str">
        <f>IFERROR(__xludf.DUMMYFUNCTION("""COMPUTED_VALUE"""),"新北市立青山國民中小學國小部")</f>
        <v>新北市立青山國民中小學國小部</v>
      </c>
      <c r="F608" s="14" t="str">
        <f>IFERROR(__xludf.DUMMYFUNCTION("""COMPUTED_VALUE"""),"三年級")</f>
        <v>三年級</v>
      </c>
      <c r="G608" s="14" t="str">
        <f>IFERROR(__xludf.DUMMYFUNCTION("""COMPUTED_VALUE"""),"●小禮物")</f>
        <v>●小禮物</v>
      </c>
      <c r="H608" s="8"/>
    </row>
    <row r="609">
      <c r="A609" s="18"/>
      <c r="B609" s="14">
        <f>IFERROR(__xludf.DUMMYFUNCTION("""COMPUTED_VALUE"""),730357.0)</f>
        <v>730357</v>
      </c>
      <c r="C609" s="14" t="str">
        <f>IFERROR(__xludf.DUMMYFUNCTION("""COMPUTED_VALUE"""),"林柏嫣")</f>
        <v>林柏嫣</v>
      </c>
      <c r="D609" s="16" t="str">
        <f>IFERROR(__xludf.DUMMYFUNCTION("""COMPUTED_VALUE"""),"cs7*****tpc@mail.edu.tw")</f>
        <v>cs7*****tpc@mail.edu.tw</v>
      </c>
      <c r="E609" s="17" t="str">
        <f>IFERROR(__xludf.DUMMYFUNCTION("""COMPUTED_VALUE"""),"新北市立青山國民中小學國小部")</f>
        <v>新北市立青山國民中小學國小部</v>
      </c>
      <c r="F609" s="14" t="str">
        <f>IFERROR(__xludf.DUMMYFUNCTION("""COMPUTED_VALUE"""),"四年級")</f>
        <v>四年級</v>
      </c>
      <c r="G609" s="14" t="str">
        <f>IFERROR(__xludf.DUMMYFUNCTION("""COMPUTED_VALUE"""),"獎狀")</f>
        <v>獎狀</v>
      </c>
      <c r="H609" s="8"/>
    </row>
    <row r="610">
      <c r="A610" s="18"/>
      <c r="B610" s="14">
        <f>IFERROR(__xludf.DUMMYFUNCTION("""COMPUTED_VALUE"""),1188450.0)</f>
        <v>1188450</v>
      </c>
      <c r="C610" s="14" t="str">
        <f>IFERROR(__xludf.DUMMYFUNCTION("""COMPUTED_VALUE"""),"黃湘妘")</f>
        <v>黃湘妘</v>
      </c>
      <c r="D610" s="16" t="str">
        <f>IFERROR(__xludf.DUMMYFUNCTION("""COMPUTED_VALUE"""),"mim*****9.ntpc@mail.edu.tw")</f>
        <v>mim*****9.ntpc@mail.edu.tw</v>
      </c>
      <c r="E610" s="17" t="str">
        <f>IFERROR(__xludf.DUMMYFUNCTION("""COMPUTED_VALUE"""),"新北市汐止區白雲國民小學")</f>
        <v>新北市汐止區白雲國民小學</v>
      </c>
      <c r="F610" s="14" t="str">
        <f>IFERROR(__xludf.DUMMYFUNCTION("""COMPUTED_VALUE"""),"五年級")</f>
        <v>五年級</v>
      </c>
      <c r="G610" s="14" t="str">
        <f>IFERROR(__xludf.DUMMYFUNCTION("""COMPUTED_VALUE"""),"●小禮物")</f>
        <v>●小禮物</v>
      </c>
      <c r="H610" s="8"/>
    </row>
    <row r="611">
      <c r="A611" s="18"/>
      <c r="B611" s="14">
        <f>IFERROR(__xludf.DUMMYFUNCTION("""COMPUTED_VALUE"""),1188472.0)</f>
        <v>1188472</v>
      </c>
      <c r="C611" s="14" t="str">
        <f>IFERROR(__xludf.DUMMYFUNCTION("""COMPUTED_VALUE"""),"簡子潔")</f>
        <v>簡子潔</v>
      </c>
      <c r="D611" s="16" t="str">
        <f>IFERROR(__xludf.DUMMYFUNCTION("""COMPUTED_VALUE"""),"jil*****.ntpc@mail.edu.tw")</f>
        <v>jil*****.ntpc@mail.edu.tw</v>
      </c>
      <c r="E611" s="17" t="str">
        <f>IFERROR(__xludf.DUMMYFUNCTION("""COMPUTED_VALUE"""),"新北市汐止區白雲國民小學")</f>
        <v>新北市汐止區白雲國民小學</v>
      </c>
      <c r="F611" s="14" t="str">
        <f>IFERROR(__xludf.DUMMYFUNCTION("""COMPUTED_VALUE"""),"五年級")</f>
        <v>五年級</v>
      </c>
      <c r="G611" s="14" t="str">
        <f>IFERROR(__xludf.DUMMYFUNCTION("""COMPUTED_VALUE"""),"●小禮物")</f>
        <v>●小禮物</v>
      </c>
      <c r="H611" s="8"/>
    </row>
    <row r="612">
      <c r="A612" s="18"/>
      <c r="B612" s="14">
        <f>IFERROR(__xludf.DUMMYFUNCTION("""COMPUTED_VALUE"""),1188455.0)</f>
        <v>1188455</v>
      </c>
      <c r="C612" s="14" t="str">
        <f>IFERROR(__xludf.DUMMYFUNCTION("""COMPUTED_VALUE"""),"古祐誠")</f>
        <v>古祐誠</v>
      </c>
      <c r="D612" s="16" t="str">
        <f>IFERROR(__xludf.DUMMYFUNCTION("""COMPUTED_VALUE"""),"yoy*****911.ntpc@mail.edu.tw")</f>
        <v>yoy*****911.ntpc@mail.edu.tw</v>
      </c>
      <c r="E612" s="17" t="str">
        <f>IFERROR(__xludf.DUMMYFUNCTION("""COMPUTED_VALUE"""),"新北市汐止區白雲國民小學")</f>
        <v>新北市汐止區白雲國民小學</v>
      </c>
      <c r="F612" s="14" t="str">
        <f>IFERROR(__xludf.DUMMYFUNCTION("""COMPUTED_VALUE"""),"五年級")</f>
        <v>五年級</v>
      </c>
      <c r="G612" s="14" t="str">
        <f>IFERROR(__xludf.DUMMYFUNCTION("""COMPUTED_VALUE"""),"獎狀")</f>
        <v>獎狀</v>
      </c>
      <c r="H612" s="8"/>
    </row>
    <row r="613">
      <c r="A613" s="18"/>
      <c r="B613" s="14">
        <f>IFERROR(__xludf.DUMMYFUNCTION("""COMPUTED_VALUE"""),1188447.0)</f>
        <v>1188447</v>
      </c>
      <c r="C613" s="14" t="str">
        <f>IFERROR(__xludf.DUMMYFUNCTION("""COMPUTED_VALUE"""),"古祚誠")</f>
        <v>古祚誠</v>
      </c>
      <c r="D613" s="16" t="str">
        <f>IFERROR(__xludf.DUMMYFUNCTION("""COMPUTED_VALUE"""),"zoz*****.ntpc@mail.edu.tw")</f>
        <v>zoz*****.ntpc@mail.edu.tw</v>
      </c>
      <c r="E613" s="17" t="str">
        <f>IFERROR(__xludf.DUMMYFUNCTION("""COMPUTED_VALUE"""),"新北市汐止區白雲國民小學")</f>
        <v>新北市汐止區白雲國民小學</v>
      </c>
      <c r="F613" s="14" t="str">
        <f>IFERROR(__xludf.DUMMYFUNCTION("""COMPUTED_VALUE"""),"五年級")</f>
        <v>五年級</v>
      </c>
      <c r="G613" s="14" t="str">
        <f>IFERROR(__xludf.DUMMYFUNCTION("""COMPUTED_VALUE"""),"獎狀")</f>
        <v>獎狀</v>
      </c>
      <c r="H613" s="8"/>
    </row>
    <row r="614">
      <c r="A614" s="18"/>
      <c r="B614" s="14">
        <f>IFERROR(__xludf.DUMMYFUNCTION("""COMPUTED_VALUE"""),814799.0)</f>
        <v>814799</v>
      </c>
      <c r="C614" s="14" t="str">
        <f>IFERROR(__xludf.DUMMYFUNCTION("""COMPUTED_VALUE"""),"楊以安")</f>
        <v>楊以安</v>
      </c>
      <c r="D614" s="16" t="str">
        <f>IFERROR(__xludf.DUMMYFUNCTION("""COMPUTED_VALUE"""),"ann*****ntpc@mail.edu.tw")</f>
        <v>ann*****ntpc@mail.edu.tw</v>
      </c>
      <c r="E614" s="17" t="str">
        <f>IFERROR(__xludf.DUMMYFUNCTION("""COMPUTED_VALUE"""),"新北市汐止區白雲國民小學")</f>
        <v>新北市汐止區白雲國民小學</v>
      </c>
      <c r="F614" s="14" t="str">
        <f>IFERROR(__xludf.DUMMYFUNCTION("""COMPUTED_VALUE"""),"五年級")</f>
        <v>五年級</v>
      </c>
      <c r="G614" s="14" t="str">
        <f>IFERROR(__xludf.DUMMYFUNCTION("""COMPUTED_VALUE"""),"獎狀")</f>
        <v>獎狀</v>
      </c>
      <c r="H614" s="8"/>
    </row>
    <row r="615">
      <c r="A615" s="18"/>
      <c r="B615" s="14">
        <f>IFERROR(__xludf.DUMMYFUNCTION("""COMPUTED_VALUE"""),1188460.0)</f>
        <v>1188460</v>
      </c>
      <c r="C615" s="14" t="str">
        <f>IFERROR(__xludf.DUMMYFUNCTION("""COMPUTED_VALUE"""),"楊傑勝")</f>
        <v>楊傑勝</v>
      </c>
      <c r="D615" s="16" t="str">
        <f>IFERROR(__xludf.DUMMYFUNCTION("""COMPUTED_VALUE"""),"jas*****g0629.ntpc@mail.edu.tw")</f>
        <v>jas*****g0629.ntpc@mail.edu.tw</v>
      </c>
      <c r="E615" s="17" t="str">
        <f>IFERROR(__xludf.DUMMYFUNCTION("""COMPUTED_VALUE"""),"新北市汐止區白雲國民小學")</f>
        <v>新北市汐止區白雲國民小學</v>
      </c>
      <c r="F615" s="14" t="str">
        <f>IFERROR(__xludf.DUMMYFUNCTION("""COMPUTED_VALUE"""),"五年級")</f>
        <v>五年級</v>
      </c>
      <c r="G615" s="14" t="str">
        <f>IFERROR(__xludf.DUMMYFUNCTION("""COMPUTED_VALUE"""),"獎狀")</f>
        <v>獎狀</v>
      </c>
      <c r="H615" s="8"/>
    </row>
    <row r="616">
      <c r="A616" s="18"/>
      <c r="B616" s="14">
        <f>IFERROR(__xludf.DUMMYFUNCTION("""COMPUTED_VALUE"""),1188464.0)</f>
        <v>1188464</v>
      </c>
      <c r="C616" s="14" t="str">
        <f>IFERROR(__xludf.DUMMYFUNCTION("""COMPUTED_VALUE"""),"楊傑睎")</f>
        <v>楊傑睎</v>
      </c>
      <c r="D616" s="16" t="str">
        <f>IFERROR(__xludf.DUMMYFUNCTION("""COMPUTED_VALUE"""),"jes*****29.ntpc@mail.edu.tw")</f>
        <v>jes*****29.ntpc@mail.edu.tw</v>
      </c>
      <c r="E616" s="17" t="str">
        <f>IFERROR(__xludf.DUMMYFUNCTION("""COMPUTED_VALUE"""),"新北市汐止區白雲國民小學")</f>
        <v>新北市汐止區白雲國民小學</v>
      </c>
      <c r="F616" s="14" t="str">
        <f>IFERROR(__xludf.DUMMYFUNCTION("""COMPUTED_VALUE"""),"五年級")</f>
        <v>五年級</v>
      </c>
      <c r="G616" s="14" t="str">
        <f>IFERROR(__xludf.DUMMYFUNCTION("""COMPUTED_VALUE"""),"獎狀")</f>
        <v>獎狀</v>
      </c>
      <c r="H616" s="8"/>
    </row>
    <row r="617">
      <c r="A617" s="18"/>
      <c r="B617" s="14">
        <f>IFERROR(__xludf.DUMMYFUNCTION("""COMPUTED_VALUE"""),1180119.0)</f>
        <v>1180119</v>
      </c>
      <c r="C617" s="14" t="str">
        <f>IFERROR(__xludf.DUMMYFUNCTION("""COMPUTED_VALUE"""),"陳芓希")</f>
        <v>陳芓希</v>
      </c>
      <c r="D617" s="16" t="str">
        <f>IFERROR(__xludf.DUMMYFUNCTION("""COMPUTED_VALUE"""),"luc*****.ntpc@mail.edu.tw")</f>
        <v>luc*****.ntpc@mail.edu.tw</v>
      </c>
      <c r="E617" s="17" t="str">
        <f>IFERROR(__xludf.DUMMYFUNCTION("""COMPUTED_VALUE"""),"新北市汐止區白雲國民小學")</f>
        <v>新北市汐止區白雲國民小學</v>
      </c>
      <c r="F617" s="14" t="str">
        <f>IFERROR(__xludf.DUMMYFUNCTION("""COMPUTED_VALUE"""),"五年級")</f>
        <v>五年級</v>
      </c>
      <c r="G617" s="14" t="str">
        <f>IFERROR(__xludf.DUMMYFUNCTION("""COMPUTED_VALUE"""),"獎狀")</f>
        <v>獎狀</v>
      </c>
      <c r="H617" s="8"/>
    </row>
    <row r="618">
      <c r="A618" s="18"/>
      <c r="B618" s="14">
        <f>IFERROR(__xludf.DUMMYFUNCTION("""COMPUTED_VALUE"""),697306.0)</f>
        <v>697306</v>
      </c>
      <c r="C618" s="14" t="str">
        <f>IFERROR(__xludf.DUMMYFUNCTION("""COMPUTED_VALUE"""),"曾筱馨")</f>
        <v>曾筱馨</v>
      </c>
      <c r="D618" s="16" t="str">
        <f>IFERROR(__xludf.DUMMYFUNCTION("""COMPUTED_VALUE"""),"cha*****e0814.ntpc@mail.edu.tw")</f>
        <v>cha*****e0814.ntpc@mail.edu.tw</v>
      </c>
      <c r="E618" s="17" t="str">
        <f>IFERROR(__xludf.DUMMYFUNCTION("""COMPUTED_VALUE"""),"新北市汐止區白雲國民小學")</f>
        <v>新北市汐止區白雲國民小學</v>
      </c>
      <c r="F618" s="14" t="str">
        <f>IFERROR(__xludf.DUMMYFUNCTION("""COMPUTED_VALUE"""),"五年級")</f>
        <v>五年級</v>
      </c>
      <c r="G618" s="14" t="str">
        <f>IFERROR(__xludf.DUMMYFUNCTION("""COMPUTED_VALUE"""),"獎狀")</f>
        <v>獎狀</v>
      </c>
      <c r="H618" s="8"/>
    </row>
    <row r="619">
      <c r="A619" s="18"/>
      <c r="B619" s="14">
        <f>IFERROR(__xludf.DUMMYFUNCTION("""COMPUTED_VALUE"""),1180269.0)</f>
        <v>1180269</v>
      </c>
      <c r="C619" s="14" t="str">
        <f>IFERROR(__xludf.DUMMYFUNCTION("""COMPUTED_VALUE"""),"胡丞勛")</f>
        <v>胡丞勛</v>
      </c>
      <c r="D619" s="16" t="str">
        <f>IFERROR(__xludf.DUMMYFUNCTION("""COMPUTED_VALUE"""),"jos*****.ntpc@mail.edu.tw")</f>
        <v>jos*****.ntpc@mail.edu.tw</v>
      </c>
      <c r="E619" s="17" t="str">
        <f>IFERROR(__xludf.DUMMYFUNCTION("""COMPUTED_VALUE"""),"新北市汐止區白雲國民小學")</f>
        <v>新北市汐止區白雲國民小學</v>
      </c>
      <c r="F619" s="14" t="str">
        <f>IFERROR(__xludf.DUMMYFUNCTION("""COMPUTED_VALUE"""),"五年級")</f>
        <v>五年級</v>
      </c>
      <c r="G619" s="14" t="str">
        <f>IFERROR(__xludf.DUMMYFUNCTION("""COMPUTED_VALUE"""),"●小禮物")</f>
        <v>●小禮物</v>
      </c>
      <c r="H619" s="8"/>
    </row>
    <row r="620">
      <c r="A620" s="18"/>
      <c r="B620" s="14">
        <f>IFERROR(__xludf.DUMMYFUNCTION("""COMPUTED_VALUE"""),1180281.0)</f>
        <v>1180281</v>
      </c>
      <c r="C620" s="14" t="str">
        <f>IFERROR(__xludf.DUMMYFUNCTION("""COMPUTED_VALUE"""),"王清雲")</f>
        <v>王清雲</v>
      </c>
      <c r="D620" s="16" t="str">
        <f>IFERROR(__xludf.DUMMYFUNCTION("""COMPUTED_VALUE"""),"cla*****504.ntpc@mail.edu.tw")</f>
        <v>cla*****504.ntpc@mail.edu.tw</v>
      </c>
      <c r="E620" s="17" t="str">
        <f>IFERROR(__xludf.DUMMYFUNCTION("""COMPUTED_VALUE"""),"新北市汐止區白雲國民小學")</f>
        <v>新北市汐止區白雲國民小學</v>
      </c>
      <c r="F620" s="14" t="str">
        <f>IFERROR(__xludf.DUMMYFUNCTION("""COMPUTED_VALUE"""),"五年級")</f>
        <v>五年級</v>
      </c>
      <c r="G620" s="14" t="str">
        <f>IFERROR(__xludf.DUMMYFUNCTION("""COMPUTED_VALUE"""),"★禮券$200")</f>
        <v>★禮券$200</v>
      </c>
      <c r="H620" s="8"/>
    </row>
    <row r="621">
      <c r="A621" s="18"/>
      <c r="B621" s="14">
        <f>IFERROR(__xludf.DUMMYFUNCTION("""COMPUTED_VALUE"""),1180278.0)</f>
        <v>1180278</v>
      </c>
      <c r="C621" s="14" t="str">
        <f>IFERROR(__xludf.DUMMYFUNCTION("""COMPUTED_VALUE"""),"王清棋")</f>
        <v>王清棋</v>
      </c>
      <c r="D621" s="16" t="str">
        <f>IFERROR(__xludf.DUMMYFUNCTION("""COMPUTED_VALUE"""),"chi*****ntpc@mail.edu.tw")</f>
        <v>chi*****ntpc@mail.edu.tw</v>
      </c>
      <c r="E621" s="17" t="str">
        <f>IFERROR(__xludf.DUMMYFUNCTION("""COMPUTED_VALUE"""),"新北市汐止區白雲國民小學")</f>
        <v>新北市汐止區白雲國民小學</v>
      </c>
      <c r="F621" s="14" t="str">
        <f>IFERROR(__xludf.DUMMYFUNCTION("""COMPUTED_VALUE"""),"五年級")</f>
        <v>五年級</v>
      </c>
      <c r="G621" s="14" t="str">
        <f>IFERROR(__xludf.DUMMYFUNCTION("""COMPUTED_VALUE"""),"獎狀")</f>
        <v>獎狀</v>
      </c>
      <c r="H621" s="8"/>
    </row>
    <row r="622">
      <c r="A622" s="18"/>
      <c r="B622" s="14">
        <f>IFERROR(__xludf.DUMMYFUNCTION("""COMPUTED_VALUE"""),1180276.0)</f>
        <v>1180276</v>
      </c>
      <c r="C622" s="14" t="str">
        <f>IFERROR(__xludf.DUMMYFUNCTION("""COMPUTED_VALUE"""),"黃若恩")</f>
        <v>黃若恩</v>
      </c>
      <c r="D622" s="16" t="str">
        <f>IFERROR(__xludf.DUMMYFUNCTION("""COMPUTED_VALUE"""),"ali*****09.ntpc@mail.edu.tw")</f>
        <v>ali*****09.ntpc@mail.edu.tw</v>
      </c>
      <c r="E622" s="17" t="str">
        <f>IFERROR(__xludf.DUMMYFUNCTION("""COMPUTED_VALUE"""),"新北市汐止區白雲國民小學")</f>
        <v>新北市汐止區白雲國民小學</v>
      </c>
      <c r="F622" s="14" t="str">
        <f>IFERROR(__xludf.DUMMYFUNCTION("""COMPUTED_VALUE"""),"五年級")</f>
        <v>五年級</v>
      </c>
      <c r="G622" s="14" t="str">
        <f>IFERROR(__xludf.DUMMYFUNCTION("""COMPUTED_VALUE"""),"獎狀")</f>
        <v>獎狀</v>
      </c>
      <c r="H622" s="8"/>
    </row>
    <row r="623">
      <c r="A623" s="18"/>
      <c r="B623" s="14">
        <f>IFERROR(__xludf.DUMMYFUNCTION("""COMPUTED_VALUE"""),1180280.0)</f>
        <v>1180280</v>
      </c>
      <c r="C623" s="14" t="str">
        <f>IFERROR(__xludf.DUMMYFUNCTION("""COMPUTED_VALUE"""),"羅以晴")</f>
        <v>羅以晴</v>
      </c>
      <c r="D623" s="16" t="str">
        <f>IFERROR(__xludf.DUMMYFUNCTION("""COMPUTED_VALUE"""),"lin*****3.ntpc@mail.edu.tw")</f>
        <v>lin*****3.ntpc@mail.edu.tw</v>
      </c>
      <c r="E623" s="17" t="str">
        <f>IFERROR(__xludf.DUMMYFUNCTION("""COMPUTED_VALUE"""),"新北市汐止區白雲國民小學")</f>
        <v>新北市汐止區白雲國民小學</v>
      </c>
      <c r="F623" s="14" t="str">
        <f>IFERROR(__xludf.DUMMYFUNCTION("""COMPUTED_VALUE"""),"五年級")</f>
        <v>五年級</v>
      </c>
      <c r="G623" s="14" t="str">
        <f>IFERROR(__xludf.DUMMYFUNCTION("""COMPUTED_VALUE"""),"獎狀")</f>
        <v>獎狀</v>
      </c>
      <c r="H623" s="8"/>
    </row>
    <row r="624">
      <c r="A624" s="18"/>
      <c r="B624" s="14">
        <f>IFERROR(__xludf.DUMMYFUNCTION("""COMPUTED_VALUE"""),870499.0)</f>
        <v>870499</v>
      </c>
      <c r="C624" s="14" t="str">
        <f>IFERROR(__xludf.DUMMYFUNCTION("""COMPUTED_VALUE"""),"陳子平")</f>
        <v>陳子平</v>
      </c>
      <c r="D624" s="16" t="str">
        <f>IFERROR(__xludf.DUMMYFUNCTION("""COMPUTED_VALUE"""),"sk1*****8@apps.ntpc.edu.tw")</f>
        <v>sk1*****8@apps.ntpc.edu.tw</v>
      </c>
      <c r="E624" s="17" t="str">
        <f>IFERROR(__xludf.DUMMYFUNCTION("""COMPUTED_VALUE"""),"新北市深坑區深坑國民小學")</f>
        <v>新北市深坑區深坑國民小學</v>
      </c>
      <c r="F624" s="14" t="str">
        <f>IFERROR(__xludf.DUMMYFUNCTION("""COMPUTED_VALUE"""),"五年級")</f>
        <v>五年級</v>
      </c>
      <c r="G624" s="14" t="str">
        <f>IFERROR(__xludf.DUMMYFUNCTION("""COMPUTED_VALUE"""),"●小禮物")</f>
        <v>●小禮物</v>
      </c>
      <c r="H624" s="8"/>
    </row>
    <row r="625">
      <c r="A625" s="18"/>
      <c r="B625" s="14">
        <f>IFERROR(__xludf.DUMMYFUNCTION("""COMPUTED_VALUE"""),764562.0)</f>
        <v>764562</v>
      </c>
      <c r="C625" s="14" t="str">
        <f>IFERROR(__xludf.DUMMYFUNCTION("""COMPUTED_VALUE"""),"劉祐齊")</f>
        <v>劉祐齊</v>
      </c>
      <c r="D625" s="16" t="str">
        <f>IFERROR(__xludf.DUMMYFUNCTION("""COMPUTED_VALUE"""),"666*****@gmail.com")</f>
        <v>666*****@gmail.com</v>
      </c>
      <c r="E625" s="17" t="str">
        <f>IFERROR(__xludf.DUMMYFUNCTION("""COMPUTED_VALUE"""),"新北市瑞芳區吉慶國民小學")</f>
        <v>新北市瑞芳區吉慶國民小學</v>
      </c>
      <c r="F625" s="14" t="str">
        <f>IFERROR(__xludf.DUMMYFUNCTION("""COMPUTED_VALUE"""),"六年級")</f>
        <v>六年級</v>
      </c>
      <c r="G625" s="14" t="str">
        <f>IFERROR(__xludf.DUMMYFUNCTION("""COMPUTED_VALUE"""),"獎狀")</f>
        <v>獎狀</v>
      </c>
      <c r="H625" s="8"/>
    </row>
    <row r="626">
      <c r="A626" s="18"/>
      <c r="B626" s="14">
        <f>IFERROR(__xludf.DUMMYFUNCTION("""COMPUTED_VALUE"""),828768.0)</f>
        <v>828768</v>
      </c>
      <c r="C626" s="14" t="str">
        <f>IFERROR(__xludf.DUMMYFUNCTION("""COMPUTED_VALUE"""),"江大東")</f>
        <v>江大東</v>
      </c>
      <c r="D626" s="16" t="str">
        <f>IFERROR(__xludf.DUMMYFUNCTION("""COMPUTED_VALUE"""),"f13*****41d.ntpc@mail.edu.tw")</f>
        <v>f13*****41d.ntpc@mail.edu.tw</v>
      </c>
      <c r="E626" s="17" t="str">
        <f>IFERROR(__xludf.DUMMYFUNCTION("""COMPUTED_VALUE"""),"新北市瑞芳區鼻頭國民小學")</f>
        <v>新北市瑞芳區鼻頭國民小學</v>
      </c>
      <c r="F626" s="14" t="str">
        <f>IFERROR(__xludf.DUMMYFUNCTION("""COMPUTED_VALUE"""),"四年級")</f>
        <v>四年級</v>
      </c>
      <c r="G626" s="14" t="str">
        <f>IFERROR(__xludf.DUMMYFUNCTION("""COMPUTED_VALUE"""),"獎狀")</f>
        <v>獎狀</v>
      </c>
      <c r="H626" s="8"/>
    </row>
    <row r="627">
      <c r="A627" s="18"/>
      <c r="B627" s="14">
        <f>IFERROR(__xludf.DUMMYFUNCTION("""COMPUTED_VALUE"""),828769.0)</f>
        <v>828769</v>
      </c>
      <c r="C627" s="14" t="str">
        <f>IFERROR(__xludf.DUMMYFUNCTION("""COMPUTED_VALUE"""),"洪楷揚")</f>
        <v>洪楷揚</v>
      </c>
      <c r="D627" s="16" t="str">
        <f>IFERROR(__xludf.DUMMYFUNCTION("""COMPUTED_VALUE"""),"bit*****0001.ntpc@mail.edu.tw")</f>
        <v>bit*****0001.ntpc@mail.edu.tw</v>
      </c>
      <c r="E627" s="17" t="str">
        <f>IFERROR(__xludf.DUMMYFUNCTION("""COMPUTED_VALUE"""),"新北市瑞芳區鼻頭國民小學")</f>
        <v>新北市瑞芳區鼻頭國民小學</v>
      </c>
      <c r="F627" s="14" t="str">
        <f>IFERROR(__xludf.DUMMYFUNCTION("""COMPUTED_VALUE"""),"四年級")</f>
        <v>四年級</v>
      </c>
      <c r="G627" s="14" t="str">
        <f>IFERROR(__xludf.DUMMYFUNCTION("""COMPUTED_VALUE"""),"獎狀")</f>
        <v>獎狀</v>
      </c>
      <c r="H627" s="8"/>
    </row>
    <row r="628">
      <c r="A628" s="18"/>
      <c r="B628" s="14">
        <f>IFERROR(__xludf.DUMMYFUNCTION("""COMPUTED_VALUE"""),597572.0)</f>
        <v>597572</v>
      </c>
      <c r="C628" s="14" t="str">
        <f>IFERROR(__xludf.DUMMYFUNCTION("""COMPUTED_VALUE"""),"闕辰翰")</f>
        <v>闕辰翰</v>
      </c>
      <c r="D628" s="16" t="str">
        <f>IFERROR(__xludf.DUMMYFUNCTION("""COMPUTED_VALUE"""),"p10*****.ntpc@mail.edu.tw")</f>
        <v>p10*****.ntpc@mail.edu.tw</v>
      </c>
      <c r="E628" s="17" t="str">
        <f>IFERROR(__xludf.DUMMYFUNCTION("""COMPUTED_VALUE"""),"新北市平溪區平溪國民小學")</f>
        <v>新北市平溪區平溪國民小學</v>
      </c>
      <c r="F628" s="14" t="str">
        <f>IFERROR(__xludf.DUMMYFUNCTION("""COMPUTED_VALUE"""),"六年級")</f>
        <v>六年級</v>
      </c>
      <c r="G628" s="14" t="str">
        <f>IFERROR(__xludf.DUMMYFUNCTION("""COMPUTED_VALUE"""),"獎狀")</f>
        <v>獎狀</v>
      </c>
      <c r="H628" s="8"/>
    </row>
    <row r="629">
      <c r="A629" s="18"/>
      <c r="B629" s="14">
        <f>IFERROR(__xludf.DUMMYFUNCTION("""COMPUTED_VALUE"""),994346.0)</f>
        <v>994346</v>
      </c>
      <c r="C629" s="14" t="str">
        <f>IFERROR(__xludf.DUMMYFUNCTION("""COMPUTED_VALUE"""),"黃義聖")</f>
        <v>黃義聖</v>
      </c>
      <c r="D629" s="16" t="str">
        <f>IFERROR(__xludf.DUMMYFUNCTION("""COMPUTED_VALUE"""),"sim*****4.ntpc@mail.edu.tw")</f>
        <v>sim*****4.ntpc@mail.edu.tw</v>
      </c>
      <c r="E629" s="17" t="str">
        <f>IFERROR(__xludf.DUMMYFUNCTION("""COMPUTED_VALUE"""),"新北市新店區中正國民小學")</f>
        <v>新北市新店區中正國民小學</v>
      </c>
      <c r="F629" s="14" t="str">
        <f>IFERROR(__xludf.DUMMYFUNCTION("""COMPUTED_VALUE"""),"四年級")</f>
        <v>四年級</v>
      </c>
      <c r="G629" s="14" t="str">
        <f>IFERROR(__xludf.DUMMYFUNCTION("""COMPUTED_VALUE"""),"獎狀")</f>
        <v>獎狀</v>
      </c>
      <c r="H629" s="8"/>
    </row>
    <row r="630">
      <c r="A630" s="18"/>
      <c r="B630" s="14">
        <f>IFERROR(__xludf.DUMMYFUNCTION("""COMPUTED_VALUE"""),846195.0)</f>
        <v>846195</v>
      </c>
      <c r="C630" s="14" t="str">
        <f>IFERROR(__xludf.DUMMYFUNCTION("""COMPUTED_VALUE"""),"簡楷洧")</f>
        <v>簡楷洧</v>
      </c>
      <c r="D630" s="16" t="str">
        <f>IFERROR(__xludf.DUMMYFUNCTION("""COMPUTED_VALUE"""),"tji*****u25800@apps.ntpc.edu.tw")</f>
        <v>tji*****u25800@apps.ntpc.edu.tw</v>
      </c>
      <c r="E630" s="17" t="str">
        <f>IFERROR(__xludf.DUMMYFUNCTION("""COMPUTED_VALUE"""),"新北市新店區中正國民小學")</f>
        <v>新北市新店區中正國民小學</v>
      </c>
      <c r="F630" s="14" t="str">
        <f>IFERROR(__xludf.DUMMYFUNCTION("""COMPUTED_VALUE"""),"五年級")</f>
        <v>五年級</v>
      </c>
      <c r="G630" s="14" t="str">
        <f>IFERROR(__xludf.DUMMYFUNCTION("""COMPUTED_VALUE"""),"獎狀")</f>
        <v>獎狀</v>
      </c>
      <c r="H630" s="8"/>
    </row>
    <row r="631">
      <c r="A631" s="18"/>
      <c r="B631" s="14">
        <f>IFERROR(__xludf.DUMMYFUNCTION("""COMPUTED_VALUE"""),1115548.0)</f>
        <v>1115548</v>
      </c>
      <c r="C631" s="14" t="str">
        <f>IFERROR(__xludf.DUMMYFUNCTION("""COMPUTED_VALUE"""),"吳昶樂")</f>
        <v>吳昶樂</v>
      </c>
      <c r="D631" s="16" t="str">
        <f>IFERROR(__xludf.DUMMYFUNCTION("""COMPUTED_VALUE"""),"Mkw*****@gmail.com")</f>
        <v>Mkw*****@gmail.com</v>
      </c>
      <c r="E631" s="17" t="str">
        <f>IFERROR(__xludf.DUMMYFUNCTION("""COMPUTED_VALUE"""),"新北市新店區中正國民小學")</f>
        <v>新北市新店區中正國民小學</v>
      </c>
      <c r="F631" s="14" t="str">
        <f>IFERROR(__xludf.DUMMYFUNCTION("""COMPUTED_VALUE"""),"六年級")</f>
        <v>六年級</v>
      </c>
      <c r="G631" s="14" t="str">
        <f>IFERROR(__xludf.DUMMYFUNCTION("""COMPUTED_VALUE"""),"●小禮物")</f>
        <v>●小禮物</v>
      </c>
      <c r="H631" s="8"/>
    </row>
    <row r="632">
      <c r="A632" s="18"/>
      <c r="B632" s="14">
        <f>IFERROR(__xludf.DUMMYFUNCTION("""COMPUTED_VALUE"""),469502.0)</f>
        <v>469502</v>
      </c>
      <c r="C632" s="14" t="str">
        <f>IFERROR(__xludf.DUMMYFUNCTION("""COMPUTED_VALUE"""),"曾彥晴")</f>
        <v>曾彥晴</v>
      </c>
      <c r="D632" s="16" t="str">
        <f>IFERROR(__xludf.DUMMYFUNCTION("""COMPUTED_VALUE"""),"bli*****o@gmail.com")</f>
        <v>bli*****o@gmail.com</v>
      </c>
      <c r="E632" s="17" t="str">
        <f>IFERROR(__xludf.DUMMYFUNCTION("""COMPUTED_VALUE"""),"新北市新店區雙峰國民小學")</f>
        <v>新北市新店區雙峰國民小學</v>
      </c>
      <c r="F632" s="14" t="str">
        <f>IFERROR(__xludf.DUMMYFUNCTION("""COMPUTED_VALUE"""),"五年級")</f>
        <v>五年級</v>
      </c>
      <c r="G632" s="14" t="str">
        <f>IFERROR(__xludf.DUMMYFUNCTION("""COMPUTED_VALUE"""),"●小禮物")</f>
        <v>●小禮物</v>
      </c>
      <c r="H632" s="8"/>
    </row>
    <row r="633">
      <c r="A633" s="18"/>
      <c r="B633" s="14">
        <f>IFERROR(__xludf.DUMMYFUNCTION("""COMPUTED_VALUE"""),687373.0)</f>
        <v>687373</v>
      </c>
      <c r="C633" s="14" t="str">
        <f>IFERROR(__xludf.DUMMYFUNCTION("""COMPUTED_VALUE"""),"秦語寬")</f>
        <v>秦語寬</v>
      </c>
      <c r="D633" s="16" t="str">
        <f>IFERROR(__xludf.DUMMYFUNCTION("""COMPUTED_VALUE"""),"sfe*****045@apps.ntpc.edu.tw")</f>
        <v>sfe*****045@apps.ntpc.edu.tw</v>
      </c>
      <c r="E633" s="17" t="str">
        <f>IFERROR(__xludf.DUMMYFUNCTION("""COMPUTED_VALUE"""),"新北市新店區雙峰國民小學")</f>
        <v>新北市新店區雙峰國民小學</v>
      </c>
      <c r="F633" s="14" t="str">
        <f>IFERROR(__xludf.DUMMYFUNCTION("""COMPUTED_VALUE"""),"五年級")</f>
        <v>五年級</v>
      </c>
      <c r="G633" s="14" t="str">
        <f>IFERROR(__xludf.DUMMYFUNCTION("""COMPUTED_VALUE"""),"獎狀")</f>
        <v>獎狀</v>
      </c>
      <c r="H633" s="8"/>
    </row>
    <row r="634">
      <c r="A634" s="18"/>
      <c r="B634" s="14">
        <f>IFERROR(__xludf.DUMMYFUNCTION("""COMPUTED_VALUE"""),246261.0)</f>
        <v>246261</v>
      </c>
      <c r="C634" s="14" t="str">
        <f>IFERROR(__xludf.DUMMYFUNCTION("""COMPUTED_VALUE"""),"王若芸")</f>
        <v>王若芸</v>
      </c>
      <c r="D634" s="16" t="str">
        <f>IFERROR(__xludf.DUMMYFUNCTION("""COMPUTED_VALUE"""),"viv*****phone@gmail.com")</f>
        <v>viv*****phone@gmail.com</v>
      </c>
      <c r="E634" s="17" t="str">
        <f>IFERROR(__xludf.DUMMYFUNCTION("""COMPUTED_VALUE"""),"新北市新店區大豐國民小學")</f>
        <v>新北市新店區大豐國民小學</v>
      </c>
      <c r="F634" s="14" t="str">
        <f>IFERROR(__xludf.DUMMYFUNCTION("""COMPUTED_VALUE"""),"六年級")</f>
        <v>六年級</v>
      </c>
      <c r="G634" s="14" t="str">
        <f>IFERROR(__xludf.DUMMYFUNCTION("""COMPUTED_VALUE"""),"獎狀")</f>
        <v>獎狀</v>
      </c>
      <c r="H634" s="8"/>
    </row>
    <row r="635">
      <c r="A635" s="18"/>
      <c r="B635" s="14">
        <f>IFERROR(__xludf.DUMMYFUNCTION("""COMPUTED_VALUE"""),317153.0)</f>
        <v>317153</v>
      </c>
      <c r="C635" s="14" t="str">
        <f>IFERROR(__xludf.DUMMYFUNCTION("""COMPUTED_VALUE"""),"王柏竣")</f>
        <v>王柏竣</v>
      </c>
      <c r="D635" s="16" t="str">
        <f>IFERROR(__xludf.DUMMYFUNCTION("""COMPUTED_VALUE"""),"pol*****.ntpc@mail.edu.tw")</f>
        <v>pol*****.ntpc@mail.edu.tw</v>
      </c>
      <c r="E635" s="17" t="str">
        <f>IFERROR(__xludf.DUMMYFUNCTION("""COMPUTED_VALUE"""),"新北市新店區大豐國民小學")</f>
        <v>新北市新店區大豐國民小學</v>
      </c>
      <c r="F635" s="14" t="str">
        <f>IFERROR(__xludf.DUMMYFUNCTION("""COMPUTED_VALUE"""),"六年級")</f>
        <v>六年級</v>
      </c>
      <c r="G635" s="14" t="str">
        <f>IFERROR(__xludf.DUMMYFUNCTION("""COMPUTED_VALUE"""),"獎狀")</f>
        <v>獎狀</v>
      </c>
      <c r="H635" s="8"/>
    </row>
    <row r="636">
      <c r="A636" s="18"/>
      <c r="B636" s="14">
        <f>IFERROR(__xludf.DUMMYFUNCTION("""COMPUTED_VALUE"""),339878.0)</f>
        <v>339878</v>
      </c>
      <c r="C636" s="14" t="str">
        <f>IFERROR(__xludf.DUMMYFUNCTION("""COMPUTED_VALUE"""),"徐子晴")</f>
        <v>徐子晴</v>
      </c>
      <c r="D636" s="16" t="str">
        <f>IFERROR(__xludf.DUMMYFUNCTION("""COMPUTED_VALUE"""),"sun*****307803.ntpc@mail.edu.tw")</f>
        <v>sun*****307803.ntpc@mail.edu.tw</v>
      </c>
      <c r="E636" s="17" t="str">
        <f>IFERROR(__xludf.DUMMYFUNCTION("""COMPUTED_VALUE"""),"新北市新店區大豐國民小學")</f>
        <v>新北市新店區大豐國民小學</v>
      </c>
      <c r="F636" s="14" t="str">
        <f>IFERROR(__xludf.DUMMYFUNCTION("""COMPUTED_VALUE"""),"六年級")</f>
        <v>六年級</v>
      </c>
      <c r="G636" s="14" t="str">
        <f>IFERROR(__xludf.DUMMYFUNCTION("""COMPUTED_VALUE"""),"獎狀")</f>
        <v>獎狀</v>
      </c>
      <c r="H636" s="8"/>
    </row>
    <row r="637">
      <c r="A637" s="18"/>
      <c r="B637" s="14">
        <f>IFERROR(__xludf.DUMMYFUNCTION("""COMPUTED_VALUE"""),283143.0)</f>
        <v>283143</v>
      </c>
      <c r="C637" s="14" t="str">
        <f>IFERROR(__xludf.DUMMYFUNCTION("""COMPUTED_VALUE"""),"葉肇洋")</f>
        <v>葉肇洋</v>
      </c>
      <c r="D637" s="16" t="str">
        <f>IFERROR(__xludf.DUMMYFUNCTION("""COMPUTED_VALUE"""),"rya*****107.ntpc@mail.edu.tw")</f>
        <v>rya*****107.ntpc@mail.edu.tw</v>
      </c>
      <c r="E637" s="17" t="str">
        <f>IFERROR(__xludf.DUMMYFUNCTION("""COMPUTED_VALUE"""),"新北市新店區新和國民小學")</f>
        <v>新北市新店區新和國民小學</v>
      </c>
      <c r="F637" s="14" t="str">
        <f>IFERROR(__xludf.DUMMYFUNCTION("""COMPUTED_VALUE"""),"五年級")</f>
        <v>五年級</v>
      </c>
      <c r="G637" s="14" t="str">
        <f>IFERROR(__xludf.DUMMYFUNCTION("""COMPUTED_VALUE"""),"●小禮物")</f>
        <v>●小禮物</v>
      </c>
      <c r="H637" s="8"/>
    </row>
    <row r="638">
      <c r="A638" s="18"/>
      <c r="B638" s="14">
        <f>IFERROR(__xludf.DUMMYFUNCTION("""COMPUTED_VALUE"""),1153906.0)</f>
        <v>1153906</v>
      </c>
      <c r="C638" s="14" t="str">
        <f>IFERROR(__xludf.DUMMYFUNCTION("""COMPUTED_VALUE"""),"林子紳")</f>
        <v>林子紳</v>
      </c>
      <c r="D638" s="16" t="str">
        <f>IFERROR(__xludf.DUMMYFUNCTION("""COMPUTED_VALUE"""),"lzs*****ntpc@mail.edu.tw")</f>
        <v>lzs*****ntpc@mail.edu.tw</v>
      </c>
      <c r="E638" s="17" t="str">
        <f>IFERROR(__xludf.DUMMYFUNCTION("""COMPUTED_VALUE"""),"新北市新店區安坑國民小學")</f>
        <v>新北市新店區安坑國民小學</v>
      </c>
      <c r="F638" s="14" t="str">
        <f>IFERROR(__xludf.DUMMYFUNCTION("""COMPUTED_VALUE"""),"四年級")</f>
        <v>四年級</v>
      </c>
      <c r="G638" s="14" t="str">
        <f>IFERROR(__xludf.DUMMYFUNCTION("""COMPUTED_VALUE"""),"獎狀")</f>
        <v>獎狀</v>
      </c>
      <c r="H638" s="8"/>
    </row>
    <row r="639">
      <c r="A639" s="18"/>
      <c r="B639" s="14">
        <f>IFERROR(__xludf.DUMMYFUNCTION("""COMPUTED_VALUE"""),1153846.0)</f>
        <v>1153846</v>
      </c>
      <c r="C639" s="14" t="str">
        <f>IFERROR(__xludf.DUMMYFUNCTION("""COMPUTED_VALUE"""),"張采婕")</f>
        <v>張采婕</v>
      </c>
      <c r="D639" s="16" t="str">
        <f>IFERROR(__xludf.DUMMYFUNCTION("""COMPUTED_VALUE"""),"zcj*****ntpc@mail.edu.tw")</f>
        <v>zcj*****ntpc@mail.edu.tw</v>
      </c>
      <c r="E639" s="17" t="str">
        <f>IFERROR(__xludf.DUMMYFUNCTION("""COMPUTED_VALUE"""),"新北市新店區安坑國民小學")</f>
        <v>新北市新店區安坑國民小學</v>
      </c>
      <c r="F639" s="14" t="str">
        <f>IFERROR(__xludf.DUMMYFUNCTION("""COMPUTED_VALUE"""),"四年級")</f>
        <v>四年級</v>
      </c>
      <c r="G639" s="14" t="str">
        <f>IFERROR(__xludf.DUMMYFUNCTION("""COMPUTED_VALUE"""),"●小禮物")</f>
        <v>●小禮物</v>
      </c>
      <c r="H639" s="8"/>
    </row>
    <row r="640">
      <c r="A640" s="18"/>
      <c r="B640" s="14">
        <f>IFERROR(__xludf.DUMMYFUNCTION("""COMPUTED_VALUE"""),1152329.0)</f>
        <v>1152329</v>
      </c>
      <c r="C640" s="14" t="str">
        <f>IFERROR(__xludf.DUMMYFUNCTION("""COMPUTED_VALUE"""),"莊恩捷")</f>
        <v>莊恩捷</v>
      </c>
      <c r="D640" s="16" t="str">
        <f>IFERROR(__xludf.DUMMYFUNCTION("""COMPUTED_VALUE"""),"zej*****ntpc@mail.edu.tw")</f>
        <v>zej*****ntpc@mail.edu.tw</v>
      </c>
      <c r="E640" s="17" t="str">
        <f>IFERROR(__xludf.DUMMYFUNCTION("""COMPUTED_VALUE"""),"新北市新店區安坑國民小學")</f>
        <v>新北市新店區安坑國民小學</v>
      </c>
      <c r="F640" s="14" t="str">
        <f>IFERROR(__xludf.DUMMYFUNCTION("""COMPUTED_VALUE"""),"四年級")</f>
        <v>四年級</v>
      </c>
      <c r="G640" s="14" t="str">
        <f>IFERROR(__xludf.DUMMYFUNCTION("""COMPUTED_VALUE"""),"●小禮物")</f>
        <v>●小禮物</v>
      </c>
      <c r="H640" s="8"/>
    </row>
    <row r="641">
      <c r="A641" s="18"/>
      <c r="B641" s="14">
        <f>IFERROR(__xludf.DUMMYFUNCTION("""COMPUTED_VALUE"""),849285.0)</f>
        <v>849285</v>
      </c>
      <c r="C641" s="14" t="str">
        <f>IFERROR(__xludf.DUMMYFUNCTION("""COMPUTED_VALUE"""),"陳敬元")</f>
        <v>陳敬元</v>
      </c>
      <c r="D641" s="16" t="str">
        <f>IFERROR(__xludf.DUMMYFUNCTION("""COMPUTED_VALUE"""),"cjy*****ntpc@mail.edu.tw")</f>
        <v>cjy*****ntpc@mail.edu.tw</v>
      </c>
      <c r="E641" s="17" t="str">
        <f>IFERROR(__xludf.DUMMYFUNCTION("""COMPUTED_VALUE"""),"新北市新店區安坑國民小學")</f>
        <v>新北市新店區安坑國民小學</v>
      </c>
      <c r="F641" s="14" t="str">
        <f>IFERROR(__xludf.DUMMYFUNCTION("""COMPUTED_VALUE"""),"四年級")</f>
        <v>四年級</v>
      </c>
      <c r="G641" s="14" t="str">
        <f>IFERROR(__xludf.DUMMYFUNCTION("""COMPUTED_VALUE"""),"獎狀")</f>
        <v>獎狀</v>
      </c>
      <c r="H641" s="8"/>
    </row>
    <row r="642">
      <c r="A642" s="18"/>
      <c r="B642" s="14">
        <f>IFERROR(__xludf.DUMMYFUNCTION("""COMPUTED_VALUE"""),1154251.0)</f>
        <v>1154251</v>
      </c>
      <c r="C642" s="14" t="str">
        <f>IFERROR(__xludf.DUMMYFUNCTION("""COMPUTED_VALUE"""),"曾詠駿")</f>
        <v>曾詠駿</v>
      </c>
      <c r="D642" s="16" t="str">
        <f>IFERROR(__xludf.DUMMYFUNCTION("""COMPUTED_VALUE"""),"cyj*****ntpc@mail.edu.tw")</f>
        <v>cyj*****ntpc@mail.edu.tw</v>
      </c>
      <c r="E642" s="17" t="str">
        <f>IFERROR(__xludf.DUMMYFUNCTION("""COMPUTED_VALUE"""),"新北市新店區安坑國民小學")</f>
        <v>新北市新店區安坑國民小學</v>
      </c>
      <c r="F642" s="14" t="str">
        <f>IFERROR(__xludf.DUMMYFUNCTION("""COMPUTED_VALUE"""),"四年級")</f>
        <v>四年級</v>
      </c>
      <c r="G642" s="14" t="str">
        <f>IFERROR(__xludf.DUMMYFUNCTION("""COMPUTED_VALUE"""),"獎狀")</f>
        <v>獎狀</v>
      </c>
      <c r="H642" s="8"/>
    </row>
    <row r="643">
      <c r="A643" s="18"/>
      <c r="B643" s="14">
        <f>IFERROR(__xludf.DUMMYFUNCTION("""COMPUTED_VALUE"""),995394.0)</f>
        <v>995394</v>
      </c>
      <c r="C643" s="14" t="str">
        <f>IFERROR(__xludf.DUMMYFUNCTION("""COMPUTED_VALUE"""),"蔡尹璇")</f>
        <v>蔡尹璇</v>
      </c>
      <c r="D643" s="16" t="str">
        <f>IFERROR(__xludf.DUMMYFUNCTION("""COMPUTED_VALUE"""),"cyx*****apps.ntpc.edu.tw")</f>
        <v>cyx*****apps.ntpc.edu.tw</v>
      </c>
      <c r="E643" s="17" t="str">
        <f>IFERROR(__xludf.DUMMYFUNCTION("""COMPUTED_VALUE"""),"新北市新店區安坑國民小學")</f>
        <v>新北市新店區安坑國民小學</v>
      </c>
      <c r="F643" s="14" t="str">
        <f>IFERROR(__xludf.DUMMYFUNCTION("""COMPUTED_VALUE"""),"四年級")</f>
        <v>四年級</v>
      </c>
      <c r="G643" s="14" t="str">
        <f>IFERROR(__xludf.DUMMYFUNCTION("""COMPUTED_VALUE"""),"●小禮物")</f>
        <v>●小禮物</v>
      </c>
      <c r="H643" s="8"/>
    </row>
    <row r="644">
      <c r="A644" s="18"/>
      <c r="B644" s="14">
        <f>IFERROR(__xludf.DUMMYFUNCTION("""COMPUTED_VALUE"""),911331.0)</f>
        <v>911331</v>
      </c>
      <c r="C644" s="14" t="str">
        <f>IFERROR(__xludf.DUMMYFUNCTION("""COMPUTED_VALUE"""),"林靖漢")</f>
        <v>林靖漢</v>
      </c>
      <c r="D644" s="16" t="str">
        <f>IFERROR(__xludf.DUMMYFUNCTION("""COMPUTED_VALUE"""),"han*****65@gmail.com")</f>
        <v>han*****65@gmail.com</v>
      </c>
      <c r="E644" s="17" t="str">
        <f>IFERROR(__xludf.DUMMYFUNCTION("""COMPUTED_VALUE"""),"新北市新店區安坑國民小學")</f>
        <v>新北市新店區安坑國民小學</v>
      </c>
      <c r="F644" s="14" t="str">
        <f>IFERROR(__xludf.DUMMYFUNCTION("""COMPUTED_VALUE"""),"四年級")</f>
        <v>四年級</v>
      </c>
      <c r="G644" s="14" t="str">
        <f>IFERROR(__xludf.DUMMYFUNCTION("""COMPUTED_VALUE"""),"★禮券$1000")</f>
        <v>★禮券$1000</v>
      </c>
      <c r="H644" s="8"/>
    </row>
    <row r="645">
      <c r="A645" s="18"/>
      <c r="B645" s="14">
        <f>IFERROR(__xludf.DUMMYFUNCTION("""COMPUTED_VALUE"""),1195151.0)</f>
        <v>1195151</v>
      </c>
      <c r="C645" s="14" t="str">
        <f>IFERROR(__xludf.DUMMYFUNCTION("""COMPUTED_VALUE"""),"劉冠頡")</f>
        <v>劉冠頡</v>
      </c>
      <c r="D645" s="16" t="str">
        <f>IFERROR(__xludf.DUMMYFUNCTION("""COMPUTED_VALUE"""),"lgj*****apps.ntpc.edu.tw")</f>
        <v>lgj*****apps.ntpc.edu.tw</v>
      </c>
      <c r="E645" s="17" t="str">
        <f>IFERROR(__xludf.DUMMYFUNCTION("""COMPUTED_VALUE"""),"新北市新店區安坑國民小學")</f>
        <v>新北市新店區安坑國民小學</v>
      </c>
      <c r="F645" s="14" t="str">
        <f>IFERROR(__xludf.DUMMYFUNCTION("""COMPUTED_VALUE"""),"四年級")</f>
        <v>四年級</v>
      </c>
      <c r="G645" s="14" t="str">
        <f>IFERROR(__xludf.DUMMYFUNCTION("""COMPUTED_VALUE"""),"獎狀")</f>
        <v>獎狀</v>
      </c>
      <c r="H645" s="8"/>
    </row>
    <row r="646">
      <c r="A646" s="18"/>
      <c r="B646" s="14">
        <f>IFERROR(__xludf.DUMMYFUNCTION("""COMPUTED_VALUE"""),1194514.0)</f>
        <v>1194514</v>
      </c>
      <c r="C646" s="14" t="str">
        <f>IFERROR(__xludf.DUMMYFUNCTION("""COMPUTED_VALUE"""),"陳嘉晟")</f>
        <v>陳嘉晟</v>
      </c>
      <c r="D646" s="16" t="str">
        <f>IFERROR(__xludf.DUMMYFUNCTION("""COMPUTED_VALUE"""),"090*****u.kcis.ntpc.edu.tw")</f>
        <v>090*****u.kcis.ntpc.edu.tw</v>
      </c>
      <c r="E646" s="17" t="str">
        <f>IFERROR(__xludf.DUMMYFUNCTION("""COMPUTED_VALUE"""),"康橋國際學校青山校區")</f>
        <v>康橋國際學校青山校區</v>
      </c>
      <c r="F646" s="14" t="str">
        <f>IFERROR(__xludf.DUMMYFUNCTION("""COMPUTED_VALUE"""),"三年級")</f>
        <v>三年級</v>
      </c>
      <c r="G646" s="14" t="str">
        <f>IFERROR(__xludf.DUMMYFUNCTION("""COMPUTED_VALUE"""),"獎狀")</f>
        <v>獎狀</v>
      </c>
      <c r="H646" s="8"/>
    </row>
    <row r="647">
      <c r="A647" s="18"/>
      <c r="B647" s="14">
        <f>IFERROR(__xludf.DUMMYFUNCTION("""COMPUTED_VALUE"""),1201286.0)</f>
        <v>1201286</v>
      </c>
      <c r="C647" s="14" t="str">
        <f>IFERROR(__xludf.DUMMYFUNCTION("""COMPUTED_VALUE"""),"陳姵伶")</f>
        <v>陳姵伶</v>
      </c>
      <c r="D647" s="16" t="str">
        <f>IFERROR(__xludf.DUMMYFUNCTION("""COMPUTED_VALUE"""),"071*****u.kcis.ntpc.edu.tw")</f>
        <v>071*****u.kcis.ntpc.edu.tw</v>
      </c>
      <c r="E647" s="17" t="str">
        <f>IFERROR(__xludf.DUMMYFUNCTION("""COMPUTED_VALUE"""),"康橋國際學校青山校區")</f>
        <v>康橋國際學校青山校區</v>
      </c>
      <c r="F647" s="14" t="str">
        <f>IFERROR(__xludf.DUMMYFUNCTION("""COMPUTED_VALUE"""),"五年級")</f>
        <v>五年級</v>
      </c>
      <c r="G647" s="14" t="str">
        <f>IFERROR(__xludf.DUMMYFUNCTION("""COMPUTED_VALUE"""),"獎狀")</f>
        <v>獎狀</v>
      </c>
      <c r="H647" s="8"/>
    </row>
    <row r="648">
      <c r="A648" s="18"/>
      <c r="B648" s="14">
        <f>IFERROR(__xludf.DUMMYFUNCTION("""COMPUTED_VALUE"""),1217100.0)</f>
        <v>1217100</v>
      </c>
      <c r="C648" s="14" t="str">
        <f>IFERROR(__xludf.DUMMYFUNCTION("""COMPUTED_VALUE"""),"劉語心")</f>
        <v>劉語心</v>
      </c>
      <c r="D648" s="16" t="str">
        <f>IFERROR(__xludf.DUMMYFUNCTION("""COMPUTED_VALUE"""),"073*****u.kcis.ntpc.edu.tw")</f>
        <v>073*****u.kcis.ntpc.edu.tw</v>
      </c>
      <c r="E648" s="17" t="str">
        <f>IFERROR(__xludf.DUMMYFUNCTION("""COMPUTED_VALUE"""),"康橋學校財團法人新北市康橋高級中學附設國小部")</f>
        <v>康橋學校財團法人新北市康橋高級中學附設國小部</v>
      </c>
      <c r="F648" s="14" t="str">
        <f>IFERROR(__xludf.DUMMYFUNCTION("""COMPUTED_VALUE"""),"五年級")</f>
        <v>五年級</v>
      </c>
      <c r="G648" s="14" t="str">
        <f>IFERROR(__xludf.DUMMYFUNCTION("""COMPUTED_VALUE"""),"獎狀")</f>
        <v>獎狀</v>
      </c>
      <c r="H648" s="8"/>
    </row>
    <row r="649">
      <c r="A649" s="18"/>
      <c r="B649" s="14">
        <f>IFERROR(__xludf.DUMMYFUNCTION("""COMPUTED_VALUE"""),1216843.0)</f>
        <v>1216843</v>
      </c>
      <c r="C649" s="14" t="str">
        <f>IFERROR(__xludf.DUMMYFUNCTION("""COMPUTED_VALUE"""),"林東澄")</f>
        <v>林東澄</v>
      </c>
      <c r="D649" s="16" t="str">
        <f>IFERROR(__xludf.DUMMYFUNCTION("""COMPUTED_VALUE"""),"070*****u.kcis.ntpc.edu.tw")</f>
        <v>070*****u.kcis.ntpc.edu.tw</v>
      </c>
      <c r="E649" s="17" t="str">
        <f>IFERROR(__xludf.DUMMYFUNCTION("""COMPUTED_VALUE"""),"康橋學校財團法人新北市康橋高級中學附設國小部")</f>
        <v>康橋學校財團法人新北市康橋高級中學附設國小部</v>
      </c>
      <c r="F649" s="14" t="str">
        <f>IFERROR(__xludf.DUMMYFUNCTION("""COMPUTED_VALUE"""),"五年級")</f>
        <v>五年級</v>
      </c>
      <c r="G649" s="14" t="str">
        <f>IFERROR(__xludf.DUMMYFUNCTION("""COMPUTED_VALUE"""),"獎狀")</f>
        <v>獎狀</v>
      </c>
      <c r="H649" s="8"/>
    </row>
    <row r="650">
      <c r="A650" s="18"/>
      <c r="B650" s="14">
        <f>IFERROR(__xludf.DUMMYFUNCTION("""COMPUTED_VALUE"""),1216832.0)</f>
        <v>1216832</v>
      </c>
      <c r="C650" s="14" t="str">
        <f>IFERROR(__xludf.DUMMYFUNCTION("""COMPUTED_VALUE"""),"張錦薇")</f>
        <v>張錦薇</v>
      </c>
      <c r="D650" s="16" t="str">
        <f>IFERROR(__xludf.DUMMYFUNCTION("""COMPUTED_VALUE"""),"070*****u.kcis.ntpc.edu.tw")</f>
        <v>070*****u.kcis.ntpc.edu.tw</v>
      </c>
      <c r="E650" s="17" t="str">
        <f>IFERROR(__xludf.DUMMYFUNCTION("""COMPUTED_VALUE"""),"康橋學校財團法人新北市康橋高級中學附設國小部")</f>
        <v>康橋學校財團法人新北市康橋高級中學附設國小部</v>
      </c>
      <c r="F650" s="14" t="str">
        <f>IFERROR(__xludf.DUMMYFUNCTION("""COMPUTED_VALUE"""),"五年級")</f>
        <v>五年級</v>
      </c>
      <c r="G650" s="14" t="str">
        <f>IFERROR(__xludf.DUMMYFUNCTION("""COMPUTED_VALUE"""),"獎狀")</f>
        <v>獎狀</v>
      </c>
      <c r="H650" s="8"/>
    </row>
    <row r="651">
      <c r="A651" s="18"/>
      <c r="B651" s="14">
        <f>IFERROR(__xludf.DUMMYFUNCTION("""COMPUTED_VALUE"""),1219462.0)</f>
        <v>1219462</v>
      </c>
      <c r="C651" s="14" t="str">
        <f>IFERROR(__xludf.DUMMYFUNCTION("""COMPUTED_VALUE"""),"劉坤霖")</f>
        <v>劉坤霖</v>
      </c>
      <c r="D651" s="16" t="str">
        <f>IFERROR(__xludf.DUMMYFUNCTION("""COMPUTED_VALUE"""),"071*****u.kcis.ntpc.edu.tw")</f>
        <v>071*****u.kcis.ntpc.edu.tw</v>
      </c>
      <c r="E651" s="17" t="str">
        <f>IFERROR(__xludf.DUMMYFUNCTION("""COMPUTED_VALUE"""),"康橋學校財團法人新北市康橋高級中學附設國小部")</f>
        <v>康橋學校財團法人新北市康橋高級中學附設國小部</v>
      </c>
      <c r="F651" s="14" t="str">
        <f>IFERROR(__xludf.DUMMYFUNCTION("""COMPUTED_VALUE"""),"五年級")</f>
        <v>五年級</v>
      </c>
      <c r="G651" s="14" t="str">
        <f>IFERROR(__xludf.DUMMYFUNCTION("""COMPUTED_VALUE"""),"獎狀")</f>
        <v>獎狀</v>
      </c>
      <c r="H651" s="8"/>
    </row>
    <row r="652">
      <c r="A652" s="18"/>
      <c r="B652" s="14">
        <f>IFERROR(__xludf.DUMMYFUNCTION("""COMPUTED_VALUE"""),1219457.0)</f>
        <v>1219457</v>
      </c>
      <c r="C652" s="14" t="str">
        <f>IFERROR(__xludf.DUMMYFUNCTION("""COMPUTED_VALUE"""),"王楷鈞")</f>
        <v>王楷鈞</v>
      </c>
      <c r="D652" s="16" t="str">
        <f>IFERROR(__xludf.DUMMYFUNCTION("""COMPUTED_VALUE"""),"070*****u.kcis.ntpc.edu.tw")</f>
        <v>070*****u.kcis.ntpc.edu.tw</v>
      </c>
      <c r="E652" s="17" t="str">
        <f>IFERROR(__xludf.DUMMYFUNCTION("""COMPUTED_VALUE"""),"康橋學校財團法人新北市康橋高級中學附設國小部")</f>
        <v>康橋學校財團法人新北市康橋高級中學附設國小部</v>
      </c>
      <c r="F652" s="14" t="str">
        <f>IFERROR(__xludf.DUMMYFUNCTION("""COMPUTED_VALUE"""),"五年級")</f>
        <v>五年級</v>
      </c>
      <c r="G652" s="14" t="str">
        <f>IFERROR(__xludf.DUMMYFUNCTION("""COMPUTED_VALUE"""),"●小禮物")</f>
        <v>●小禮物</v>
      </c>
      <c r="H652" s="8"/>
    </row>
    <row r="653">
      <c r="A653" s="18"/>
      <c r="B653" s="14">
        <f>IFERROR(__xludf.DUMMYFUNCTION("""COMPUTED_VALUE"""),1217097.0)</f>
        <v>1217097</v>
      </c>
      <c r="C653" s="14" t="str">
        <f>IFERROR(__xludf.DUMMYFUNCTION("""COMPUTED_VALUE"""),"江大宇")</f>
        <v>江大宇</v>
      </c>
      <c r="D653" s="16" t="str">
        <f>IFERROR(__xludf.DUMMYFUNCTION("""COMPUTED_VALUE"""),"062*****u.kcis.ntpc.edu.tw")</f>
        <v>062*****u.kcis.ntpc.edu.tw</v>
      </c>
      <c r="E653" s="17" t="str">
        <f>IFERROR(__xludf.DUMMYFUNCTION("""COMPUTED_VALUE"""),"康橋學校財團法人新北市康橋高級中學附設國小部")</f>
        <v>康橋學校財團法人新北市康橋高級中學附設國小部</v>
      </c>
      <c r="F653" s="14" t="str">
        <f>IFERROR(__xludf.DUMMYFUNCTION("""COMPUTED_VALUE"""),"六年級")</f>
        <v>六年級</v>
      </c>
      <c r="G653" s="14" t="str">
        <f>IFERROR(__xludf.DUMMYFUNCTION("""COMPUTED_VALUE"""),"●小禮物")</f>
        <v>●小禮物</v>
      </c>
      <c r="H653" s="8"/>
    </row>
    <row r="654">
      <c r="A654" s="18"/>
      <c r="B654" s="14">
        <f>IFERROR(__xludf.DUMMYFUNCTION("""COMPUTED_VALUE"""),1217084.0)</f>
        <v>1217084</v>
      </c>
      <c r="C654" s="14" t="str">
        <f>IFERROR(__xludf.DUMMYFUNCTION("""COMPUTED_VALUE"""),"高允澤")</f>
        <v>高允澤</v>
      </c>
      <c r="D654" s="16" t="str">
        <f>IFERROR(__xludf.DUMMYFUNCTION("""COMPUTED_VALUE"""),"063*****u.kcis.ntpc.edu.tw")</f>
        <v>063*****u.kcis.ntpc.edu.tw</v>
      </c>
      <c r="E654" s="17" t="str">
        <f>IFERROR(__xludf.DUMMYFUNCTION("""COMPUTED_VALUE"""),"康橋學校財團法人新北市康橋高級中學附設國小部")</f>
        <v>康橋學校財團法人新北市康橋高級中學附設國小部</v>
      </c>
      <c r="F654" s="14" t="str">
        <f>IFERROR(__xludf.DUMMYFUNCTION("""COMPUTED_VALUE"""),"六年級")</f>
        <v>六年級</v>
      </c>
      <c r="G654" s="14" t="str">
        <f>IFERROR(__xludf.DUMMYFUNCTION("""COMPUTED_VALUE"""),"●小禮物")</f>
        <v>●小禮物</v>
      </c>
      <c r="H654" s="8"/>
    </row>
    <row r="655">
      <c r="A655" s="18"/>
      <c r="B655" s="14">
        <f>IFERROR(__xludf.DUMMYFUNCTION("""COMPUTED_VALUE"""),1218810.0)</f>
        <v>1218810</v>
      </c>
      <c r="C655" s="14" t="str">
        <f>IFERROR(__xludf.DUMMYFUNCTION("""COMPUTED_VALUE"""),"曾紹齊")</f>
        <v>曾紹齊</v>
      </c>
      <c r="D655" s="16" t="str">
        <f>IFERROR(__xludf.DUMMYFUNCTION("""COMPUTED_VALUE"""),"062*****u.kcis.ntpc.edu.tw")</f>
        <v>062*****u.kcis.ntpc.edu.tw</v>
      </c>
      <c r="E655" s="17" t="str">
        <f>IFERROR(__xludf.DUMMYFUNCTION("""COMPUTED_VALUE"""),"康橋學校財團法人新北市康橋高級中學附設國小部")</f>
        <v>康橋學校財團法人新北市康橋高級中學附設國小部</v>
      </c>
      <c r="F655" s="14" t="str">
        <f>IFERROR(__xludf.DUMMYFUNCTION("""COMPUTED_VALUE"""),"六年級")</f>
        <v>六年級</v>
      </c>
      <c r="G655" s="14" t="str">
        <f>IFERROR(__xludf.DUMMYFUNCTION("""COMPUTED_VALUE"""),"獎狀")</f>
        <v>獎狀</v>
      </c>
      <c r="H655" s="8"/>
    </row>
    <row r="656">
      <c r="A656" s="18"/>
      <c r="B656" s="14">
        <f>IFERROR(__xludf.DUMMYFUNCTION("""COMPUTED_VALUE"""),1215449.0)</f>
        <v>1215449</v>
      </c>
      <c r="C656" s="14" t="str">
        <f>IFERROR(__xludf.DUMMYFUNCTION("""COMPUTED_VALUE"""),"胡宇睿")</f>
        <v>胡宇睿</v>
      </c>
      <c r="D656" s="16" t="str">
        <f>IFERROR(__xludf.DUMMYFUNCTION("""COMPUTED_VALUE"""),"062*****u.kcis.ntpc.edu.tw")</f>
        <v>062*****u.kcis.ntpc.edu.tw</v>
      </c>
      <c r="E656" s="17" t="str">
        <f>IFERROR(__xludf.DUMMYFUNCTION("""COMPUTED_VALUE"""),"康橋學校財團法人新北市康橋高級中學附設國小部")</f>
        <v>康橋學校財團法人新北市康橋高級中學附設國小部</v>
      </c>
      <c r="F656" s="14" t="str">
        <f>IFERROR(__xludf.DUMMYFUNCTION("""COMPUTED_VALUE"""),"六年級")</f>
        <v>六年級</v>
      </c>
      <c r="G656" s="14" t="str">
        <f>IFERROR(__xludf.DUMMYFUNCTION("""COMPUTED_VALUE"""),"●小禮物")</f>
        <v>●小禮物</v>
      </c>
      <c r="H656" s="8"/>
    </row>
    <row r="657">
      <c r="A657" s="18"/>
      <c r="B657" s="14">
        <f>IFERROR(__xludf.DUMMYFUNCTION("""COMPUTED_VALUE"""),1215472.0)</f>
        <v>1215472</v>
      </c>
      <c r="C657" s="14" t="str">
        <f>IFERROR(__xludf.DUMMYFUNCTION("""COMPUTED_VALUE"""),"胡睿品")</f>
        <v>胡睿品</v>
      </c>
      <c r="D657" s="16" t="str">
        <f>IFERROR(__xludf.DUMMYFUNCTION("""COMPUTED_VALUE"""),"061*****u.kcis.ntpc.edu.tw")</f>
        <v>061*****u.kcis.ntpc.edu.tw</v>
      </c>
      <c r="E657" s="17" t="str">
        <f>IFERROR(__xludf.DUMMYFUNCTION("""COMPUTED_VALUE"""),"康橋學校財團法人新北市康橋高級中學附設國小部")</f>
        <v>康橋學校財團法人新北市康橋高級中學附設國小部</v>
      </c>
      <c r="F657" s="14" t="str">
        <f>IFERROR(__xludf.DUMMYFUNCTION("""COMPUTED_VALUE"""),"六年級")</f>
        <v>六年級</v>
      </c>
      <c r="G657" s="14" t="str">
        <f>IFERROR(__xludf.DUMMYFUNCTION("""COMPUTED_VALUE"""),"●小禮物")</f>
        <v>●小禮物</v>
      </c>
      <c r="H657" s="8"/>
    </row>
    <row r="658">
      <c r="A658" s="18"/>
      <c r="B658" s="14">
        <f>IFERROR(__xludf.DUMMYFUNCTION("""COMPUTED_VALUE"""),1215414.0)</f>
        <v>1215414</v>
      </c>
      <c r="C658" s="14" t="str">
        <f>IFERROR(__xludf.DUMMYFUNCTION("""COMPUTED_VALUE"""),"沈恩諾")</f>
        <v>沈恩諾</v>
      </c>
      <c r="D658" s="16" t="str">
        <f>IFERROR(__xludf.DUMMYFUNCTION("""COMPUTED_VALUE"""),"063*****u.kcis.ntpc.edu.tw")</f>
        <v>063*****u.kcis.ntpc.edu.tw</v>
      </c>
      <c r="E658" s="17" t="str">
        <f>IFERROR(__xludf.DUMMYFUNCTION("""COMPUTED_VALUE"""),"康橋學校財團法人新北市康橋高級中學附設國小部")</f>
        <v>康橋學校財團法人新北市康橋高級中學附設國小部</v>
      </c>
      <c r="F658" s="14" t="str">
        <f>IFERROR(__xludf.DUMMYFUNCTION("""COMPUTED_VALUE"""),"六年級")</f>
        <v>六年級</v>
      </c>
      <c r="G658" s="14" t="str">
        <f>IFERROR(__xludf.DUMMYFUNCTION("""COMPUTED_VALUE"""),"獎狀")</f>
        <v>獎狀</v>
      </c>
      <c r="H658" s="8"/>
    </row>
    <row r="659">
      <c r="A659" s="18"/>
      <c r="B659" s="14">
        <f>IFERROR(__xludf.DUMMYFUNCTION("""COMPUTED_VALUE"""),1215532.0)</f>
        <v>1215532</v>
      </c>
      <c r="C659" s="14" t="str">
        <f>IFERROR(__xludf.DUMMYFUNCTION("""COMPUTED_VALUE"""),"劉峻成")</f>
        <v>劉峻成</v>
      </c>
      <c r="D659" s="16" t="str">
        <f>IFERROR(__xludf.DUMMYFUNCTION("""COMPUTED_VALUE"""),"063*****u.kcis.ntpc.edu.tw")</f>
        <v>063*****u.kcis.ntpc.edu.tw</v>
      </c>
      <c r="E659" s="17" t="str">
        <f>IFERROR(__xludf.DUMMYFUNCTION("""COMPUTED_VALUE"""),"康橋學校財團法人新北市康橋高級中學附設國小部")</f>
        <v>康橋學校財團法人新北市康橋高級中學附設國小部</v>
      </c>
      <c r="F659" s="14" t="str">
        <f>IFERROR(__xludf.DUMMYFUNCTION("""COMPUTED_VALUE"""),"六年級")</f>
        <v>六年級</v>
      </c>
      <c r="G659" s="14" t="str">
        <f>IFERROR(__xludf.DUMMYFUNCTION("""COMPUTED_VALUE"""),"獎狀")</f>
        <v>獎狀</v>
      </c>
      <c r="H659" s="8"/>
    </row>
    <row r="660">
      <c r="A660" s="18"/>
      <c r="B660" s="14">
        <f>IFERROR(__xludf.DUMMYFUNCTION("""COMPUTED_VALUE"""),1217220.0)</f>
        <v>1217220</v>
      </c>
      <c r="C660" s="14" t="str">
        <f>IFERROR(__xludf.DUMMYFUNCTION("""COMPUTED_VALUE"""),"柯品妤")</f>
        <v>柯品妤</v>
      </c>
      <c r="D660" s="16" t="str">
        <f>IFERROR(__xludf.DUMMYFUNCTION("""COMPUTED_VALUE"""),"060*****u.kcis.ntpc.edu.tw")</f>
        <v>060*****u.kcis.ntpc.edu.tw</v>
      </c>
      <c r="E660" s="17" t="str">
        <f>IFERROR(__xludf.DUMMYFUNCTION("""COMPUTED_VALUE"""),"康橋學校財團法人新北市康橋高級中學附設國小部")</f>
        <v>康橋學校財團法人新北市康橋高級中學附設國小部</v>
      </c>
      <c r="F660" s="14" t="str">
        <f>IFERROR(__xludf.DUMMYFUNCTION("""COMPUTED_VALUE"""),"六年級")</f>
        <v>六年級</v>
      </c>
      <c r="G660" s="14" t="str">
        <f>IFERROR(__xludf.DUMMYFUNCTION("""COMPUTED_VALUE"""),"獎狀")</f>
        <v>獎狀</v>
      </c>
      <c r="H660" s="8"/>
    </row>
    <row r="661">
      <c r="A661" s="18"/>
      <c r="B661" s="14">
        <f>IFERROR(__xludf.DUMMYFUNCTION("""COMPUTED_VALUE"""),1215446.0)</f>
        <v>1215446</v>
      </c>
      <c r="C661" s="14" t="str">
        <f>IFERROR(__xludf.DUMMYFUNCTION("""COMPUTED_VALUE"""),"陳垣丞")</f>
        <v>陳垣丞</v>
      </c>
      <c r="D661" s="16" t="str">
        <f>IFERROR(__xludf.DUMMYFUNCTION("""COMPUTED_VALUE"""),"061*****u.kcis.ntpc.edu.tw")</f>
        <v>061*****u.kcis.ntpc.edu.tw</v>
      </c>
      <c r="E661" s="17" t="str">
        <f>IFERROR(__xludf.DUMMYFUNCTION("""COMPUTED_VALUE"""),"康橋學校財團法人新北市康橋高級中學附設國小部")</f>
        <v>康橋學校財團法人新北市康橋高級中學附設國小部</v>
      </c>
      <c r="F661" s="14" t="str">
        <f>IFERROR(__xludf.DUMMYFUNCTION("""COMPUTED_VALUE"""),"六年級")</f>
        <v>六年級</v>
      </c>
      <c r="G661" s="14" t="str">
        <f>IFERROR(__xludf.DUMMYFUNCTION("""COMPUTED_VALUE"""),"●小禮物")</f>
        <v>●小禮物</v>
      </c>
      <c r="H661" s="8"/>
    </row>
    <row r="662">
      <c r="A662" s="18"/>
      <c r="B662" s="14">
        <f>IFERROR(__xludf.DUMMYFUNCTION("""COMPUTED_VALUE"""),1215456.0)</f>
        <v>1215456</v>
      </c>
      <c r="C662" s="14" t="str">
        <f>IFERROR(__xludf.DUMMYFUNCTION("""COMPUTED_VALUE"""),"郭守善")</f>
        <v>郭守善</v>
      </c>
      <c r="D662" s="16" t="str">
        <f>IFERROR(__xludf.DUMMYFUNCTION("""COMPUTED_VALUE"""),"060*****u.kcis.ntpc.edu.tw")</f>
        <v>060*****u.kcis.ntpc.edu.tw</v>
      </c>
      <c r="E662" s="17" t="str">
        <f>IFERROR(__xludf.DUMMYFUNCTION("""COMPUTED_VALUE"""),"康橋學校財團法人新北市康橋高級中學附設國小部")</f>
        <v>康橋學校財團法人新北市康橋高級中學附設國小部</v>
      </c>
      <c r="F662" s="14" t="str">
        <f>IFERROR(__xludf.DUMMYFUNCTION("""COMPUTED_VALUE"""),"六年級")</f>
        <v>六年級</v>
      </c>
      <c r="G662" s="14" t="str">
        <f>IFERROR(__xludf.DUMMYFUNCTION("""COMPUTED_VALUE"""),"獎狀")</f>
        <v>獎狀</v>
      </c>
      <c r="H662" s="8"/>
    </row>
    <row r="663">
      <c r="A663" s="18"/>
      <c r="B663" s="14">
        <f>IFERROR(__xludf.DUMMYFUNCTION("""COMPUTED_VALUE"""),1217482.0)</f>
        <v>1217482</v>
      </c>
      <c r="C663" s="14" t="str">
        <f>IFERROR(__xludf.DUMMYFUNCTION("""COMPUTED_VALUE"""),"黃紫琦")</f>
        <v>黃紫琦</v>
      </c>
      <c r="D663" s="16" t="str">
        <f>IFERROR(__xludf.DUMMYFUNCTION("""COMPUTED_VALUE"""),"063*****u.kcis.ntpc.edu.tw")</f>
        <v>063*****u.kcis.ntpc.edu.tw</v>
      </c>
      <c r="E663" s="17" t="str">
        <f>IFERROR(__xludf.DUMMYFUNCTION("""COMPUTED_VALUE"""),"康橋學校財團法人新北市康橋高級中學附設國小部")</f>
        <v>康橋學校財團法人新北市康橋高級中學附設國小部</v>
      </c>
      <c r="F663" s="14" t="str">
        <f>IFERROR(__xludf.DUMMYFUNCTION("""COMPUTED_VALUE"""),"六年級")</f>
        <v>六年級</v>
      </c>
      <c r="G663" s="14" t="str">
        <f>IFERROR(__xludf.DUMMYFUNCTION("""COMPUTED_VALUE"""),"獎狀")</f>
        <v>獎狀</v>
      </c>
      <c r="H663" s="8"/>
    </row>
    <row r="664">
      <c r="A664" s="18"/>
      <c r="B664" s="14">
        <f>IFERROR(__xludf.DUMMYFUNCTION("""COMPUTED_VALUE"""),1215378.0)</f>
        <v>1215378</v>
      </c>
      <c r="C664" s="14" t="str">
        <f>IFERROR(__xludf.DUMMYFUNCTION("""COMPUTED_VALUE"""),"黃柏睿")</f>
        <v>黃柏睿</v>
      </c>
      <c r="D664" s="16" t="str">
        <f>IFERROR(__xludf.DUMMYFUNCTION("""COMPUTED_VALUE"""),"062*****u.kcis.ntpc.edu.tw")</f>
        <v>062*****u.kcis.ntpc.edu.tw</v>
      </c>
      <c r="E664" s="17" t="str">
        <f>IFERROR(__xludf.DUMMYFUNCTION("""COMPUTED_VALUE"""),"康橋學校財團法人新北市康橋高級中學附設國小部")</f>
        <v>康橋學校財團法人新北市康橋高級中學附設國小部</v>
      </c>
      <c r="F664" s="14" t="str">
        <f>IFERROR(__xludf.DUMMYFUNCTION("""COMPUTED_VALUE"""),"六年級")</f>
        <v>六年級</v>
      </c>
      <c r="G664" s="14" t="str">
        <f>IFERROR(__xludf.DUMMYFUNCTION("""COMPUTED_VALUE"""),"獎狀")</f>
        <v>獎狀</v>
      </c>
      <c r="H664" s="8"/>
    </row>
    <row r="665">
      <c r="A665" s="18"/>
      <c r="B665" s="14">
        <f>IFERROR(__xludf.DUMMYFUNCTION("""COMPUTED_VALUE"""),1217505.0)</f>
        <v>1217505</v>
      </c>
      <c r="C665" s="14" t="str">
        <f>IFERROR(__xludf.DUMMYFUNCTION("""COMPUTED_VALUE"""),"張杰睿")</f>
        <v>張杰睿</v>
      </c>
      <c r="D665" s="16" t="str">
        <f>IFERROR(__xludf.DUMMYFUNCTION("""COMPUTED_VALUE"""),"060*****u.kcis.ntpc.edu.tw")</f>
        <v>060*****u.kcis.ntpc.edu.tw</v>
      </c>
      <c r="E665" s="17" t="str">
        <f>IFERROR(__xludf.DUMMYFUNCTION("""COMPUTED_VALUE"""),"康橋學校財團法人新北市康橋高級中學附設國小部")</f>
        <v>康橋學校財團法人新北市康橋高級中學附設國小部</v>
      </c>
      <c r="F665" s="14" t="str">
        <f>IFERROR(__xludf.DUMMYFUNCTION("""COMPUTED_VALUE"""),"六年級")</f>
        <v>六年級</v>
      </c>
      <c r="G665" s="14" t="str">
        <f>IFERROR(__xludf.DUMMYFUNCTION("""COMPUTED_VALUE"""),"●小禮物")</f>
        <v>●小禮物</v>
      </c>
      <c r="H665" s="8"/>
    </row>
    <row r="666">
      <c r="A666" s="18"/>
      <c r="B666" s="14">
        <f>IFERROR(__xludf.DUMMYFUNCTION("""COMPUTED_VALUE"""),476959.0)</f>
        <v>476959</v>
      </c>
      <c r="C666" s="14" t="str">
        <f>IFERROR(__xludf.DUMMYFUNCTION("""COMPUTED_VALUE"""),"謝沛辰")</f>
        <v>謝沛辰</v>
      </c>
      <c r="D666" s="16" t="str">
        <f>IFERROR(__xludf.DUMMYFUNCTION("""COMPUTED_VALUE"""),"xpc*****ntpc@mail.edu.tw")</f>
        <v>xpc*****ntpc@mail.edu.tw</v>
      </c>
      <c r="E666" s="17" t="str">
        <f>IFERROR(__xludf.DUMMYFUNCTION("""COMPUTED_VALUE"""),"新北市新店區新店國民小學")</f>
        <v>新北市新店區新店國民小學</v>
      </c>
      <c r="F666" s="14" t="str">
        <f>IFERROR(__xludf.DUMMYFUNCTION("""COMPUTED_VALUE"""),"三年級")</f>
        <v>三年級</v>
      </c>
      <c r="G666" s="14" t="str">
        <f>IFERROR(__xludf.DUMMYFUNCTION("""COMPUTED_VALUE"""),"獎狀")</f>
        <v>獎狀</v>
      </c>
      <c r="H666" s="8"/>
    </row>
    <row r="667">
      <c r="A667" s="18"/>
      <c r="B667" s="14">
        <f>IFERROR(__xludf.DUMMYFUNCTION("""COMPUTED_VALUE"""),353309.0)</f>
        <v>353309</v>
      </c>
      <c r="C667" s="14" t="str">
        <f>IFERROR(__xludf.DUMMYFUNCTION("""COMPUTED_VALUE"""),"謝沛宏")</f>
        <v>謝沛宏</v>
      </c>
      <c r="D667" s="16" t="str">
        <f>IFERROR(__xludf.DUMMYFUNCTION("""COMPUTED_VALUE"""),"xde*****01.ntpc@mail.edu.tw")</f>
        <v>xde*****01.ntpc@mail.edu.tw</v>
      </c>
      <c r="E667" s="17" t="str">
        <f>IFERROR(__xludf.DUMMYFUNCTION("""COMPUTED_VALUE"""),"新北市新店區新店國民小學")</f>
        <v>新北市新店區新店國民小學</v>
      </c>
      <c r="F667" s="14" t="str">
        <f>IFERROR(__xludf.DUMMYFUNCTION("""COMPUTED_VALUE"""),"六年級")</f>
        <v>六年級</v>
      </c>
      <c r="G667" s="14" t="str">
        <f>IFERROR(__xludf.DUMMYFUNCTION("""COMPUTED_VALUE"""),"●小禮物")</f>
        <v>●小禮物</v>
      </c>
      <c r="H667" s="8"/>
    </row>
    <row r="668">
      <c r="A668" s="18"/>
      <c r="B668" s="14">
        <f>IFERROR(__xludf.DUMMYFUNCTION("""COMPUTED_VALUE"""),533284.0)</f>
        <v>533284</v>
      </c>
      <c r="C668" s="14" t="str">
        <f>IFERROR(__xludf.DUMMYFUNCTION("""COMPUTED_VALUE"""),"林峻安")</f>
        <v>林峻安</v>
      </c>
      <c r="D668" s="16" t="str">
        <f>IFERROR(__xludf.DUMMYFUNCTION("""COMPUTED_VALUE"""),"xde*****08.ntpc@mail.edu.tw")</f>
        <v>xde*****08.ntpc@mail.edu.tw</v>
      </c>
      <c r="E668" s="17" t="str">
        <f>IFERROR(__xludf.DUMMYFUNCTION("""COMPUTED_VALUE"""),"新北市新店區新店國民小學")</f>
        <v>新北市新店區新店國民小學</v>
      </c>
      <c r="F668" s="14" t="str">
        <f>IFERROR(__xludf.DUMMYFUNCTION("""COMPUTED_VALUE"""),"六年級")</f>
        <v>六年級</v>
      </c>
      <c r="G668" s="14" t="str">
        <f>IFERROR(__xludf.DUMMYFUNCTION("""COMPUTED_VALUE"""),"獎狀")</f>
        <v>獎狀</v>
      </c>
      <c r="H668" s="8"/>
    </row>
    <row r="669">
      <c r="A669" s="18"/>
      <c r="B669" s="14">
        <f>IFERROR(__xludf.DUMMYFUNCTION("""COMPUTED_VALUE"""),1209015.0)</f>
        <v>1209015</v>
      </c>
      <c r="C669" s="14" t="str">
        <f>IFERROR(__xludf.DUMMYFUNCTION("""COMPUTED_VALUE"""),"李侑宸")</f>
        <v>李侑宸</v>
      </c>
      <c r="D669" s="16" t="str">
        <f>IFERROR(__xludf.DUMMYFUNCTION("""COMPUTED_VALUE"""),"bs1*****.ntpc@mail.edu.tw")</f>
        <v>bs1*****.ntpc@mail.edu.tw</v>
      </c>
      <c r="E669" s="17" t="str">
        <f>IFERROR(__xludf.DUMMYFUNCTION("""COMPUTED_VALUE"""),"新北市新店區北新國民小學")</f>
        <v>新北市新店區北新國民小學</v>
      </c>
      <c r="F669" s="14" t="str">
        <f>IFERROR(__xludf.DUMMYFUNCTION("""COMPUTED_VALUE"""),"四年級")</f>
        <v>四年級</v>
      </c>
      <c r="G669" s="14" t="str">
        <f>IFERROR(__xludf.DUMMYFUNCTION("""COMPUTED_VALUE"""),"●小禮物")</f>
        <v>●小禮物</v>
      </c>
      <c r="H669" s="8"/>
    </row>
    <row r="670">
      <c r="A670" s="18"/>
      <c r="B670" s="14">
        <f>IFERROR(__xludf.DUMMYFUNCTION("""COMPUTED_VALUE"""),1203028.0)</f>
        <v>1203028</v>
      </c>
      <c r="C670" s="14" t="str">
        <f>IFERROR(__xludf.DUMMYFUNCTION("""COMPUTED_VALUE"""),"張唯妮")</f>
        <v>張唯妮</v>
      </c>
      <c r="D670" s="16" t="str">
        <f>IFERROR(__xludf.DUMMYFUNCTION("""COMPUTED_VALUE"""),"bs1*****.ntpc@mail.edu.tw")</f>
        <v>bs1*****.ntpc@mail.edu.tw</v>
      </c>
      <c r="E670" s="17" t="str">
        <f>IFERROR(__xludf.DUMMYFUNCTION("""COMPUTED_VALUE"""),"新北市新店區北新國民小學")</f>
        <v>新北市新店區北新國民小學</v>
      </c>
      <c r="F670" s="14" t="str">
        <f>IFERROR(__xludf.DUMMYFUNCTION("""COMPUTED_VALUE"""),"四年級")</f>
        <v>四年級</v>
      </c>
      <c r="G670" s="14" t="str">
        <f>IFERROR(__xludf.DUMMYFUNCTION("""COMPUTED_VALUE"""),"●小禮物")</f>
        <v>●小禮物</v>
      </c>
      <c r="H670" s="8"/>
    </row>
    <row r="671">
      <c r="A671" s="18"/>
      <c r="B671" s="14">
        <f>IFERROR(__xludf.DUMMYFUNCTION("""COMPUTED_VALUE"""),1092013.0)</f>
        <v>1092013</v>
      </c>
      <c r="C671" s="14" t="str">
        <f>IFERROR(__xludf.DUMMYFUNCTION("""COMPUTED_VALUE"""),"邱予靚")</f>
        <v>邱予靚</v>
      </c>
      <c r="D671" s="16" t="str">
        <f>IFERROR(__xludf.DUMMYFUNCTION("""COMPUTED_VALUE"""),"bs1*****@apps.ntpc.edu.tw")</f>
        <v>bs1*****@apps.ntpc.edu.tw</v>
      </c>
      <c r="E671" s="17" t="str">
        <f>IFERROR(__xludf.DUMMYFUNCTION("""COMPUTED_VALUE"""),"新北市新店區北新國民小學")</f>
        <v>新北市新店區北新國民小學</v>
      </c>
      <c r="F671" s="14" t="str">
        <f>IFERROR(__xludf.DUMMYFUNCTION("""COMPUTED_VALUE"""),"四年級")</f>
        <v>四年級</v>
      </c>
      <c r="G671" s="14" t="str">
        <f>IFERROR(__xludf.DUMMYFUNCTION("""COMPUTED_VALUE"""),"獎狀")</f>
        <v>獎狀</v>
      </c>
      <c r="H671" s="8"/>
    </row>
    <row r="672">
      <c r="A672" s="18"/>
      <c r="B672" s="14">
        <f>IFERROR(__xludf.DUMMYFUNCTION("""COMPUTED_VALUE"""),469479.0)</f>
        <v>469479</v>
      </c>
      <c r="C672" s="14" t="str">
        <f>IFERROR(__xludf.DUMMYFUNCTION("""COMPUTED_VALUE"""),"林泇辰")</f>
        <v>林泇辰</v>
      </c>
      <c r="D672" s="16" t="str">
        <f>IFERROR(__xludf.DUMMYFUNCTION("""COMPUTED_VALUE"""),"bs1*****.ntpc@mail.edu.tw")</f>
        <v>bs1*****.ntpc@mail.edu.tw</v>
      </c>
      <c r="E672" s="17" t="str">
        <f>IFERROR(__xludf.DUMMYFUNCTION("""COMPUTED_VALUE"""),"新北市新店區北新國民小學")</f>
        <v>新北市新店區北新國民小學</v>
      </c>
      <c r="F672" s="14" t="str">
        <f>IFERROR(__xludf.DUMMYFUNCTION("""COMPUTED_VALUE"""),"五年級")</f>
        <v>五年級</v>
      </c>
      <c r="G672" s="14" t="str">
        <f>IFERROR(__xludf.DUMMYFUNCTION("""COMPUTED_VALUE"""),"獎狀")</f>
        <v>獎狀</v>
      </c>
      <c r="H672" s="8"/>
    </row>
    <row r="673">
      <c r="A673" s="18"/>
      <c r="B673" s="14">
        <f>IFERROR(__xludf.DUMMYFUNCTION("""COMPUTED_VALUE"""),852089.0)</f>
        <v>852089</v>
      </c>
      <c r="C673" s="14" t="str">
        <f>IFERROR(__xludf.DUMMYFUNCTION("""COMPUTED_VALUE"""),"李曜安")</f>
        <v>李曜安</v>
      </c>
      <c r="D673" s="16" t="str">
        <f>IFERROR(__xludf.DUMMYFUNCTION("""COMPUTED_VALUE"""),"che*****053@hotmail.com")</f>
        <v>che*****053@hotmail.com</v>
      </c>
      <c r="E673" s="17" t="str">
        <f>IFERROR(__xludf.DUMMYFUNCTION("""COMPUTED_VALUE"""),"新北市新店區北新國民小學")</f>
        <v>新北市新店區北新國民小學</v>
      </c>
      <c r="F673" s="14" t="str">
        <f>IFERROR(__xludf.DUMMYFUNCTION("""COMPUTED_VALUE"""),"五年級")</f>
        <v>五年級</v>
      </c>
      <c r="G673" s="14" t="str">
        <f>IFERROR(__xludf.DUMMYFUNCTION("""COMPUTED_VALUE"""),"●小禮物")</f>
        <v>●小禮物</v>
      </c>
      <c r="H673" s="8"/>
    </row>
    <row r="674">
      <c r="A674" s="18"/>
      <c r="B674" s="14">
        <f>IFERROR(__xludf.DUMMYFUNCTION("""COMPUTED_VALUE"""),1099061.0)</f>
        <v>1099061</v>
      </c>
      <c r="C674" s="14" t="str">
        <f>IFERROR(__xludf.DUMMYFUNCTION("""COMPUTED_VALUE"""),"林芮安")</f>
        <v>林芮安</v>
      </c>
      <c r="D674" s="16" t="str">
        <f>IFERROR(__xludf.DUMMYFUNCTION("""COMPUTED_VALUE"""),"lra*****apps.ntpc.edu.tw")</f>
        <v>lra*****apps.ntpc.edu.tw</v>
      </c>
      <c r="E674" s="17" t="str">
        <f>IFERROR(__xludf.DUMMYFUNCTION("""COMPUTED_VALUE"""),"新北市新店區北新國民小學")</f>
        <v>新北市新店區北新國民小學</v>
      </c>
      <c r="F674" s="14" t="str">
        <f>IFERROR(__xludf.DUMMYFUNCTION("""COMPUTED_VALUE"""),"六年級")</f>
        <v>六年級</v>
      </c>
      <c r="G674" s="14" t="str">
        <f>IFERROR(__xludf.DUMMYFUNCTION("""COMPUTED_VALUE"""),"●小禮物")</f>
        <v>●小禮物</v>
      </c>
      <c r="H674" s="8"/>
    </row>
    <row r="675">
      <c r="A675" s="18"/>
      <c r="B675" s="14">
        <f>IFERROR(__xludf.DUMMYFUNCTION("""COMPUTED_VALUE"""),1182776.0)</f>
        <v>1182776</v>
      </c>
      <c r="C675" s="14" t="str">
        <f>IFERROR(__xludf.DUMMYFUNCTION("""COMPUTED_VALUE"""),"林言瑄")</f>
        <v>林言瑄</v>
      </c>
      <c r="D675" s="16" t="str">
        <f>IFERROR(__xludf.DUMMYFUNCTION("""COMPUTED_VALUE"""),"lys*****apps.ntpc.edu.tw")</f>
        <v>lys*****apps.ntpc.edu.tw</v>
      </c>
      <c r="E675" s="17" t="str">
        <f>IFERROR(__xludf.DUMMYFUNCTION("""COMPUTED_VALUE"""),"新北市坪林區坪林國民小學")</f>
        <v>新北市坪林區坪林國民小學</v>
      </c>
      <c r="F675" s="14" t="str">
        <f>IFERROR(__xludf.DUMMYFUNCTION("""COMPUTED_VALUE"""),"三年級")</f>
        <v>三年級</v>
      </c>
      <c r="G675" s="14" t="str">
        <f>IFERROR(__xludf.DUMMYFUNCTION("""COMPUTED_VALUE"""),"●小禮物")</f>
        <v>●小禮物</v>
      </c>
      <c r="H675" s="8"/>
    </row>
    <row r="676">
      <c r="A676" s="18"/>
      <c r="B676" s="14">
        <f>IFERROR(__xludf.DUMMYFUNCTION("""COMPUTED_VALUE"""),1182772.0)</f>
        <v>1182772</v>
      </c>
      <c r="C676" s="14" t="str">
        <f>IFERROR(__xludf.DUMMYFUNCTION("""COMPUTED_VALUE"""),"陳俐安")</f>
        <v>陳俐安</v>
      </c>
      <c r="D676" s="16" t="str">
        <f>IFERROR(__xludf.DUMMYFUNCTION("""COMPUTED_VALUE"""),"cla*****apps.ntpc.edu.tw")</f>
        <v>cla*****apps.ntpc.edu.tw</v>
      </c>
      <c r="E676" s="17" t="str">
        <f>IFERROR(__xludf.DUMMYFUNCTION("""COMPUTED_VALUE"""),"新北市坪林區坪林國民小學")</f>
        <v>新北市坪林區坪林國民小學</v>
      </c>
      <c r="F676" s="14" t="str">
        <f>IFERROR(__xludf.DUMMYFUNCTION("""COMPUTED_VALUE"""),"三年級")</f>
        <v>三年級</v>
      </c>
      <c r="G676" s="14" t="str">
        <f>IFERROR(__xludf.DUMMYFUNCTION("""COMPUTED_VALUE"""),"●小禮物")</f>
        <v>●小禮物</v>
      </c>
      <c r="H676" s="8"/>
    </row>
    <row r="677">
      <c r="A677" s="18"/>
      <c r="B677" s="14">
        <f>IFERROR(__xludf.DUMMYFUNCTION("""COMPUTED_VALUE"""),1182783.0)</f>
        <v>1182783</v>
      </c>
      <c r="C677" s="14" t="str">
        <f>IFERROR(__xludf.DUMMYFUNCTION("""COMPUTED_VALUE"""),"陳彥希")</f>
        <v>陳彥希</v>
      </c>
      <c r="D677" s="16" t="str">
        <f>IFERROR(__xludf.DUMMYFUNCTION("""COMPUTED_VALUE"""),"cyx*****apps.ntpc.edu.tw")</f>
        <v>cyx*****apps.ntpc.edu.tw</v>
      </c>
      <c r="E677" s="17" t="str">
        <f>IFERROR(__xludf.DUMMYFUNCTION("""COMPUTED_VALUE"""),"新北市坪林區坪林國民小學")</f>
        <v>新北市坪林區坪林國民小學</v>
      </c>
      <c r="F677" s="14" t="str">
        <f>IFERROR(__xludf.DUMMYFUNCTION("""COMPUTED_VALUE"""),"三年級")</f>
        <v>三年級</v>
      </c>
      <c r="G677" s="14" t="str">
        <f>IFERROR(__xludf.DUMMYFUNCTION("""COMPUTED_VALUE"""),"●小禮物")</f>
        <v>●小禮物</v>
      </c>
      <c r="H677" s="8"/>
    </row>
    <row r="678">
      <c r="A678" s="18"/>
      <c r="B678" s="14">
        <f>IFERROR(__xludf.DUMMYFUNCTION("""COMPUTED_VALUE"""),1182779.0)</f>
        <v>1182779</v>
      </c>
      <c r="C678" s="14" t="str">
        <f>IFERROR(__xludf.DUMMYFUNCTION("""COMPUTED_VALUE"""),"謝芮慈")</f>
        <v>謝芮慈</v>
      </c>
      <c r="D678" s="16" t="str">
        <f>IFERROR(__xludf.DUMMYFUNCTION("""COMPUTED_VALUE"""),"xrc*****apps.ntpc.edu.tw")</f>
        <v>xrc*****apps.ntpc.edu.tw</v>
      </c>
      <c r="E678" s="17" t="str">
        <f>IFERROR(__xludf.DUMMYFUNCTION("""COMPUTED_VALUE"""),"新北市坪林區坪林國民小學")</f>
        <v>新北市坪林區坪林國民小學</v>
      </c>
      <c r="F678" s="14" t="str">
        <f>IFERROR(__xludf.DUMMYFUNCTION("""COMPUTED_VALUE"""),"三年級")</f>
        <v>三年級</v>
      </c>
      <c r="G678" s="14" t="str">
        <f>IFERROR(__xludf.DUMMYFUNCTION("""COMPUTED_VALUE"""),"●小禮物")</f>
        <v>●小禮物</v>
      </c>
      <c r="H678" s="8"/>
    </row>
    <row r="679">
      <c r="A679" s="18"/>
      <c r="B679" s="14">
        <f>IFERROR(__xludf.DUMMYFUNCTION("""COMPUTED_VALUE"""),1176059.0)</f>
        <v>1176059</v>
      </c>
      <c r="C679" s="14" t="str">
        <f>IFERROR(__xludf.DUMMYFUNCTION("""COMPUTED_VALUE"""),"鐘啓睿")</f>
        <v>鐘啓睿</v>
      </c>
      <c r="D679" s="16" t="str">
        <f>IFERROR(__xludf.DUMMYFUNCTION("""COMPUTED_VALUE"""),"zqr*****apps.ntpc.edu.tw")</f>
        <v>zqr*****apps.ntpc.edu.tw</v>
      </c>
      <c r="E679" s="17" t="str">
        <f>IFERROR(__xludf.DUMMYFUNCTION("""COMPUTED_VALUE"""),"新北市坪林區坪林國民小學")</f>
        <v>新北市坪林區坪林國民小學</v>
      </c>
      <c r="F679" s="14" t="str">
        <f>IFERROR(__xludf.DUMMYFUNCTION("""COMPUTED_VALUE"""),"三年級")</f>
        <v>三年級</v>
      </c>
      <c r="G679" s="14" t="str">
        <f>IFERROR(__xludf.DUMMYFUNCTION("""COMPUTED_VALUE"""),"●小禮物")</f>
        <v>●小禮物</v>
      </c>
      <c r="H679" s="8"/>
    </row>
    <row r="680">
      <c r="A680" s="18"/>
      <c r="B680" s="14">
        <f>IFERROR(__xludf.DUMMYFUNCTION("""COMPUTED_VALUE"""),1182785.0)</f>
        <v>1182785</v>
      </c>
      <c r="C680" s="14" t="str">
        <f>IFERROR(__xludf.DUMMYFUNCTION("""COMPUTED_VALUE"""),"李佳玲")</f>
        <v>李佳玲</v>
      </c>
      <c r="D680" s="16" t="str">
        <f>IFERROR(__xludf.DUMMYFUNCTION("""COMPUTED_VALUE"""),"ljl*****apps.ntpc.edu.tw")</f>
        <v>ljl*****apps.ntpc.edu.tw</v>
      </c>
      <c r="E680" s="17" t="str">
        <f>IFERROR(__xludf.DUMMYFUNCTION("""COMPUTED_VALUE"""),"新北市坪林區坪林國民小學")</f>
        <v>新北市坪林區坪林國民小學</v>
      </c>
      <c r="F680" s="14" t="str">
        <f>IFERROR(__xludf.DUMMYFUNCTION("""COMPUTED_VALUE"""),"三年級")</f>
        <v>三年級</v>
      </c>
      <c r="G680" s="14" t="str">
        <f>IFERROR(__xludf.DUMMYFUNCTION("""COMPUTED_VALUE"""),"★禮券$200")</f>
        <v>★禮券$200</v>
      </c>
      <c r="H680" s="8"/>
    </row>
    <row r="681">
      <c r="A681" s="18"/>
      <c r="B681" s="14">
        <f>IFERROR(__xludf.DUMMYFUNCTION("""COMPUTED_VALUE"""),1182774.0)</f>
        <v>1182774</v>
      </c>
      <c r="C681" s="14" t="str">
        <f>IFERROR(__xludf.DUMMYFUNCTION("""COMPUTED_VALUE"""),"張芷綺")</f>
        <v>張芷綺</v>
      </c>
      <c r="D681" s="16" t="str">
        <f>IFERROR(__xludf.DUMMYFUNCTION("""COMPUTED_VALUE"""),"zzq*****apps.ntpc.edu.tw")</f>
        <v>zzq*****apps.ntpc.edu.tw</v>
      </c>
      <c r="E681" s="17" t="str">
        <f>IFERROR(__xludf.DUMMYFUNCTION("""COMPUTED_VALUE"""),"新北市坪林區坪林國民小學")</f>
        <v>新北市坪林區坪林國民小學</v>
      </c>
      <c r="F681" s="14" t="str">
        <f>IFERROR(__xludf.DUMMYFUNCTION("""COMPUTED_VALUE"""),"三年級")</f>
        <v>三年級</v>
      </c>
      <c r="G681" s="14" t="str">
        <f>IFERROR(__xludf.DUMMYFUNCTION("""COMPUTED_VALUE"""),"★禮券$200")</f>
        <v>★禮券$200</v>
      </c>
      <c r="H681" s="8"/>
    </row>
    <row r="682">
      <c r="A682" s="18"/>
      <c r="B682" s="14">
        <f>IFERROR(__xludf.DUMMYFUNCTION("""COMPUTED_VALUE"""),1182775.0)</f>
        <v>1182775</v>
      </c>
      <c r="C682" s="14" t="str">
        <f>IFERROR(__xludf.DUMMYFUNCTION("""COMPUTED_VALUE"""),"王羽喬")</f>
        <v>王羽喬</v>
      </c>
      <c r="D682" s="16" t="str">
        <f>IFERROR(__xludf.DUMMYFUNCTION("""COMPUTED_VALUE"""),"wyc*****apps.ntpc.edu.tw")</f>
        <v>wyc*****apps.ntpc.edu.tw</v>
      </c>
      <c r="E682" s="17" t="str">
        <f>IFERROR(__xludf.DUMMYFUNCTION("""COMPUTED_VALUE"""),"新北市坪林區坪林國民小學")</f>
        <v>新北市坪林區坪林國民小學</v>
      </c>
      <c r="F682" s="14" t="str">
        <f>IFERROR(__xludf.DUMMYFUNCTION("""COMPUTED_VALUE"""),"三年級")</f>
        <v>三年級</v>
      </c>
      <c r="G682" s="14" t="str">
        <f>IFERROR(__xludf.DUMMYFUNCTION("""COMPUTED_VALUE"""),"獎狀")</f>
        <v>獎狀</v>
      </c>
      <c r="H682" s="8"/>
    </row>
    <row r="683">
      <c r="A683" s="18"/>
      <c r="B683" s="14">
        <f>IFERROR(__xludf.DUMMYFUNCTION("""COMPUTED_VALUE"""),1182773.0)</f>
        <v>1182773</v>
      </c>
      <c r="C683" s="14" t="str">
        <f>IFERROR(__xludf.DUMMYFUNCTION("""COMPUTED_VALUE"""),"周佳瑜")</f>
        <v>周佳瑜</v>
      </c>
      <c r="D683" s="16" t="str">
        <f>IFERROR(__xludf.DUMMYFUNCTION("""COMPUTED_VALUE"""),"zjy*****apps.ntpc.edu.tw")</f>
        <v>zjy*****apps.ntpc.edu.tw</v>
      </c>
      <c r="E683" s="17" t="str">
        <f>IFERROR(__xludf.DUMMYFUNCTION("""COMPUTED_VALUE"""),"新北市坪林區坪林國民小學")</f>
        <v>新北市坪林區坪林國民小學</v>
      </c>
      <c r="F683" s="14" t="str">
        <f>IFERROR(__xludf.DUMMYFUNCTION("""COMPUTED_VALUE"""),"三年級")</f>
        <v>三年級</v>
      </c>
      <c r="G683" s="14" t="str">
        <f>IFERROR(__xludf.DUMMYFUNCTION("""COMPUTED_VALUE"""),"獎狀")</f>
        <v>獎狀</v>
      </c>
      <c r="H683" s="8"/>
    </row>
    <row r="684">
      <c r="A684" s="18"/>
      <c r="B684" s="14">
        <f>IFERROR(__xludf.DUMMYFUNCTION("""COMPUTED_VALUE"""),1182770.0)</f>
        <v>1182770</v>
      </c>
      <c r="C684" s="14" t="str">
        <f>IFERROR(__xludf.DUMMYFUNCTION("""COMPUTED_VALUE"""),"俞凱議")</f>
        <v>俞凱議</v>
      </c>
      <c r="D684" s="16" t="str">
        <f>IFERROR(__xludf.DUMMYFUNCTION("""COMPUTED_VALUE"""),"yky*****apps.ntpc.edu.tw")</f>
        <v>yky*****apps.ntpc.edu.tw</v>
      </c>
      <c r="E684" s="17" t="str">
        <f>IFERROR(__xludf.DUMMYFUNCTION("""COMPUTED_VALUE"""),"新北市坪林區坪林國民小學")</f>
        <v>新北市坪林區坪林國民小學</v>
      </c>
      <c r="F684" s="14" t="str">
        <f>IFERROR(__xludf.DUMMYFUNCTION("""COMPUTED_VALUE"""),"三年級")</f>
        <v>三年級</v>
      </c>
      <c r="G684" s="14" t="str">
        <f>IFERROR(__xludf.DUMMYFUNCTION("""COMPUTED_VALUE"""),"獎狀")</f>
        <v>獎狀</v>
      </c>
      <c r="H684" s="8"/>
    </row>
    <row r="685">
      <c r="A685" s="18"/>
      <c r="B685" s="14">
        <f>IFERROR(__xludf.DUMMYFUNCTION("""COMPUTED_VALUE"""),1182777.0)</f>
        <v>1182777</v>
      </c>
      <c r="C685" s="14" t="str">
        <f>IFERROR(__xludf.DUMMYFUNCTION("""COMPUTED_VALUE"""),"陳彤霏")</f>
        <v>陳彤霏</v>
      </c>
      <c r="D685" s="16" t="str">
        <f>IFERROR(__xludf.DUMMYFUNCTION("""COMPUTED_VALUE"""),"ctf*****apps.ntpc.edu.tw")</f>
        <v>ctf*****apps.ntpc.edu.tw</v>
      </c>
      <c r="E685" s="17" t="str">
        <f>IFERROR(__xludf.DUMMYFUNCTION("""COMPUTED_VALUE"""),"新北市坪林區坪林國民小學")</f>
        <v>新北市坪林區坪林國民小學</v>
      </c>
      <c r="F685" s="14" t="str">
        <f>IFERROR(__xludf.DUMMYFUNCTION("""COMPUTED_VALUE"""),"三年級")</f>
        <v>三年級</v>
      </c>
      <c r="G685" s="14" t="str">
        <f>IFERROR(__xludf.DUMMYFUNCTION("""COMPUTED_VALUE"""),"獎狀")</f>
        <v>獎狀</v>
      </c>
      <c r="H685" s="8"/>
    </row>
    <row r="686">
      <c r="A686" s="18"/>
      <c r="B686" s="14">
        <f>IFERROR(__xludf.DUMMYFUNCTION("""COMPUTED_VALUE"""),1182771.0)</f>
        <v>1182771</v>
      </c>
      <c r="C686" s="14" t="str">
        <f>IFERROR(__xludf.DUMMYFUNCTION("""COMPUTED_VALUE"""),"陳慧庭")</f>
        <v>陳慧庭</v>
      </c>
      <c r="D686" s="16" t="str">
        <f>IFERROR(__xludf.DUMMYFUNCTION("""COMPUTED_VALUE"""),"cht*****apps.ntpc.edu.tw")</f>
        <v>cht*****apps.ntpc.edu.tw</v>
      </c>
      <c r="E686" s="17" t="str">
        <f>IFERROR(__xludf.DUMMYFUNCTION("""COMPUTED_VALUE"""),"新北市坪林區坪林國民小學")</f>
        <v>新北市坪林區坪林國民小學</v>
      </c>
      <c r="F686" s="14" t="str">
        <f>IFERROR(__xludf.DUMMYFUNCTION("""COMPUTED_VALUE"""),"三年級")</f>
        <v>三年級</v>
      </c>
      <c r="G686" s="14" t="str">
        <f>IFERROR(__xludf.DUMMYFUNCTION("""COMPUTED_VALUE"""),"獎狀")</f>
        <v>獎狀</v>
      </c>
      <c r="H686" s="8"/>
    </row>
    <row r="687">
      <c r="A687" s="18"/>
      <c r="B687" s="14">
        <f>IFERROR(__xludf.DUMMYFUNCTION("""COMPUTED_VALUE"""),1182780.0)</f>
        <v>1182780</v>
      </c>
      <c r="C687" s="14" t="str">
        <f>IFERROR(__xludf.DUMMYFUNCTION("""COMPUTED_VALUE"""),"蕭成安")</f>
        <v>蕭成安</v>
      </c>
      <c r="D687" s="16" t="str">
        <f>IFERROR(__xludf.DUMMYFUNCTION("""COMPUTED_VALUE"""),"xca*****apps.ntpc.edu.tw")</f>
        <v>xca*****apps.ntpc.edu.tw</v>
      </c>
      <c r="E687" s="17" t="str">
        <f>IFERROR(__xludf.DUMMYFUNCTION("""COMPUTED_VALUE"""),"新北市坪林區坪林國民小學")</f>
        <v>新北市坪林區坪林國民小學</v>
      </c>
      <c r="F687" s="14" t="str">
        <f>IFERROR(__xludf.DUMMYFUNCTION("""COMPUTED_VALUE"""),"三年級")</f>
        <v>三年級</v>
      </c>
      <c r="G687" s="14" t="str">
        <f>IFERROR(__xludf.DUMMYFUNCTION("""COMPUTED_VALUE"""),"獎狀")</f>
        <v>獎狀</v>
      </c>
      <c r="H687" s="8"/>
    </row>
    <row r="688">
      <c r="A688" s="18"/>
      <c r="B688" s="14">
        <f>IFERROR(__xludf.DUMMYFUNCTION("""COMPUTED_VALUE"""),1182781.0)</f>
        <v>1182781</v>
      </c>
      <c r="C688" s="14" t="str">
        <f>IFERROR(__xludf.DUMMYFUNCTION("""COMPUTED_VALUE"""),"蘇荷亞")</f>
        <v>蘇荷亞</v>
      </c>
      <c r="D688" s="16" t="str">
        <f>IFERROR(__xludf.DUMMYFUNCTION("""COMPUTED_VALUE"""),"shy*****apps.ntpc.edu.tw")</f>
        <v>shy*****apps.ntpc.edu.tw</v>
      </c>
      <c r="E688" s="17" t="str">
        <f>IFERROR(__xludf.DUMMYFUNCTION("""COMPUTED_VALUE"""),"新北市坪林區坪林國民小學")</f>
        <v>新北市坪林區坪林國民小學</v>
      </c>
      <c r="F688" s="14" t="str">
        <f>IFERROR(__xludf.DUMMYFUNCTION("""COMPUTED_VALUE"""),"三年級")</f>
        <v>三年級</v>
      </c>
      <c r="G688" s="14" t="str">
        <f>IFERROR(__xludf.DUMMYFUNCTION("""COMPUTED_VALUE"""),"獎狀")</f>
        <v>獎狀</v>
      </c>
      <c r="H688" s="8"/>
    </row>
    <row r="689">
      <c r="A689" s="18"/>
      <c r="B689" s="14">
        <f>IFERROR(__xludf.DUMMYFUNCTION("""COMPUTED_VALUE"""),1175243.0)</f>
        <v>1175243</v>
      </c>
      <c r="C689" s="14" t="str">
        <f>IFERROR(__xludf.DUMMYFUNCTION("""COMPUTED_VALUE"""),"林家伶")</f>
        <v>林家伶</v>
      </c>
      <c r="D689" s="16" t="str">
        <f>IFERROR(__xludf.DUMMYFUNCTION("""COMPUTED_VALUE"""),"lcl*****26@mail.edu.tw")</f>
        <v>lcl*****26@mail.edu.tw</v>
      </c>
      <c r="E689" s="17" t="str">
        <f>IFERROR(__xludf.DUMMYFUNCTION("""COMPUTED_VALUE"""),"新北市坪林區坪林國民小學")</f>
        <v>新北市坪林區坪林國民小學</v>
      </c>
      <c r="F689" s="14" t="str">
        <f>IFERROR(__xludf.DUMMYFUNCTION("""COMPUTED_VALUE"""),"四年級")</f>
        <v>四年級</v>
      </c>
      <c r="G689" s="14" t="str">
        <f>IFERROR(__xludf.DUMMYFUNCTION("""COMPUTED_VALUE"""),"●小禮物")</f>
        <v>●小禮物</v>
      </c>
      <c r="H689" s="8"/>
    </row>
    <row r="690">
      <c r="A690" s="18"/>
      <c r="B690" s="14">
        <f>IFERROR(__xludf.DUMMYFUNCTION("""COMPUTED_VALUE"""),1182811.0)</f>
        <v>1182811</v>
      </c>
      <c r="C690" s="14" t="str">
        <f>IFERROR(__xludf.DUMMYFUNCTION("""COMPUTED_VALUE"""),"李耿逸")</f>
        <v>李耿逸</v>
      </c>
      <c r="D690" s="16" t="str">
        <f>IFERROR(__xludf.DUMMYFUNCTION("""COMPUTED_VALUE"""),"lgy*****apps.ntpc.edu.tw")</f>
        <v>lgy*****apps.ntpc.edu.tw</v>
      </c>
      <c r="E690" s="17" t="str">
        <f>IFERROR(__xludf.DUMMYFUNCTION("""COMPUTED_VALUE"""),"新北市坪林區坪林國民小學")</f>
        <v>新北市坪林區坪林國民小學</v>
      </c>
      <c r="F690" s="14" t="str">
        <f>IFERROR(__xludf.DUMMYFUNCTION("""COMPUTED_VALUE"""),"四年級")</f>
        <v>四年級</v>
      </c>
      <c r="G690" s="14" t="str">
        <f>IFERROR(__xludf.DUMMYFUNCTION("""COMPUTED_VALUE"""),"●小禮物")</f>
        <v>●小禮物</v>
      </c>
      <c r="H690" s="8"/>
    </row>
    <row r="691">
      <c r="A691" s="18"/>
      <c r="B691" s="14">
        <f>IFERROR(__xludf.DUMMYFUNCTION("""COMPUTED_VALUE"""),1182799.0)</f>
        <v>1182799</v>
      </c>
      <c r="C691" s="14" t="str">
        <f>IFERROR(__xludf.DUMMYFUNCTION("""COMPUTED_VALUE"""),"鐘予伶")</f>
        <v>鐘予伶</v>
      </c>
      <c r="D691" s="16" t="str">
        <f>IFERROR(__xludf.DUMMYFUNCTION("""COMPUTED_VALUE"""),"zyl*****apps.ntpc.edu.tw")</f>
        <v>zyl*****apps.ntpc.edu.tw</v>
      </c>
      <c r="E691" s="17" t="str">
        <f>IFERROR(__xludf.DUMMYFUNCTION("""COMPUTED_VALUE"""),"新北市坪林區坪林國民小學")</f>
        <v>新北市坪林區坪林國民小學</v>
      </c>
      <c r="F691" s="14" t="str">
        <f>IFERROR(__xludf.DUMMYFUNCTION("""COMPUTED_VALUE"""),"四年級")</f>
        <v>四年級</v>
      </c>
      <c r="G691" s="14" t="str">
        <f>IFERROR(__xludf.DUMMYFUNCTION("""COMPUTED_VALUE"""),"●小禮物")</f>
        <v>●小禮物</v>
      </c>
      <c r="H691" s="8"/>
    </row>
    <row r="692">
      <c r="A692" s="18"/>
      <c r="B692" s="14">
        <f>IFERROR(__xludf.DUMMYFUNCTION("""COMPUTED_VALUE"""),1182809.0)</f>
        <v>1182809</v>
      </c>
      <c r="C692" s="14" t="str">
        <f>IFERROR(__xludf.DUMMYFUNCTION("""COMPUTED_VALUE"""),"許廷溱")</f>
        <v>許廷溱</v>
      </c>
      <c r="D692" s="16" t="str">
        <f>IFERROR(__xludf.DUMMYFUNCTION("""COMPUTED_VALUE"""),"xtz*****apps.ntpc.edu.tw")</f>
        <v>xtz*****apps.ntpc.edu.tw</v>
      </c>
      <c r="E692" s="17" t="str">
        <f>IFERROR(__xludf.DUMMYFUNCTION("""COMPUTED_VALUE"""),"新北市坪林區坪林國民小學")</f>
        <v>新北市坪林區坪林國民小學</v>
      </c>
      <c r="F692" s="14" t="str">
        <f>IFERROR(__xludf.DUMMYFUNCTION("""COMPUTED_VALUE"""),"四年級")</f>
        <v>四年級</v>
      </c>
      <c r="G692" s="14" t="str">
        <f>IFERROR(__xludf.DUMMYFUNCTION("""COMPUTED_VALUE"""),"獎狀")</f>
        <v>獎狀</v>
      </c>
      <c r="H692" s="8"/>
    </row>
    <row r="693">
      <c r="A693" s="18"/>
      <c r="B693" s="14">
        <f>IFERROR(__xludf.DUMMYFUNCTION("""COMPUTED_VALUE"""),1182801.0)</f>
        <v>1182801</v>
      </c>
      <c r="C693" s="14" t="str">
        <f>IFERROR(__xludf.DUMMYFUNCTION("""COMPUTED_VALUE"""),"陳品碩")</f>
        <v>陳品碩</v>
      </c>
      <c r="D693" s="16" t="str">
        <f>IFERROR(__xludf.DUMMYFUNCTION("""COMPUTED_VALUE"""),"cps*****apps.ntpc.edu.tw")</f>
        <v>cps*****apps.ntpc.edu.tw</v>
      </c>
      <c r="E693" s="17" t="str">
        <f>IFERROR(__xludf.DUMMYFUNCTION("""COMPUTED_VALUE"""),"新北市坪林區坪林國民小學")</f>
        <v>新北市坪林區坪林國民小學</v>
      </c>
      <c r="F693" s="14" t="str">
        <f>IFERROR(__xludf.DUMMYFUNCTION("""COMPUTED_VALUE"""),"四年級")</f>
        <v>四年級</v>
      </c>
      <c r="G693" s="14" t="str">
        <f>IFERROR(__xludf.DUMMYFUNCTION("""COMPUTED_VALUE"""),"獎狀")</f>
        <v>獎狀</v>
      </c>
      <c r="H693" s="8"/>
    </row>
    <row r="694">
      <c r="A694" s="18"/>
      <c r="B694" s="14">
        <f>IFERROR(__xludf.DUMMYFUNCTION("""COMPUTED_VALUE"""),1182789.0)</f>
        <v>1182789</v>
      </c>
      <c r="C694" s="14" t="str">
        <f>IFERROR(__xludf.DUMMYFUNCTION("""COMPUTED_VALUE"""),"鄭宇廷")</f>
        <v>鄭宇廷</v>
      </c>
      <c r="D694" s="16" t="str">
        <f>IFERROR(__xludf.DUMMYFUNCTION("""COMPUTED_VALUE"""),"zyt*****apps.ntpc.edu.tw")</f>
        <v>zyt*****apps.ntpc.edu.tw</v>
      </c>
      <c r="E694" s="17" t="str">
        <f>IFERROR(__xludf.DUMMYFUNCTION("""COMPUTED_VALUE"""),"新北市坪林區坪林國民小學")</f>
        <v>新北市坪林區坪林國民小學</v>
      </c>
      <c r="F694" s="14" t="str">
        <f>IFERROR(__xludf.DUMMYFUNCTION("""COMPUTED_VALUE"""),"四年級")</f>
        <v>四年級</v>
      </c>
      <c r="G694" s="14" t="str">
        <f>IFERROR(__xludf.DUMMYFUNCTION("""COMPUTED_VALUE"""),"獎狀")</f>
        <v>獎狀</v>
      </c>
      <c r="H694" s="8"/>
    </row>
    <row r="695">
      <c r="A695" s="18"/>
      <c r="B695" s="14">
        <f>IFERROR(__xludf.DUMMYFUNCTION("""COMPUTED_VALUE"""),1182796.0)</f>
        <v>1182796</v>
      </c>
      <c r="C695" s="14" t="str">
        <f>IFERROR(__xludf.DUMMYFUNCTION("""COMPUTED_VALUE"""),"鐘友駿")</f>
        <v>鐘友駿</v>
      </c>
      <c r="D695" s="16" t="str">
        <f>IFERROR(__xludf.DUMMYFUNCTION("""COMPUTED_VALUE"""),"zyj*****apps.ntpc.edu.tw")</f>
        <v>zyj*****apps.ntpc.edu.tw</v>
      </c>
      <c r="E695" s="17" t="str">
        <f>IFERROR(__xludf.DUMMYFUNCTION("""COMPUTED_VALUE"""),"新北市坪林區坪林國民小學")</f>
        <v>新北市坪林區坪林國民小學</v>
      </c>
      <c r="F695" s="14" t="str">
        <f>IFERROR(__xludf.DUMMYFUNCTION("""COMPUTED_VALUE"""),"四年級")</f>
        <v>四年級</v>
      </c>
      <c r="G695" s="14" t="str">
        <f>IFERROR(__xludf.DUMMYFUNCTION("""COMPUTED_VALUE"""),"獎狀")</f>
        <v>獎狀</v>
      </c>
      <c r="H695" s="8"/>
    </row>
    <row r="696">
      <c r="A696" s="18"/>
      <c r="B696" s="14">
        <f>IFERROR(__xludf.DUMMYFUNCTION("""COMPUTED_VALUE"""),827387.0)</f>
        <v>827387</v>
      </c>
      <c r="C696" s="14" t="str">
        <f>IFERROR(__xludf.DUMMYFUNCTION("""COMPUTED_VALUE"""),"黃琬蘋")</f>
        <v>黃琬蘋</v>
      </c>
      <c r="D696" s="16" t="str">
        <f>IFERROR(__xludf.DUMMYFUNCTION("""COMPUTED_VALUE"""),"cj1*****@apps.ntpc.edu.tw")</f>
        <v>cj1*****@apps.ntpc.edu.tw</v>
      </c>
      <c r="E696" s="17" t="str">
        <f>IFERROR(__xludf.DUMMYFUNCTION("""COMPUTED_VALUE"""),"新北市私立及人國民小學")</f>
        <v>新北市私立及人國民小學</v>
      </c>
      <c r="F696" s="14" t="str">
        <f>IFERROR(__xludf.DUMMYFUNCTION("""COMPUTED_VALUE"""),"三年級")</f>
        <v>三年級</v>
      </c>
      <c r="G696" s="14" t="str">
        <f>IFERROR(__xludf.DUMMYFUNCTION("""COMPUTED_VALUE"""),"●小禮物")</f>
        <v>●小禮物</v>
      </c>
      <c r="H696" s="8"/>
    </row>
    <row r="697">
      <c r="A697" s="18"/>
      <c r="B697" s="14">
        <f>IFERROR(__xludf.DUMMYFUNCTION("""COMPUTED_VALUE"""),755207.0)</f>
        <v>755207</v>
      </c>
      <c r="C697" s="14" t="str">
        <f>IFERROR(__xludf.DUMMYFUNCTION("""COMPUTED_VALUE"""),"王煜蕎")</f>
        <v>王煜蕎</v>
      </c>
      <c r="D697" s="16" t="str">
        <f>IFERROR(__xludf.DUMMYFUNCTION("""COMPUTED_VALUE"""),"cj1*****.ntpc@mail.edu.tw")</f>
        <v>cj1*****.ntpc@mail.edu.tw</v>
      </c>
      <c r="E697" s="17" t="str">
        <f>IFERROR(__xludf.DUMMYFUNCTION("""COMPUTED_VALUE"""),"新北市私立及人國民小學")</f>
        <v>新北市私立及人國民小學</v>
      </c>
      <c r="F697" s="14" t="str">
        <f>IFERROR(__xludf.DUMMYFUNCTION("""COMPUTED_VALUE"""),"三年級")</f>
        <v>三年級</v>
      </c>
      <c r="G697" s="14" t="str">
        <f>IFERROR(__xludf.DUMMYFUNCTION("""COMPUTED_VALUE"""),"獎狀")</f>
        <v>獎狀</v>
      </c>
      <c r="H697" s="8"/>
    </row>
    <row r="698">
      <c r="A698" s="18"/>
      <c r="B698" s="14">
        <f>IFERROR(__xludf.DUMMYFUNCTION("""COMPUTED_VALUE"""),746371.0)</f>
        <v>746371</v>
      </c>
      <c r="C698" s="14" t="str">
        <f>IFERROR(__xludf.DUMMYFUNCTION("""COMPUTED_VALUE"""),"周昱丞")</f>
        <v>周昱丞</v>
      </c>
      <c r="D698" s="16" t="str">
        <f>IFERROR(__xludf.DUMMYFUNCTION("""COMPUTED_VALUE"""),"qma*****gmail.com")</f>
        <v>qma*****gmail.com</v>
      </c>
      <c r="E698" s="17" t="str">
        <f>IFERROR(__xludf.DUMMYFUNCTION("""COMPUTED_VALUE"""),"新北市私立及人國民小學")</f>
        <v>新北市私立及人國民小學</v>
      </c>
      <c r="F698" s="14" t="str">
        <f>IFERROR(__xludf.DUMMYFUNCTION("""COMPUTED_VALUE"""),"四年級")</f>
        <v>四年級</v>
      </c>
      <c r="G698" s="14" t="str">
        <f>IFERROR(__xludf.DUMMYFUNCTION("""COMPUTED_VALUE"""),"獎狀")</f>
        <v>獎狀</v>
      </c>
      <c r="H698" s="8"/>
    </row>
    <row r="699">
      <c r="A699" s="18"/>
      <c r="B699" s="14">
        <f>IFERROR(__xludf.DUMMYFUNCTION("""COMPUTED_VALUE"""),889392.0)</f>
        <v>889392</v>
      </c>
      <c r="C699" s="14" t="str">
        <f>IFERROR(__xludf.DUMMYFUNCTION("""COMPUTED_VALUE"""),"張晉軒")</f>
        <v>張晉軒</v>
      </c>
      <c r="D699" s="16" t="str">
        <f>IFERROR(__xludf.DUMMYFUNCTION("""COMPUTED_VALUE"""),"cj1*****@apps.ntpc.edu.tw")</f>
        <v>cj1*****@apps.ntpc.edu.tw</v>
      </c>
      <c r="E699" s="17" t="str">
        <f>IFERROR(__xludf.DUMMYFUNCTION("""COMPUTED_VALUE"""),"新北市私立及人國民小學")</f>
        <v>新北市私立及人國民小學</v>
      </c>
      <c r="F699" s="14" t="str">
        <f>IFERROR(__xludf.DUMMYFUNCTION("""COMPUTED_VALUE"""),"四年級")</f>
        <v>四年級</v>
      </c>
      <c r="G699" s="14" t="str">
        <f>IFERROR(__xludf.DUMMYFUNCTION("""COMPUTED_VALUE"""),"獎狀")</f>
        <v>獎狀</v>
      </c>
      <c r="H699" s="8"/>
    </row>
    <row r="700">
      <c r="A700" s="18"/>
      <c r="B700" s="14">
        <f>IFERROR(__xludf.DUMMYFUNCTION("""COMPUTED_VALUE"""),978755.0)</f>
        <v>978755</v>
      </c>
      <c r="C700" s="14" t="str">
        <f>IFERROR(__xludf.DUMMYFUNCTION("""COMPUTED_VALUE"""),"張淳晰")</f>
        <v>張淳晰</v>
      </c>
      <c r="D700" s="16" t="str">
        <f>IFERROR(__xludf.DUMMYFUNCTION("""COMPUTED_VALUE"""),"cj1*****.ntpc@mail.edu.tw")</f>
        <v>cj1*****.ntpc@mail.edu.tw</v>
      </c>
      <c r="E700" s="17" t="str">
        <f>IFERROR(__xludf.DUMMYFUNCTION("""COMPUTED_VALUE"""),"新北市私立及人國民小學")</f>
        <v>新北市私立及人國民小學</v>
      </c>
      <c r="F700" s="14" t="str">
        <f>IFERROR(__xludf.DUMMYFUNCTION("""COMPUTED_VALUE"""),"四年級")</f>
        <v>四年級</v>
      </c>
      <c r="G700" s="14" t="str">
        <f>IFERROR(__xludf.DUMMYFUNCTION("""COMPUTED_VALUE"""),"獎狀")</f>
        <v>獎狀</v>
      </c>
      <c r="H700" s="8"/>
    </row>
    <row r="701">
      <c r="A701" s="18"/>
      <c r="B701" s="14">
        <f>IFERROR(__xludf.DUMMYFUNCTION("""COMPUTED_VALUE"""),980671.0)</f>
        <v>980671</v>
      </c>
      <c r="C701" s="14" t="str">
        <f>IFERROR(__xludf.DUMMYFUNCTION("""COMPUTED_VALUE"""),"劉宸睿")</f>
        <v>劉宸睿</v>
      </c>
      <c r="D701" s="16" t="str">
        <f>IFERROR(__xludf.DUMMYFUNCTION("""COMPUTED_VALUE"""),"u10*****8@go.utaipei.edu.tw")</f>
        <v>u10*****8@go.utaipei.edu.tw</v>
      </c>
      <c r="E701" s="17" t="str">
        <f>IFERROR(__xludf.DUMMYFUNCTION("""COMPUTED_VALUE"""),"新北市私立及人國民小學")</f>
        <v>新北市私立及人國民小學</v>
      </c>
      <c r="F701" s="14" t="str">
        <f>IFERROR(__xludf.DUMMYFUNCTION("""COMPUTED_VALUE"""),"四年級")</f>
        <v>四年級</v>
      </c>
      <c r="G701" s="14" t="str">
        <f>IFERROR(__xludf.DUMMYFUNCTION("""COMPUTED_VALUE"""),"獎狀")</f>
        <v>獎狀</v>
      </c>
      <c r="H701" s="8"/>
    </row>
    <row r="702">
      <c r="A702" s="18"/>
      <c r="B702" s="14">
        <f>IFERROR(__xludf.DUMMYFUNCTION("""COMPUTED_VALUE"""),1167743.0)</f>
        <v>1167743</v>
      </c>
      <c r="C702" s="14" t="str">
        <f>IFERROR(__xludf.DUMMYFUNCTION("""COMPUTED_VALUE"""),"朱宸佑")</f>
        <v>朱宸佑</v>
      </c>
      <c r="D702" s="16" t="str">
        <f>IFERROR(__xludf.DUMMYFUNCTION("""COMPUTED_VALUE"""),"cj1*****@apps.ntpc.edu.tw")</f>
        <v>cj1*****@apps.ntpc.edu.tw</v>
      </c>
      <c r="E702" s="17" t="str">
        <f>IFERROR(__xludf.DUMMYFUNCTION("""COMPUTED_VALUE"""),"新北市私立及人國民小學")</f>
        <v>新北市私立及人國民小學</v>
      </c>
      <c r="F702" s="14" t="str">
        <f>IFERROR(__xludf.DUMMYFUNCTION("""COMPUTED_VALUE"""),"五年級")</f>
        <v>五年級</v>
      </c>
      <c r="G702" s="14" t="str">
        <f>IFERROR(__xludf.DUMMYFUNCTION("""COMPUTED_VALUE"""),"★禮券$200")</f>
        <v>★禮券$200</v>
      </c>
      <c r="H702" s="8"/>
    </row>
    <row r="703">
      <c r="A703" s="18"/>
      <c r="B703" s="14">
        <f>IFERROR(__xludf.DUMMYFUNCTION("""COMPUTED_VALUE"""),755208.0)</f>
        <v>755208</v>
      </c>
      <c r="C703" s="14" t="str">
        <f>IFERROR(__xludf.DUMMYFUNCTION("""COMPUTED_VALUE"""),"王煜朋")</f>
        <v>王煜朋</v>
      </c>
      <c r="D703" s="16" t="str">
        <f>IFERROR(__xludf.DUMMYFUNCTION("""COMPUTED_VALUE"""),"cj1*****.ntpc@mail.edu.tw")</f>
        <v>cj1*****.ntpc@mail.edu.tw</v>
      </c>
      <c r="E703" s="17" t="str">
        <f>IFERROR(__xludf.DUMMYFUNCTION("""COMPUTED_VALUE"""),"新北市私立及人國民小學")</f>
        <v>新北市私立及人國民小學</v>
      </c>
      <c r="F703" s="14" t="str">
        <f>IFERROR(__xludf.DUMMYFUNCTION("""COMPUTED_VALUE"""),"六年級")</f>
        <v>六年級</v>
      </c>
      <c r="G703" s="14" t="str">
        <f>IFERROR(__xludf.DUMMYFUNCTION("""COMPUTED_VALUE"""),"獎狀")</f>
        <v>獎狀</v>
      </c>
      <c r="H703" s="8"/>
    </row>
    <row r="704">
      <c r="A704" s="18"/>
      <c r="B704" s="14">
        <f>IFERROR(__xludf.DUMMYFUNCTION("""COMPUTED_VALUE"""),267400.0)</f>
        <v>267400</v>
      </c>
      <c r="C704" s="14" t="str">
        <f>IFERROR(__xludf.DUMMYFUNCTION("""COMPUTED_VALUE"""),"陳稚倢")</f>
        <v>陳稚倢</v>
      </c>
      <c r="D704" s="16" t="str">
        <f>IFERROR(__xludf.DUMMYFUNCTION("""COMPUTED_VALUE"""),"eve*****loud@mail.edu.tw")</f>
        <v>eve*****loud@mail.edu.tw</v>
      </c>
      <c r="E704" s="17" t="str">
        <f>IFERROR(__xludf.DUMMYFUNCTION("""COMPUTED_VALUE"""),"新北市私立及人國民小學")</f>
        <v>新北市私立及人國民小學</v>
      </c>
      <c r="F704" s="14" t="str">
        <f>IFERROR(__xludf.DUMMYFUNCTION("""COMPUTED_VALUE"""),"六年級")</f>
        <v>六年級</v>
      </c>
      <c r="G704" s="14" t="str">
        <f>IFERROR(__xludf.DUMMYFUNCTION("""COMPUTED_VALUE"""),"獎狀")</f>
        <v>獎狀</v>
      </c>
      <c r="H704" s="8"/>
    </row>
    <row r="705">
      <c r="A705" s="18"/>
      <c r="B705" s="14">
        <f>IFERROR(__xludf.DUMMYFUNCTION("""COMPUTED_VALUE"""),744511.0)</f>
        <v>744511</v>
      </c>
      <c r="C705" s="14" t="str">
        <f>IFERROR(__xludf.DUMMYFUNCTION("""COMPUTED_VALUE"""),"楊蕎安")</f>
        <v>楊蕎安</v>
      </c>
      <c r="D705" s="16" t="str">
        <f>IFERROR(__xludf.DUMMYFUNCTION("""COMPUTED_VALUE"""),"ioa*****@apps.ntpc.edu.tw")</f>
        <v>ioa*****@apps.ntpc.edu.tw</v>
      </c>
      <c r="E705" s="17" t="str">
        <f>IFERROR(__xludf.DUMMYFUNCTION("""COMPUTED_VALUE"""),"新北市私立竹林國民小學")</f>
        <v>新北市私立竹林國民小學</v>
      </c>
      <c r="F705" s="14" t="str">
        <f>IFERROR(__xludf.DUMMYFUNCTION("""COMPUTED_VALUE"""),"四年級")</f>
        <v>四年級</v>
      </c>
      <c r="G705" s="14" t="str">
        <f>IFERROR(__xludf.DUMMYFUNCTION("""COMPUTED_VALUE"""),"獎狀")</f>
        <v>獎狀</v>
      </c>
      <c r="H705" s="8"/>
    </row>
    <row r="706">
      <c r="A706" s="18"/>
      <c r="B706" s="14">
        <f>IFERROR(__xludf.DUMMYFUNCTION("""COMPUTED_VALUE"""),746383.0)</f>
        <v>746383</v>
      </c>
      <c r="C706" s="14" t="str">
        <f>IFERROR(__xludf.DUMMYFUNCTION("""COMPUTED_VALUE"""),"李怡靚")</f>
        <v>李怡靚</v>
      </c>
      <c r="D706" s="16" t="str">
        <f>IFERROR(__xludf.DUMMYFUNCTION("""COMPUTED_VALUE"""),"sop*****0711@apps.ntpc.edu.tw")</f>
        <v>sop*****0711@apps.ntpc.edu.tw</v>
      </c>
      <c r="E706" s="17" t="str">
        <f>IFERROR(__xludf.DUMMYFUNCTION("""COMPUTED_VALUE"""),"新北市私立竹林國民小學")</f>
        <v>新北市私立竹林國民小學</v>
      </c>
      <c r="F706" s="14" t="str">
        <f>IFERROR(__xludf.DUMMYFUNCTION("""COMPUTED_VALUE"""),"四年級")</f>
        <v>四年級</v>
      </c>
      <c r="G706" s="14" t="str">
        <f>IFERROR(__xludf.DUMMYFUNCTION("""COMPUTED_VALUE"""),"●小禮物")</f>
        <v>●小禮物</v>
      </c>
      <c r="H706" s="8"/>
    </row>
    <row r="707">
      <c r="A707" s="18"/>
      <c r="B707" s="14">
        <f>IFERROR(__xludf.DUMMYFUNCTION("""COMPUTED_VALUE"""),745201.0)</f>
        <v>745201</v>
      </c>
      <c r="C707" s="14" t="str">
        <f>IFERROR(__xludf.DUMMYFUNCTION("""COMPUTED_VALUE"""),"林楷祐")</f>
        <v>林楷祐</v>
      </c>
      <c r="D707" s="16" t="str">
        <f>IFERROR(__xludf.DUMMYFUNCTION("""COMPUTED_VALUE"""),"kev*****625@apps.ntpc.edu.tw")</f>
        <v>kev*****625@apps.ntpc.edu.tw</v>
      </c>
      <c r="E707" s="17" t="str">
        <f>IFERROR(__xludf.DUMMYFUNCTION("""COMPUTED_VALUE"""),"新北市私立竹林國民小學")</f>
        <v>新北市私立竹林國民小學</v>
      </c>
      <c r="F707" s="14" t="str">
        <f>IFERROR(__xludf.DUMMYFUNCTION("""COMPUTED_VALUE"""),"四年級")</f>
        <v>四年級</v>
      </c>
      <c r="G707" s="14" t="str">
        <f>IFERROR(__xludf.DUMMYFUNCTION("""COMPUTED_VALUE"""),"●小禮物")</f>
        <v>●小禮物</v>
      </c>
      <c r="H707" s="8"/>
    </row>
    <row r="708">
      <c r="A708" s="18"/>
      <c r="B708" s="14">
        <f>IFERROR(__xludf.DUMMYFUNCTION("""COMPUTED_VALUE"""),744424.0)</f>
        <v>744424</v>
      </c>
      <c r="C708" s="14" t="str">
        <f>IFERROR(__xludf.DUMMYFUNCTION("""COMPUTED_VALUE"""),"陳昱傑")</f>
        <v>陳昱傑</v>
      </c>
      <c r="D708" s="16" t="str">
        <f>IFERROR(__xludf.DUMMYFUNCTION("""COMPUTED_VALUE"""),"201*****.qq@gmail.com")</f>
        <v>201*****.qq@gmail.com</v>
      </c>
      <c r="E708" s="17" t="str">
        <f>IFERROR(__xludf.DUMMYFUNCTION("""COMPUTED_VALUE"""),"新北市私立竹林國民小學")</f>
        <v>新北市私立竹林國民小學</v>
      </c>
      <c r="F708" s="14" t="str">
        <f>IFERROR(__xludf.DUMMYFUNCTION("""COMPUTED_VALUE"""),"四年級")</f>
        <v>四年級</v>
      </c>
      <c r="G708" s="14" t="str">
        <f>IFERROR(__xludf.DUMMYFUNCTION("""COMPUTED_VALUE"""),"●小禮物")</f>
        <v>●小禮物</v>
      </c>
      <c r="H708" s="8"/>
    </row>
    <row r="709">
      <c r="A709" s="18"/>
      <c r="B709" s="14">
        <f>IFERROR(__xludf.DUMMYFUNCTION("""COMPUTED_VALUE"""),744755.0)</f>
        <v>744755</v>
      </c>
      <c r="C709" s="14" t="str">
        <f>IFERROR(__xludf.DUMMYFUNCTION("""COMPUTED_VALUE"""),"鍾龍典")</f>
        <v>鍾龍典</v>
      </c>
      <c r="D709" s="16" t="str">
        <f>IFERROR(__xludf.DUMMYFUNCTION("""COMPUTED_VALUE"""),"den*****ung@apps.ntpc.edu.tw")</f>
        <v>den*****ung@apps.ntpc.edu.tw</v>
      </c>
      <c r="E709" s="17" t="str">
        <f>IFERROR(__xludf.DUMMYFUNCTION("""COMPUTED_VALUE"""),"新北市私立竹林國民小學")</f>
        <v>新北市私立竹林國民小學</v>
      </c>
      <c r="F709" s="14" t="str">
        <f>IFERROR(__xludf.DUMMYFUNCTION("""COMPUTED_VALUE"""),"四年級")</f>
        <v>四年級</v>
      </c>
      <c r="G709" s="14" t="str">
        <f>IFERROR(__xludf.DUMMYFUNCTION("""COMPUTED_VALUE"""),"●小禮物")</f>
        <v>●小禮物</v>
      </c>
      <c r="H709" s="8"/>
    </row>
    <row r="710">
      <c r="A710" s="18"/>
      <c r="B710" s="14">
        <f>IFERROR(__xludf.DUMMYFUNCTION("""COMPUTED_VALUE"""),816269.0)</f>
        <v>816269</v>
      </c>
      <c r="C710" s="14" t="str">
        <f>IFERROR(__xludf.DUMMYFUNCTION("""COMPUTED_VALUE"""),"李瑀宸")</f>
        <v>李瑀宸</v>
      </c>
      <c r="D710" s="16" t="str">
        <f>IFERROR(__xludf.DUMMYFUNCTION("""COMPUTED_VALUE"""),"eas*****0815@apps.ntpc.edu.tw")</f>
        <v>eas*****0815@apps.ntpc.edu.tw</v>
      </c>
      <c r="E710" s="17" t="str">
        <f>IFERROR(__xludf.DUMMYFUNCTION("""COMPUTED_VALUE"""),"新北市私立竹林國民小學")</f>
        <v>新北市私立竹林國民小學</v>
      </c>
      <c r="F710" s="14" t="str">
        <f>IFERROR(__xludf.DUMMYFUNCTION("""COMPUTED_VALUE"""),"四年級")</f>
        <v>四年級</v>
      </c>
      <c r="G710" s="14" t="str">
        <f>IFERROR(__xludf.DUMMYFUNCTION("""COMPUTED_VALUE"""),"獎狀")</f>
        <v>獎狀</v>
      </c>
      <c r="H710" s="8"/>
    </row>
    <row r="711">
      <c r="A711" s="18"/>
      <c r="B711" s="14">
        <f>IFERROR(__xludf.DUMMYFUNCTION("""COMPUTED_VALUE"""),746405.0)</f>
        <v>746405</v>
      </c>
      <c r="C711" s="14" t="str">
        <f>IFERROR(__xludf.DUMMYFUNCTION("""COMPUTED_VALUE"""),"黃羿瑄")</f>
        <v>黃羿瑄</v>
      </c>
      <c r="D711" s="16" t="str">
        <f>IFERROR(__xludf.DUMMYFUNCTION("""COMPUTED_VALUE"""),"mis*****@apps.ntpc.edu.tw")</f>
        <v>mis*****@apps.ntpc.edu.tw</v>
      </c>
      <c r="E711" s="17" t="str">
        <f>IFERROR(__xludf.DUMMYFUNCTION("""COMPUTED_VALUE"""),"新北市私立竹林國民小學")</f>
        <v>新北市私立竹林國民小學</v>
      </c>
      <c r="F711" s="14" t="str">
        <f>IFERROR(__xludf.DUMMYFUNCTION("""COMPUTED_VALUE"""),"四年級")</f>
        <v>四年級</v>
      </c>
      <c r="G711" s="14" t="str">
        <f>IFERROR(__xludf.DUMMYFUNCTION("""COMPUTED_VALUE"""),"獎狀")</f>
        <v>獎狀</v>
      </c>
      <c r="H711" s="8"/>
    </row>
    <row r="712">
      <c r="A712" s="18"/>
      <c r="B712" s="14">
        <f>IFERROR(__xludf.DUMMYFUNCTION("""COMPUTED_VALUE"""),742395.0)</f>
        <v>742395</v>
      </c>
      <c r="C712" s="14" t="str">
        <f>IFERROR(__xludf.DUMMYFUNCTION("""COMPUTED_VALUE"""),"葉韋伶")</f>
        <v>葉韋伶</v>
      </c>
      <c r="D712" s="16" t="str">
        <f>IFERROR(__xludf.DUMMYFUNCTION("""COMPUTED_VALUE"""),"win*****03@apps.ntpc.edu.tw")</f>
        <v>win*****03@apps.ntpc.edu.tw</v>
      </c>
      <c r="E712" s="17" t="str">
        <f>IFERROR(__xludf.DUMMYFUNCTION("""COMPUTED_VALUE"""),"新北市私立竹林國民小學")</f>
        <v>新北市私立竹林國民小學</v>
      </c>
      <c r="F712" s="14" t="str">
        <f>IFERROR(__xludf.DUMMYFUNCTION("""COMPUTED_VALUE"""),"四年級")</f>
        <v>四年級</v>
      </c>
      <c r="G712" s="14" t="str">
        <f>IFERROR(__xludf.DUMMYFUNCTION("""COMPUTED_VALUE"""),"獎狀")</f>
        <v>獎狀</v>
      </c>
      <c r="H712" s="8"/>
    </row>
    <row r="713">
      <c r="A713" s="18"/>
      <c r="B713" s="14">
        <f>IFERROR(__xludf.DUMMYFUNCTION("""COMPUTED_VALUE"""),863130.0)</f>
        <v>863130</v>
      </c>
      <c r="C713" s="14" t="str">
        <f>IFERROR(__xludf.DUMMYFUNCTION("""COMPUTED_VALUE"""),"蔡承諭")</f>
        <v>蔡承諭</v>
      </c>
      <c r="D713" s="16" t="str">
        <f>IFERROR(__xludf.DUMMYFUNCTION("""COMPUTED_VALUE"""),"jer*****0321@apps.ntpc.edu.tw")</f>
        <v>jer*****0321@apps.ntpc.edu.tw</v>
      </c>
      <c r="E713" s="17" t="str">
        <f>IFERROR(__xludf.DUMMYFUNCTION("""COMPUTED_VALUE"""),"新北市私立竹林國民小學")</f>
        <v>新北市私立竹林國民小學</v>
      </c>
      <c r="F713" s="14" t="str">
        <f>IFERROR(__xludf.DUMMYFUNCTION("""COMPUTED_VALUE"""),"四年級")</f>
        <v>四年級</v>
      </c>
      <c r="G713" s="14" t="str">
        <f>IFERROR(__xludf.DUMMYFUNCTION("""COMPUTED_VALUE"""),"獎狀")</f>
        <v>獎狀</v>
      </c>
      <c r="H713" s="8"/>
    </row>
    <row r="714">
      <c r="A714" s="18"/>
      <c r="B714" s="14">
        <f>IFERROR(__xludf.DUMMYFUNCTION("""COMPUTED_VALUE"""),748618.0)</f>
        <v>748618</v>
      </c>
      <c r="C714" s="14" t="str">
        <f>IFERROR(__xludf.DUMMYFUNCTION("""COMPUTED_VALUE"""),"蔡昀翰")</f>
        <v>蔡昀翰</v>
      </c>
      <c r="D714" s="16" t="str">
        <f>IFERROR(__xludf.DUMMYFUNCTION("""COMPUTED_VALUE"""),"han*****ai@apps.ntpc.edu.tw")</f>
        <v>han*****ai@apps.ntpc.edu.tw</v>
      </c>
      <c r="E714" s="17" t="str">
        <f>IFERROR(__xludf.DUMMYFUNCTION("""COMPUTED_VALUE"""),"新北市私立竹林國民小學")</f>
        <v>新北市私立竹林國民小學</v>
      </c>
      <c r="F714" s="14" t="str">
        <f>IFERROR(__xludf.DUMMYFUNCTION("""COMPUTED_VALUE"""),"四年級")</f>
        <v>四年級</v>
      </c>
      <c r="G714" s="14" t="str">
        <f>IFERROR(__xludf.DUMMYFUNCTION("""COMPUTED_VALUE"""),"●小禮物")</f>
        <v>●小禮物</v>
      </c>
      <c r="H714" s="8"/>
    </row>
    <row r="715">
      <c r="A715" s="18"/>
      <c r="B715" s="14">
        <f>IFERROR(__xludf.DUMMYFUNCTION("""COMPUTED_VALUE"""),750054.0)</f>
        <v>750054</v>
      </c>
      <c r="C715" s="14" t="str">
        <f>IFERROR(__xludf.DUMMYFUNCTION("""COMPUTED_VALUE"""),"梁家瑜")</f>
        <v>梁家瑜</v>
      </c>
      <c r="D715" s="16" t="str">
        <f>IFERROR(__xludf.DUMMYFUNCTION("""COMPUTED_VALUE"""),"jay*****1113@apps.ntpc.edu.tw")</f>
        <v>jay*****1113@apps.ntpc.edu.tw</v>
      </c>
      <c r="E715" s="17" t="str">
        <f>IFERROR(__xludf.DUMMYFUNCTION("""COMPUTED_VALUE"""),"新北市私立竹林國民小學")</f>
        <v>新北市私立竹林國民小學</v>
      </c>
      <c r="F715" s="14" t="str">
        <f>IFERROR(__xludf.DUMMYFUNCTION("""COMPUTED_VALUE"""),"四年級")</f>
        <v>四年級</v>
      </c>
      <c r="G715" s="14" t="str">
        <f>IFERROR(__xludf.DUMMYFUNCTION("""COMPUTED_VALUE"""),"獎狀")</f>
        <v>獎狀</v>
      </c>
      <c r="H715" s="8"/>
    </row>
    <row r="716">
      <c r="A716" s="18"/>
      <c r="B716" s="14">
        <f>IFERROR(__xludf.DUMMYFUNCTION("""COMPUTED_VALUE"""),747252.0)</f>
        <v>747252</v>
      </c>
      <c r="C716" s="14" t="str">
        <f>IFERROR(__xludf.DUMMYFUNCTION("""COMPUTED_VALUE"""),"鄧珀鏗")</f>
        <v>鄧珀鏗</v>
      </c>
      <c r="D716" s="16" t="str">
        <f>IFERROR(__xludf.DUMMYFUNCTION("""COMPUTED_VALUE"""),"kis*****@mail2000.com.tw")</f>
        <v>kis*****@mail2000.com.tw</v>
      </c>
      <c r="E716" s="17" t="str">
        <f>IFERROR(__xludf.DUMMYFUNCTION("""COMPUTED_VALUE"""),"新北市私立竹林國民小學")</f>
        <v>新北市私立竹林國民小學</v>
      </c>
      <c r="F716" s="14" t="str">
        <f>IFERROR(__xludf.DUMMYFUNCTION("""COMPUTED_VALUE"""),"四年級")</f>
        <v>四年級</v>
      </c>
      <c r="G716" s="14" t="str">
        <f>IFERROR(__xludf.DUMMYFUNCTION("""COMPUTED_VALUE"""),"獎狀")</f>
        <v>獎狀</v>
      </c>
      <c r="H716" s="8"/>
    </row>
    <row r="717">
      <c r="A717" s="18"/>
      <c r="B717" s="14">
        <f>IFERROR(__xludf.DUMMYFUNCTION("""COMPUTED_VALUE"""),1164094.0)</f>
        <v>1164094</v>
      </c>
      <c r="C717" s="14" t="str">
        <f>IFERROR(__xludf.DUMMYFUNCTION("""COMPUTED_VALUE"""),"許書晏")</f>
        <v>許書晏</v>
      </c>
      <c r="D717" s="16" t="str">
        <f>IFERROR(__xludf.DUMMYFUNCTION("""COMPUTED_VALUE"""),"ryd*****0412@apps.ntpc.edu.tw")</f>
        <v>ryd*****0412@apps.ntpc.edu.tw</v>
      </c>
      <c r="E717" s="17" t="str">
        <f>IFERROR(__xludf.DUMMYFUNCTION("""COMPUTED_VALUE"""),"新北市私立竹林國民小學")</f>
        <v>新北市私立竹林國民小學</v>
      </c>
      <c r="F717" s="14" t="str">
        <f>IFERROR(__xludf.DUMMYFUNCTION("""COMPUTED_VALUE"""),"五年級")</f>
        <v>五年級</v>
      </c>
      <c r="G717" s="14" t="str">
        <f>IFERROR(__xludf.DUMMYFUNCTION("""COMPUTED_VALUE"""),"獎狀")</f>
        <v>獎狀</v>
      </c>
      <c r="H717" s="8"/>
    </row>
    <row r="718">
      <c r="A718" s="18"/>
      <c r="B718" s="14">
        <f>IFERROR(__xludf.DUMMYFUNCTION("""COMPUTED_VALUE"""),252113.0)</f>
        <v>252113</v>
      </c>
      <c r="C718" s="14" t="str">
        <f>IFERROR(__xludf.DUMMYFUNCTION("""COMPUTED_VALUE"""),"王之柔")</f>
        <v>王之柔</v>
      </c>
      <c r="D718" s="16" t="str">
        <f>IFERROR(__xludf.DUMMYFUNCTION("""COMPUTED_VALUE"""),"dem*****illy@gmail.com")</f>
        <v>dem*****illy@gmail.com</v>
      </c>
      <c r="E718" s="17" t="str">
        <f>IFERROR(__xludf.DUMMYFUNCTION("""COMPUTED_VALUE"""),"新北市永和區永和國民小學")</f>
        <v>新北市永和區永和國民小學</v>
      </c>
      <c r="F718" s="14" t="str">
        <f>IFERROR(__xludf.DUMMYFUNCTION("""COMPUTED_VALUE"""),"四年級")</f>
        <v>四年級</v>
      </c>
      <c r="G718" s="14" t="str">
        <f>IFERROR(__xludf.DUMMYFUNCTION("""COMPUTED_VALUE"""),"獎狀")</f>
        <v>獎狀</v>
      </c>
      <c r="H718" s="8"/>
    </row>
    <row r="719">
      <c r="A719" s="18"/>
      <c r="B719" s="14">
        <f>IFERROR(__xludf.DUMMYFUNCTION("""COMPUTED_VALUE"""),575667.0)</f>
        <v>575667</v>
      </c>
      <c r="C719" s="14" t="str">
        <f>IFERROR(__xludf.DUMMYFUNCTION("""COMPUTED_VALUE"""),"吳柏叡")</f>
        <v>吳柏叡</v>
      </c>
      <c r="D719" s="16" t="str">
        <f>IFERROR(__xludf.DUMMYFUNCTION("""COMPUTED_VALUE"""),"yh0*****.ntpc@mail.edu.tw")</f>
        <v>yh0*****.ntpc@mail.edu.tw</v>
      </c>
      <c r="E719" s="17" t="str">
        <f>IFERROR(__xludf.DUMMYFUNCTION("""COMPUTED_VALUE"""),"新北市永和區永和國民小學")</f>
        <v>新北市永和區永和國民小學</v>
      </c>
      <c r="F719" s="14" t="str">
        <f>IFERROR(__xludf.DUMMYFUNCTION("""COMPUTED_VALUE"""),"五年級")</f>
        <v>五年級</v>
      </c>
      <c r="G719" s="14" t="str">
        <f>IFERROR(__xludf.DUMMYFUNCTION("""COMPUTED_VALUE"""),"●小禮物")</f>
        <v>●小禮物</v>
      </c>
      <c r="H719" s="8"/>
    </row>
    <row r="720">
      <c r="A720" s="18"/>
      <c r="B720" s="14">
        <f>IFERROR(__xludf.DUMMYFUNCTION("""COMPUTED_VALUE"""),772161.0)</f>
        <v>772161</v>
      </c>
      <c r="C720" s="14" t="str">
        <f>IFERROR(__xludf.DUMMYFUNCTION("""COMPUTED_VALUE"""),"林晉佑")</f>
        <v>林晉佑</v>
      </c>
      <c r="D720" s="16" t="str">
        <f>IFERROR(__xludf.DUMMYFUNCTION("""COMPUTED_VALUE"""),"yea*****n@gmail.com")</f>
        <v>yea*****n@gmail.com</v>
      </c>
      <c r="E720" s="17" t="str">
        <f>IFERROR(__xludf.DUMMYFUNCTION("""COMPUTED_VALUE"""),"新北市永和區永平國民小學")</f>
        <v>新北市永和區永平國民小學</v>
      </c>
      <c r="F720" s="14" t="str">
        <f>IFERROR(__xludf.DUMMYFUNCTION("""COMPUTED_VALUE"""),"三年級")</f>
        <v>三年級</v>
      </c>
      <c r="G720" s="14" t="str">
        <f>IFERROR(__xludf.DUMMYFUNCTION("""COMPUTED_VALUE"""),"●小禮物")</f>
        <v>●小禮物</v>
      </c>
      <c r="H720" s="8"/>
    </row>
    <row r="721">
      <c r="A721" s="18"/>
      <c r="B721" s="14">
        <f>IFERROR(__xludf.DUMMYFUNCTION("""COMPUTED_VALUE"""),1026287.0)</f>
        <v>1026287</v>
      </c>
      <c r="C721" s="14" t="str">
        <f>IFERROR(__xludf.DUMMYFUNCTION("""COMPUTED_VALUE"""),"周希芸")</f>
        <v>周希芸</v>
      </c>
      <c r="D721" s="16" t="str">
        <f>IFERROR(__xludf.DUMMYFUNCTION("""COMPUTED_VALUE"""),"csy*****tpc@mail.edu.tw")</f>
        <v>csy*****tpc@mail.edu.tw</v>
      </c>
      <c r="E721" s="17" t="str">
        <f>IFERROR(__xludf.DUMMYFUNCTION("""COMPUTED_VALUE"""),"新北市永和區永平國民小學")</f>
        <v>新北市永和區永平國民小學</v>
      </c>
      <c r="F721" s="14" t="str">
        <f>IFERROR(__xludf.DUMMYFUNCTION("""COMPUTED_VALUE"""),"三年級")</f>
        <v>三年級</v>
      </c>
      <c r="G721" s="14" t="str">
        <f>IFERROR(__xludf.DUMMYFUNCTION("""COMPUTED_VALUE"""),"獎狀")</f>
        <v>獎狀</v>
      </c>
      <c r="H721" s="8"/>
    </row>
    <row r="722">
      <c r="A722" s="18"/>
      <c r="B722" s="14">
        <f>IFERROR(__xludf.DUMMYFUNCTION("""COMPUTED_VALUE"""),861243.0)</f>
        <v>861243</v>
      </c>
      <c r="C722" s="14" t="str">
        <f>IFERROR(__xludf.DUMMYFUNCTION("""COMPUTED_VALUE"""),"吳嘉源")</f>
        <v>吳嘉源</v>
      </c>
      <c r="D722" s="16" t="str">
        <f>IFERROR(__xludf.DUMMYFUNCTION("""COMPUTED_VALUE"""),"jas*****io.ntpc@mail.edu.tw")</f>
        <v>jas*****io.ntpc@mail.edu.tw</v>
      </c>
      <c r="E722" s="17" t="str">
        <f>IFERROR(__xludf.DUMMYFUNCTION("""COMPUTED_VALUE"""),"新北市永和區永平國民小學")</f>
        <v>新北市永和區永平國民小學</v>
      </c>
      <c r="F722" s="14" t="str">
        <f>IFERROR(__xludf.DUMMYFUNCTION("""COMPUTED_VALUE"""),"五年級")</f>
        <v>五年級</v>
      </c>
      <c r="G722" s="14" t="str">
        <f>IFERROR(__xludf.DUMMYFUNCTION("""COMPUTED_VALUE"""),"獎狀")</f>
        <v>獎狀</v>
      </c>
      <c r="H722" s="8"/>
    </row>
    <row r="723">
      <c r="A723" s="18"/>
      <c r="B723" s="14">
        <f>IFERROR(__xludf.DUMMYFUNCTION("""COMPUTED_VALUE"""),331660.0)</f>
        <v>331660</v>
      </c>
      <c r="C723" s="14" t="str">
        <f>IFERROR(__xludf.DUMMYFUNCTION("""COMPUTED_VALUE"""),"靳朝凱")</f>
        <v>靳朝凱</v>
      </c>
      <c r="D723" s="16" t="str">
        <f>IFERROR(__xludf.DUMMYFUNCTION("""COMPUTED_VALUE"""),"ckj*****pc@mail.edu.tw")</f>
        <v>ckj*****pc@mail.edu.tw</v>
      </c>
      <c r="E723" s="17" t="str">
        <f>IFERROR(__xludf.DUMMYFUNCTION("""COMPUTED_VALUE"""),"新北市永和區永平國民小學")</f>
        <v>新北市永和區永平國民小學</v>
      </c>
      <c r="F723" s="14" t="str">
        <f>IFERROR(__xludf.DUMMYFUNCTION("""COMPUTED_VALUE"""),"五年級")</f>
        <v>五年級</v>
      </c>
      <c r="G723" s="14" t="str">
        <f>IFERROR(__xludf.DUMMYFUNCTION("""COMPUTED_VALUE"""),"獎狀")</f>
        <v>獎狀</v>
      </c>
      <c r="H723" s="8"/>
    </row>
    <row r="724">
      <c r="A724" s="18"/>
      <c r="B724" s="14">
        <f>IFERROR(__xludf.DUMMYFUNCTION("""COMPUTED_VALUE"""),737623.0)</f>
        <v>737623</v>
      </c>
      <c r="C724" s="14" t="str">
        <f>IFERROR(__xludf.DUMMYFUNCTION("""COMPUTED_VALUE"""),"邱元岑")</f>
        <v>邱元岑</v>
      </c>
      <c r="D724" s="16" t="str">
        <f>IFERROR(__xludf.DUMMYFUNCTION("""COMPUTED_VALUE"""),"cga*****@yahoo.com.tw")</f>
        <v>cga*****@yahoo.com.tw</v>
      </c>
      <c r="E724" s="17" t="str">
        <f>IFERROR(__xludf.DUMMYFUNCTION("""COMPUTED_VALUE"""),"新北市永和區秀朗國民小學")</f>
        <v>新北市永和區秀朗國民小學</v>
      </c>
      <c r="F724" s="14" t="str">
        <f>IFERROR(__xludf.DUMMYFUNCTION("""COMPUTED_VALUE"""),"五年級")</f>
        <v>五年級</v>
      </c>
      <c r="G724" s="14" t="str">
        <f>IFERROR(__xludf.DUMMYFUNCTION("""COMPUTED_VALUE"""),"獎狀")</f>
        <v>獎狀</v>
      </c>
      <c r="H724" s="8"/>
    </row>
    <row r="725">
      <c r="A725" s="18"/>
      <c r="B725" s="14">
        <f>IFERROR(__xludf.DUMMYFUNCTION("""COMPUTED_VALUE"""),721458.0)</f>
        <v>721458</v>
      </c>
      <c r="C725" s="14" t="str">
        <f>IFERROR(__xludf.DUMMYFUNCTION("""COMPUTED_VALUE"""),"戎彥錡")</f>
        <v>戎彥錡</v>
      </c>
      <c r="D725" s="16" t="str">
        <f>IFERROR(__xludf.DUMMYFUNCTION("""COMPUTED_VALUE"""),"emi*****n036@gmail.com")</f>
        <v>emi*****n036@gmail.com</v>
      </c>
      <c r="E725" s="17" t="str">
        <f>IFERROR(__xludf.DUMMYFUNCTION("""COMPUTED_VALUE"""),"新北市私立育才雙語小學")</f>
        <v>新北市私立育才雙語小學</v>
      </c>
      <c r="F725" s="14" t="str">
        <f>IFERROR(__xludf.DUMMYFUNCTION("""COMPUTED_VALUE"""),"四年級")</f>
        <v>四年級</v>
      </c>
      <c r="G725" s="14" t="str">
        <f>IFERROR(__xludf.DUMMYFUNCTION("""COMPUTED_VALUE"""),"●小禮物")</f>
        <v>●小禮物</v>
      </c>
      <c r="H725" s="8"/>
    </row>
    <row r="726">
      <c r="A726" s="18"/>
      <c r="B726" s="14">
        <f>IFERROR(__xludf.DUMMYFUNCTION("""COMPUTED_VALUE"""),849632.0)</f>
        <v>849632</v>
      </c>
      <c r="C726" s="14" t="str">
        <f>IFERROR(__xludf.DUMMYFUNCTION("""COMPUTED_VALUE"""),"蔡資安")</f>
        <v>蔡資安</v>
      </c>
      <c r="D726" s="16" t="str">
        <f>IFERROR(__xludf.DUMMYFUNCTION("""COMPUTED_VALUE"""),"alv*****ai2013@gmail.com")</f>
        <v>alv*****ai2013@gmail.com</v>
      </c>
      <c r="E726" s="17" t="str">
        <f>IFERROR(__xludf.DUMMYFUNCTION("""COMPUTED_VALUE"""),"新北市私立育才雙語小學")</f>
        <v>新北市私立育才雙語小學</v>
      </c>
      <c r="F726" s="14" t="str">
        <f>IFERROR(__xludf.DUMMYFUNCTION("""COMPUTED_VALUE"""),"四年級")</f>
        <v>四年級</v>
      </c>
      <c r="G726" s="14" t="str">
        <f>IFERROR(__xludf.DUMMYFUNCTION("""COMPUTED_VALUE"""),"●小禮物")</f>
        <v>●小禮物</v>
      </c>
      <c r="H726" s="8"/>
    </row>
    <row r="727">
      <c r="A727" s="18"/>
      <c r="B727" s="14">
        <f>IFERROR(__xludf.DUMMYFUNCTION("""COMPUTED_VALUE"""),696993.0)</f>
        <v>696993</v>
      </c>
      <c r="C727" s="14" t="str">
        <f>IFERROR(__xludf.DUMMYFUNCTION("""COMPUTED_VALUE"""),"吳晨瑀")</f>
        <v>吳晨瑀</v>
      </c>
      <c r="D727" s="16" t="str">
        <f>IFERROR(__xludf.DUMMYFUNCTION("""COMPUTED_VALUE"""),"s08*****tes.ntpc.edu.tw")</f>
        <v>s08*****tes.ntpc.edu.tw</v>
      </c>
      <c r="E727" s="17" t="str">
        <f>IFERROR(__xludf.DUMMYFUNCTION("""COMPUTED_VALUE"""),"新北市私立育才雙語小學")</f>
        <v>新北市私立育才雙語小學</v>
      </c>
      <c r="F727" s="14" t="str">
        <f>IFERROR(__xludf.DUMMYFUNCTION("""COMPUTED_VALUE"""),"四年級")</f>
        <v>四年級</v>
      </c>
      <c r="G727" s="14" t="str">
        <f>IFERROR(__xludf.DUMMYFUNCTION("""COMPUTED_VALUE"""),"獎狀")</f>
        <v>獎狀</v>
      </c>
      <c r="H727" s="8"/>
    </row>
    <row r="728">
      <c r="A728" s="18"/>
      <c r="B728" s="14">
        <f>IFERROR(__xludf.DUMMYFUNCTION("""COMPUTED_VALUE"""),1127532.0)</f>
        <v>1127532</v>
      </c>
      <c r="C728" s="14" t="str">
        <f>IFERROR(__xludf.DUMMYFUNCTION("""COMPUTED_VALUE"""),"王子綸")</f>
        <v>王子綸</v>
      </c>
      <c r="D728" s="16" t="str">
        <f>IFERROR(__xludf.DUMMYFUNCTION("""COMPUTED_VALUE"""),"s07*****tes.ntpc.edu.tw")</f>
        <v>s07*****tes.ntpc.edu.tw</v>
      </c>
      <c r="E728" s="17" t="str">
        <f>IFERROR(__xludf.DUMMYFUNCTION("""COMPUTED_VALUE"""),"新北市私立育才雙語小學")</f>
        <v>新北市私立育才雙語小學</v>
      </c>
      <c r="F728" s="14" t="str">
        <f>IFERROR(__xludf.DUMMYFUNCTION("""COMPUTED_VALUE"""),"五年級")</f>
        <v>五年級</v>
      </c>
      <c r="G728" s="14" t="str">
        <f>IFERROR(__xludf.DUMMYFUNCTION("""COMPUTED_VALUE"""),"●小禮物")</f>
        <v>●小禮物</v>
      </c>
      <c r="H728" s="8"/>
    </row>
    <row r="729">
      <c r="A729" s="18"/>
      <c r="B729" s="14">
        <f>IFERROR(__xludf.DUMMYFUNCTION("""COMPUTED_VALUE"""),946429.0)</f>
        <v>946429</v>
      </c>
      <c r="C729" s="14" t="str">
        <f>IFERROR(__xludf.DUMMYFUNCTION("""COMPUTED_VALUE"""),"李致毅")</f>
        <v>李致毅</v>
      </c>
      <c r="D729" s="16" t="str">
        <f>IFERROR(__xludf.DUMMYFUNCTION("""COMPUTED_VALUE"""),"jub*****hotmail.com")</f>
        <v>jub*****hotmail.com</v>
      </c>
      <c r="E729" s="17" t="str">
        <f>IFERROR(__xludf.DUMMYFUNCTION("""COMPUTED_VALUE"""),"新北市私立育才雙語小學")</f>
        <v>新北市私立育才雙語小學</v>
      </c>
      <c r="F729" s="14" t="str">
        <f>IFERROR(__xludf.DUMMYFUNCTION("""COMPUTED_VALUE"""),"六年級")</f>
        <v>六年級</v>
      </c>
      <c r="G729" s="14" t="str">
        <f>IFERROR(__xludf.DUMMYFUNCTION("""COMPUTED_VALUE"""),"獎狀")</f>
        <v>獎狀</v>
      </c>
      <c r="H729" s="8"/>
    </row>
    <row r="730">
      <c r="A730" s="18"/>
      <c r="B730" s="14">
        <f>IFERROR(__xludf.DUMMYFUNCTION("""COMPUTED_VALUE"""),643873.0)</f>
        <v>643873</v>
      </c>
      <c r="C730" s="14" t="str">
        <f>IFERROR(__xludf.DUMMYFUNCTION("""COMPUTED_VALUE"""),"吳晨妍")</f>
        <v>吳晨妍</v>
      </c>
      <c r="D730" s="16" t="str">
        <f>IFERROR(__xludf.DUMMYFUNCTION("""COMPUTED_VALUE"""),"s06*****tes.ntpc.edu.tw")</f>
        <v>s06*****tes.ntpc.edu.tw</v>
      </c>
      <c r="E730" s="17" t="str">
        <f>IFERROR(__xludf.DUMMYFUNCTION("""COMPUTED_VALUE"""),"新北市私立育才雙語小學")</f>
        <v>新北市私立育才雙語小學</v>
      </c>
      <c r="F730" s="14" t="str">
        <f>IFERROR(__xludf.DUMMYFUNCTION("""COMPUTED_VALUE"""),"六年級")</f>
        <v>六年級</v>
      </c>
      <c r="G730" s="14" t="str">
        <f>IFERROR(__xludf.DUMMYFUNCTION("""COMPUTED_VALUE"""),"●小禮物")</f>
        <v>●小禮物</v>
      </c>
      <c r="H730" s="8"/>
    </row>
    <row r="731">
      <c r="A731" s="18"/>
      <c r="B731" s="14">
        <f>IFERROR(__xludf.DUMMYFUNCTION("""COMPUTED_VALUE"""),358867.0)</f>
        <v>358867</v>
      </c>
      <c r="C731" s="14" t="str">
        <f>IFERROR(__xludf.DUMMYFUNCTION("""COMPUTED_VALUE"""),"徐寁碩")</f>
        <v>徐寁碩</v>
      </c>
      <c r="D731" s="16" t="str">
        <f>IFERROR(__xludf.DUMMYFUNCTION("""COMPUTED_VALUE"""),"zh1*****.ntpc@mail.edu.tw")</f>
        <v>zh1*****.ntpc@mail.edu.tw</v>
      </c>
      <c r="E731" s="17" t="str">
        <f>IFERROR(__xludf.DUMMYFUNCTION("""COMPUTED_VALUE"""),"新北市中和區中和國民小學")</f>
        <v>新北市中和區中和國民小學</v>
      </c>
      <c r="F731" s="14" t="str">
        <f>IFERROR(__xludf.DUMMYFUNCTION("""COMPUTED_VALUE"""),"六年級")</f>
        <v>六年級</v>
      </c>
      <c r="G731" s="14" t="str">
        <f>IFERROR(__xludf.DUMMYFUNCTION("""COMPUTED_VALUE"""),"獎狀")</f>
        <v>獎狀</v>
      </c>
      <c r="H731" s="8"/>
    </row>
    <row r="732">
      <c r="A732" s="18"/>
      <c r="B732" s="14">
        <f>IFERROR(__xludf.DUMMYFUNCTION("""COMPUTED_VALUE"""),765224.0)</f>
        <v>765224</v>
      </c>
      <c r="C732" s="14" t="str">
        <f>IFERROR(__xludf.DUMMYFUNCTION("""COMPUTED_VALUE"""),"連宥勝")</f>
        <v>連宥勝</v>
      </c>
      <c r="D732" s="16" t="str">
        <f>IFERROR(__xludf.DUMMYFUNCTION("""COMPUTED_VALUE"""),"lys*****ntpc@mail.edu.tw")</f>
        <v>lys*****ntpc@mail.edu.tw</v>
      </c>
      <c r="E732" s="17" t="str">
        <f>IFERROR(__xludf.DUMMYFUNCTION("""COMPUTED_VALUE"""),"新北市中和區光復國民小學")</f>
        <v>新北市中和區光復國民小學</v>
      </c>
      <c r="F732" s="14" t="str">
        <f>IFERROR(__xludf.DUMMYFUNCTION("""COMPUTED_VALUE"""),"三年級")</f>
        <v>三年級</v>
      </c>
      <c r="G732" s="14" t="str">
        <f>IFERROR(__xludf.DUMMYFUNCTION("""COMPUTED_VALUE"""),"獎狀")</f>
        <v>獎狀</v>
      </c>
      <c r="H732" s="8"/>
    </row>
    <row r="733">
      <c r="A733" s="18"/>
      <c r="B733" s="14">
        <f>IFERROR(__xludf.DUMMYFUNCTION("""COMPUTED_VALUE"""),775547.0)</f>
        <v>775547</v>
      </c>
      <c r="C733" s="14" t="str">
        <f>IFERROR(__xludf.DUMMYFUNCTION("""COMPUTED_VALUE"""),"程于蓁")</f>
        <v>程于蓁</v>
      </c>
      <c r="D733" s="16" t="str">
        <f>IFERROR(__xludf.DUMMYFUNCTION("""COMPUTED_VALUE"""),"kfe*****12@apps.ntpc.edu.tw")</f>
        <v>kfe*****12@apps.ntpc.edu.tw</v>
      </c>
      <c r="E733" s="17" t="str">
        <f>IFERROR(__xludf.DUMMYFUNCTION("""COMPUTED_VALUE"""),"新北市中和區光復國民小學")</f>
        <v>新北市中和區光復國民小學</v>
      </c>
      <c r="F733" s="14" t="str">
        <f>IFERROR(__xludf.DUMMYFUNCTION("""COMPUTED_VALUE"""),"六年級")</f>
        <v>六年級</v>
      </c>
      <c r="G733" s="14" t="str">
        <f>IFERROR(__xludf.DUMMYFUNCTION("""COMPUTED_VALUE"""),"獎狀")</f>
        <v>獎狀</v>
      </c>
      <c r="H733" s="8"/>
    </row>
    <row r="734">
      <c r="A734" s="18"/>
      <c r="B734" s="14">
        <f>IFERROR(__xludf.DUMMYFUNCTION("""COMPUTED_VALUE"""),1023754.0)</f>
        <v>1023754</v>
      </c>
      <c r="C734" s="14" t="str">
        <f>IFERROR(__xludf.DUMMYFUNCTION("""COMPUTED_VALUE"""),"周芷嫻")</f>
        <v>周芷嫻</v>
      </c>
      <c r="D734" s="16" t="str">
        <f>IFERROR(__xludf.DUMMYFUNCTION("""COMPUTED_VALUE"""),"sop*****10639.ntpc@mail.edu.tw")</f>
        <v>sop*****10639.ntpc@mail.edu.tw</v>
      </c>
      <c r="E734" s="17" t="str">
        <f>IFERROR(__xludf.DUMMYFUNCTION("""COMPUTED_VALUE"""),"新北市中和區自強國民小學")</f>
        <v>新北市中和區自強國民小學</v>
      </c>
      <c r="F734" s="14" t="str">
        <f>IFERROR(__xludf.DUMMYFUNCTION("""COMPUTED_VALUE"""),"五年級")</f>
        <v>五年級</v>
      </c>
      <c r="G734" s="14" t="str">
        <f>IFERROR(__xludf.DUMMYFUNCTION("""COMPUTED_VALUE"""),"●小禮物")</f>
        <v>●小禮物</v>
      </c>
      <c r="H734" s="8"/>
    </row>
    <row r="735">
      <c r="A735" s="18"/>
      <c r="B735" s="14">
        <f>IFERROR(__xludf.DUMMYFUNCTION("""COMPUTED_VALUE"""),864453.0)</f>
        <v>864453</v>
      </c>
      <c r="C735" s="14" t="str">
        <f>IFERROR(__xludf.DUMMYFUNCTION("""COMPUTED_VALUE"""),"余詠晴")</f>
        <v>余詠晴</v>
      </c>
      <c r="D735" s="16" t="str">
        <f>IFERROR(__xludf.DUMMYFUNCTION("""COMPUTED_VALUE"""),"yyq*****ntpc@mail.edu.tw")</f>
        <v>yyq*****ntpc@mail.edu.tw</v>
      </c>
      <c r="E735" s="17" t="str">
        <f>IFERROR(__xludf.DUMMYFUNCTION("""COMPUTED_VALUE"""),"新北市中和區復興國民小學")</f>
        <v>新北市中和區復興國民小學</v>
      </c>
      <c r="F735" s="14" t="str">
        <f>IFERROR(__xludf.DUMMYFUNCTION("""COMPUTED_VALUE"""),"四年級")</f>
        <v>四年級</v>
      </c>
      <c r="G735" s="14" t="str">
        <f>IFERROR(__xludf.DUMMYFUNCTION("""COMPUTED_VALUE"""),"★禮券$200")</f>
        <v>★禮券$200</v>
      </c>
      <c r="H735" s="8"/>
    </row>
    <row r="736">
      <c r="A736" s="18"/>
      <c r="B736" s="14">
        <f>IFERROR(__xludf.DUMMYFUNCTION("""COMPUTED_VALUE"""),917273.0)</f>
        <v>917273</v>
      </c>
      <c r="C736" s="14" t="str">
        <f>IFERROR(__xludf.DUMMYFUNCTION("""COMPUTED_VALUE"""),"余芮妡")</f>
        <v>余芮妡</v>
      </c>
      <c r="D736" s="16" t="str">
        <f>IFERROR(__xludf.DUMMYFUNCTION("""COMPUTED_VALUE"""),"fif*****tpc@mail.edu.tw")</f>
        <v>fif*****tpc@mail.edu.tw</v>
      </c>
      <c r="E736" s="17" t="str">
        <f>IFERROR(__xludf.DUMMYFUNCTION("""COMPUTED_VALUE"""),"新北市中和區復興國民小學")</f>
        <v>新北市中和區復興國民小學</v>
      </c>
      <c r="F736" s="14" t="str">
        <f>IFERROR(__xludf.DUMMYFUNCTION("""COMPUTED_VALUE"""),"六年級")</f>
        <v>六年級</v>
      </c>
      <c r="G736" s="14" t="str">
        <f>IFERROR(__xludf.DUMMYFUNCTION("""COMPUTED_VALUE"""),"獎狀")</f>
        <v>獎狀</v>
      </c>
      <c r="H736" s="8"/>
    </row>
    <row r="737">
      <c r="A737" s="18"/>
      <c r="B737" s="14">
        <f>IFERROR(__xludf.DUMMYFUNCTION("""COMPUTED_VALUE"""),682022.0)</f>
        <v>682022</v>
      </c>
      <c r="C737" s="14" t="str">
        <f>IFERROR(__xludf.DUMMYFUNCTION("""COMPUTED_VALUE"""),"張郁浩")</f>
        <v>張郁浩</v>
      </c>
      <c r="D737" s="16" t="str">
        <f>IFERROR(__xludf.DUMMYFUNCTION("""COMPUTED_VALUE"""),"fel*****204@apps.ntpc.edu.tw")</f>
        <v>fel*****204@apps.ntpc.edu.tw</v>
      </c>
      <c r="E737" s="17" t="str">
        <f>IFERROR(__xludf.DUMMYFUNCTION("""COMPUTED_VALUE"""),"新北市中和區復興國民小學")</f>
        <v>新北市中和區復興國民小學</v>
      </c>
      <c r="F737" s="14" t="str">
        <f>IFERROR(__xludf.DUMMYFUNCTION("""COMPUTED_VALUE"""),"六年級")</f>
        <v>六年級</v>
      </c>
      <c r="G737" s="14" t="str">
        <f>IFERROR(__xludf.DUMMYFUNCTION("""COMPUTED_VALUE"""),"●小禮物")</f>
        <v>●小禮物</v>
      </c>
      <c r="H737" s="8"/>
    </row>
    <row r="738">
      <c r="A738" s="18"/>
      <c r="B738" s="14">
        <f>IFERROR(__xludf.DUMMYFUNCTION("""COMPUTED_VALUE"""),1096829.0)</f>
        <v>1096829</v>
      </c>
      <c r="C738" s="14" t="str">
        <f>IFERROR(__xludf.DUMMYFUNCTION("""COMPUTED_VALUE"""),"李念恩")</f>
        <v>李念恩</v>
      </c>
      <c r="D738" s="16" t="str">
        <f>IFERROR(__xludf.DUMMYFUNCTION("""COMPUTED_VALUE"""),"lne*****ntpc@mail.edu.tw")</f>
        <v>lne*****ntpc@mail.edu.tw</v>
      </c>
      <c r="E738" s="17" t="str">
        <f>IFERROR(__xludf.DUMMYFUNCTION("""COMPUTED_VALUE"""),"新北市中和區景新國民小學")</f>
        <v>新北市中和區景新國民小學</v>
      </c>
      <c r="F738" s="14" t="str">
        <f>IFERROR(__xludf.DUMMYFUNCTION("""COMPUTED_VALUE"""),"三年級")</f>
        <v>三年級</v>
      </c>
      <c r="G738" s="14" t="str">
        <f>IFERROR(__xludf.DUMMYFUNCTION("""COMPUTED_VALUE"""),"獎狀")</f>
        <v>獎狀</v>
      </c>
      <c r="H738" s="8"/>
    </row>
    <row r="739">
      <c r="A739" s="18"/>
      <c r="B739" s="14">
        <f>IFERROR(__xludf.DUMMYFUNCTION("""COMPUTED_VALUE"""),1099391.0)</f>
        <v>1099391</v>
      </c>
      <c r="C739" s="14" t="str">
        <f>IFERROR(__xludf.DUMMYFUNCTION("""COMPUTED_VALUE"""),"簡岑安")</f>
        <v>簡岑安</v>
      </c>
      <c r="D739" s="16" t="str">
        <f>IFERROR(__xludf.DUMMYFUNCTION("""COMPUTED_VALUE"""),"s10*****2.ntpc@mail.edu.tw")</f>
        <v>s10*****2.ntpc@mail.edu.tw</v>
      </c>
      <c r="E739" s="17" t="str">
        <f>IFERROR(__xludf.DUMMYFUNCTION("""COMPUTED_VALUE"""),"新北市中和區景新國民小學")</f>
        <v>新北市中和區景新國民小學</v>
      </c>
      <c r="F739" s="14" t="str">
        <f>IFERROR(__xludf.DUMMYFUNCTION("""COMPUTED_VALUE"""),"四年級")</f>
        <v>四年級</v>
      </c>
      <c r="G739" s="14" t="str">
        <f>IFERROR(__xludf.DUMMYFUNCTION("""COMPUTED_VALUE"""),"●小禮物")</f>
        <v>●小禮物</v>
      </c>
      <c r="H739" s="8"/>
    </row>
    <row r="740">
      <c r="A740" s="18"/>
      <c r="B740" s="14">
        <f>IFERROR(__xludf.DUMMYFUNCTION("""COMPUTED_VALUE"""),372976.0)</f>
        <v>372976</v>
      </c>
      <c r="C740" s="14" t="str">
        <f>IFERROR(__xludf.DUMMYFUNCTION("""COMPUTED_VALUE"""),"李幸家")</f>
        <v>李幸家</v>
      </c>
      <c r="D740" s="16" t="str">
        <f>IFERROR(__xludf.DUMMYFUNCTION("""COMPUTED_VALUE"""),"lig*****tpc@mail.edu.tw")</f>
        <v>lig*****tpc@mail.edu.tw</v>
      </c>
      <c r="E740" s="17" t="str">
        <f>IFERROR(__xludf.DUMMYFUNCTION("""COMPUTED_VALUE"""),"新北市中和區景新國民小學")</f>
        <v>新北市中和區景新國民小學</v>
      </c>
      <c r="F740" s="14" t="str">
        <f>IFERROR(__xludf.DUMMYFUNCTION("""COMPUTED_VALUE"""),"六年級")</f>
        <v>六年級</v>
      </c>
      <c r="G740" s="14" t="str">
        <f>IFERROR(__xludf.DUMMYFUNCTION("""COMPUTED_VALUE"""),"●小禮物")</f>
        <v>●小禮物</v>
      </c>
      <c r="H740" s="8"/>
    </row>
    <row r="741">
      <c r="A741" s="18"/>
      <c r="B741" s="14">
        <f>IFERROR(__xludf.DUMMYFUNCTION("""COMPUTED_VALUE"""),460569.0)</f>
        <v>460569</v>
      </c>
      <c r="C741" s="14" t="str">
        <f>IFERROR(__xludf.DUMMYFUNCTION("""COMPUTED_VALUE"""),"林楷峻")</f>
        <v>林楷峻</v>
      </c>
      <c r="D741" s="16" t="str">
        <f>IFERROR(__xludf.DUMMYFUNCTION("""COMPUTED_VALUE"""),"sn1*****@apps.ntpc.edu.tw")</f>
        <v>sn1*****@apps.ntpc.edu.tw</v>
      </c>
      <c r="E741" s="17" t="str">
        <f>IFERROR(__xludf.DUMMYFUNCTION("""COMPUTED_VALUE"""),"新北市中和區興南國民小學")</f>
        <v>新北市中和區興南國民小學</v>
      </c>
      <c r="F741" s="14" t="str">
        <f>IFERROR(__xludf.DUMMYFUNCTION("""COMPUTED_VALUE"""),"六年級")</f>
        <v>六年級</v>
      </c>
      <c r="G741" s="14" t="str">
        <f>IFERROR(__xludf.DUMMYFUNCTION("""COMPUTED_VALUE"""),"獎狀")</f>
        <v>獎狀</v>
      </c>
      <c r="H741" s="8"/>
    </row>
    <row r="742">
      <c r="A742" s="18"/>
      <c r="B742" s="14">
        <f>IFERROR(__xludf.DUMMYFUNCTION("""COMPUTED_VALUE"""),1005605.0)</f>
        <v>1005605</v>
      </c>
      <c r="C742" s="14" t="str">
        <f>IFERROR(__xludf.DUMMYFUNCTION("""COMPUTED_VALUE"""),"楊燿宇")</f>
        <v>楊燿宇</v>
      </c>
      <c r="D742" s="16" t="str">
        <f>IFERROR(__xludf.DUMMYFUNCTION("""COMPUTED_VALUE"""),"yve*****10@gmail.com")</f>
        <v>yve*****10@gmail.com</v>
      </c>
      <c r="E742" s="17" t="str">
        <f>IFERROR(__xludf.DUMMYFUNCTION("""COMPUTED_VALUE"""),"新北市土城區廣福國民小學")</f>
        <v>新北市土城區廣福國民小學</v>
      </c>
      <c r="F742" s="14" t="str">
        <f>IFERROR(__xludf.DUMMYFUNCTION("""COMPUTED_VALUE"""),"四年級")</f>
        <v>四年級</v>
      </c>
      <c r="G742" s="14" t="str">
        <f>IFERROR(__xludf.DUMMYFUNCTION("""COMPUTED_VALUE"""),"獎狀")</f>
        <v>獎狀</v>
      </c>
      <c r="H742" s="8"/>
    </row>
    <row r="743">
      <c r="A743" s="18"/>
      <c r="B743" s="14">
        <f>IFERROR(__xludf.DUMMYFUNCTION("""COMPUTED_VALUE"""),1055963.0)</f>
        <v>1055963</v>
      </c>
      <c r="C743" s="14" t="str">
        <f>IFERROR(__xludf.DUMMYFUNCTION("""COMPUTED_VALUE"""),"李語若")</f>
        <v>李語若</v>
      </c>
      <c r="D743" s="16" t="str">
        <f>IFERROR(__xludf.DUMMYFUNCTION("""COMPUTED_VALUE"""),"non*****@apps.ntpc.edu.tw")</f>
        <v>non*****@apps.ntpc.edu.tw</v>
      </c>
      <c r="E743" s="17" t="str">
        <f>IFERROR(__xludf.DUMMYFUNCTION("""COMPUTED_VALUE"""),"新北市土城區廣福國民小學")</f>
        <v>新北市土城區廣福國民小學</v>
      </c>
      <c r="F743" s="14" t="str">
        <f>IFERROR(__xludf.DUMMYFUNCTION("""COMPUTED_VALUE"""),"六年級")</f>
        <v>六年級</v>
      </c>
      <c r="G743" s="14" t="str">
        <f>IFERROR(__xludf.DUMMYFUNCTION("""COMPUTED_VALUE"""),"●小禮物")</f>
        <v>●小禮物</v>
      </c>
      <c r="H743" s="8"/>
    </row>
    <row r="744">
      <c r="A744" s="18"/>
      <c r="B744" s="14">
        <f>IFERROR(__xludf.DUMMYFUNCTION("""COMPUTED_VALUE"""),927888.0)</f>
        <v>927888</v>
      </c>
      <c r="C744" s="14" t="str">
        <f>IFERROR(__xludf.DUMMYFUNCTION("""COMPUTED_VALUE"""),"黃聖曜")</f>
        <v>黃聖曜</v>
      </c>
      <c r="D744" s="16" t="str">
        <f>IFERROR(__xludf.DUMMYFUNCTION("""COMPUTED_VALUE"""),"ttc*****5.ntpc@mail.edu.tw")</f>
        <v>ttc*****5.ntpc@mail.edu.tw</v>
      </c>
      <c r="E744" s="17" t="str">
        <f>IFERROR(__xludf.DUMMYFUNCTION("""COMPUTED_VALUE"""),"新北市土城區土城國民小學")</f>
        <v>新北市土城區土城國民小學</v>
      </c>
      <c r="F744" s="14" t="str">
        <f>IFERROR(__xludf.DUMMYFUNCTION("""COMPUTED_VALUE"""),"四年級")</f>
        <v>四年級</v>
      </c>
      <c r="G744" s="14" t="str">
        <f>IFERROR(__xludf.DUMMYFUNCTION("""COMPUTED_VALUE"""),"●小禮物")</f>
        <v>●小禮物</v>
      </c>
      <c r="H744" s="8"/>
    </row>
    <row r="745">
      <c r="A745" s="18"/>
      <c r="B745" s="14">
        <f>IFERROR(__xludf.DUMMYFUNCTION("""COMPUTED_VALUE"""),797630.0)</f>
        <v>797630</v>
      </c>
      <c r="C745" s="14" t="str">
        <f>IFERROR(__xludf.DUMMYFUNCTION("""COMPUTED_VALUE"""),"彭紀達")</f>
        <v>彭紀達</v>
      </c>
      <c r="D745" s="16" t="str">
        <f>IFERROR(__xludf.DUMMYFUNCTION("""COMPUTED_VALUE"""),"max*****228@gmail.com")</f>
        <v>max*****228@gmail.com</v>
      </c>
      <c r="E745" s="17" t="str">
        <f>IFERROR(__xludf.DUMMYFUNCTION("""COMPUTED_VALUE"""),"新北市土城區土城國民小學")</f>
        <v>新北市土城區土城國民小學</v>
      </c>
      <c r="F745" s="14" t="str">
        <f>IFERROR(__xludf.DUMMYFUNCTION("""COMPUTED_VALUE"""),"四年級")</f>
        <v>四年級</v>
      </c>
      <c r="G745" s="14" t="str">
        <f>IFERROR(__xludf.DUMMYFUNCTION("""COMPUTED_VALUE"""),"獎狀")</f>
        <v>獎狀</v>
      </c>
      <c r="H745" s="8"/>
    </row>
    <row r="746">
      <c r="A746" s="18"/>
      <c r="B746" s="14">
        <f>IFERROR(__xludf.DUMMYFUNCTION("""COMPUTED_VALUE"""),544918.0)</f>
        <v>544918</v>
      </c>
      <c r="C746" s="14" t="str">
        <f>IFERROR(__xludf.DUMMYFUNCTION("""COMPUTED_VALUE"""),"楊侑霖")</f>
        <v>楊侑霖</v>
      </c>
      <c r="D746" s="16" t="str">
        <f>IFERROR(__xludf.DUMMYFUNCTION("""COMPUTED_VALUE"""),"ala*****@apps.ntpc.edu.tw")</f>
        <v>ala*****@apps.ntpc.edu.tw</v>
      </c>
      <c r="E746" s="17" t="str">
        <f>IFERROR(__xludf.DUMMYFUNCTION("""COMPUTED_VALUE"""),"新北市土城區土城國民小學")</f>
        <v>新北市土城區土城國民小學</v>
      </c>
      <c r="F746" s="14" t="str">
        <f>IFERROR(__xludf.DUMMYFUNCTION("""COMPUTED_VALUE"""),"六年級")</f>
        <v>六年級</v>
      </c>
      <c r="G746" s="14" t="str">
        <f>IFERROR(__xludf.DUMMYFUNCTION("""COMPUTED_VALUE"""),"●小禮物")</f>
        <v>●小禮物</v>
      </c>
      <c r="H746" s="8"/>
    </row>
    <row r="747">
      <c r="A747" s="18"/>
      <c r="B747" s="14">
        <f>IFERROR(__xludf.DUMMYFUNCTION("""COMPUTED_VALUE"""),755031.0)</f>
        <v>755031</v>
      </c>
      <c r="C747" s="14" t="str">
        <f>IFERROR(__xludf.DUMMYFUNCTION("""COMPUTED_VALUE"""),"吳家綺")</f>
        <v>吳家綺</v>
      </c>
      <c r="D747" s="16" t="str">
        <f>IFERROR(__xludf.DUMMYFUNCTION("""COMPUTED_VALUE"""),"ttc*****7@apps.ntpc.edu.tw")</f>
        <v>ttc*****7@apps.ntpc.edu.tw</v>
      </c>
      <c r="E747" s="17" t="str">
        <f>IFERROR(__xludf.DUMMYFUNCTION("""COMPUTED_VALUE"""),"新北市土城區土城國民小學")</f>
        <v>新北市土城區土城國民小學</v>
      </c>
      <c r="F747" s="14" t="str">
        <f>IFERROR(__xludf.DUMMYFUNCTION("""COMPUTED_VALUE"""),"六年級")</f>
        <v>六年級</v>
      </c>
      <c r="G747" s="14" t="str">
        <f>IFERROR(__xludf.DUMMYFUNCTION("""COMPUTED_VALUE"""),"獎狀")</f>
        <v>獎狀</v>
      </c>
      <c r="H747" s="8"/>
    </row>
    <row r="748">
      <c r="A748" s="18"/>
      <c r="B748" s="14">
        <f>IFERROR(__xludf.DUMMYFUNCTION("""COMPUTED_VALUE"""),592215.0)</f>
        <v>592215</v>
      </c>
      <c r="C748" s="14" t="str">
        <f>IFERROR(__xludf.DUMMYFUNCTION("""COMPUTED_VALUE"""),"鄭詠駿")</f>
        <v>鄭詠駿</v>
      </c>
      <c r="D748" s="16" t="str">
        <f>IFERROR(__xludf.DUMMYFUNCTION("""COMPUTED_VALUE"""),"huj*****y@gmail.com")</f>
        <v>huj*****y@gmail.com</v>
      </c>
      <c r="E748" s="17" t="str">
        <f>IFERROR(__xludf.DUMMYFUNCTION("""COMPUTED_VALUE"""),"新北市私立裕德高級中等學校附設國小部")</f>
        <v>新北市私立裕德高級中等學校附設國小部</v>
      </c>
      <c r="F748" s="14" t="str">
        <f>IFERROR(__xludf.DUMMYFUNCTION("""COMPUTED_VALUE"""),"三年級")</f>
        <v>三年級</v>
      </c>
      <c r="G748" s="14" t="str">
        <f>IFERROR(__xludf.DUMMYFUNCTION("""COMPUTED_VALUE"""),"獎狀")</f>
        <v>獎狀</v>
      </c>
      <c r="H748" s="8"/>
    </row>
    <row r="749">
      <c r="A749" s="18"/>
      <c r="B749" s="14">
        <f>IFERROR(__xludf.DUMMYFUNCTION("""COMPUTED_VALUE"""),1158216.0)</f>
        <v>1158216</v>
      </c>
      <c r="C749" s="14" t="str">
        <f>IFERROR(__xludf.DUMMYFUNCTION("""COMPUTED_VALUE"""),"江耘瑄")</f>
        <v>江耘瑄</v>
      </c>
      <c r="D749" s="16" t="str">
        <f>IFERROR(__xludf.DUMMYFUNCTION("""COMPUTED_VALUE"""),"mir*****nacassie@gmail.com")</f>
        <v>mir*****nacassie@gmail.com</v>
      </c>
      <c r="E749" s="17" t="str">
        <f>IFERROR(__xludf.DUMMYFUNCTION("""COMPUTED_VALUE"""),"新北市三峽區龍埔國民小學")</f>
        <v>新北市三峽區龍埔國民小學</v>
      </c>
      <c r="F749" s="14" t="str">
        <f>IFERROR(__xludf.DUMMYFUNCTION("""COMPUTED_VALUE"""),"三年級")</f>
        <v>三年級</v>
      </c>
      <c r="G749" s="14" t="str">
        <f>IFERROR(__xludf.DUMMYFUNCTION("""COMPUTED_VALUE"""),"獎狀")</f>
        <v>獎狀</v>
      </c>
      <c r="H749" s="8"/>
    </row>
    <row r="750">
      <c r="A750" s="18"/>
      <c r="B750" s="14">
        <f>IFERROR(__xludf.DUMMYFUNCTION("""COMPUTED_VALUE"""),1081561.0)</f>
        <v>1081561</v>
      </c>
      <c r="C750" s="14" t="str">
        <f>IFERROR(__xludf.DUMMYFUNCTION("""COMPUTED_VALUE"""),"劉祖佑")</f>
        <v>劉祖佑</v>
      </c>
      <c r="D750" s="16" t="str">
        <f>IFERROR(__xludf.DUMMYFUNCTION("""COMPUTED_VALUE"""),"lzy*****ntpc@mail.edu.tw")</f>
        <v>lzy*****ntpc@mail.edu.tw</v>
      </c>
      <c r="E750" s="17" t="str">
        <f>IFERROR(__xludf.DUMMYFUNCTION("""COMPUTED_VALUE"""),"新北市三峽區三峽國民小學")</f>
        <v>新北市三峽區三峽國民小學</v>
      </c>
      <c r="F750" s="14" t="str">
        <f>IFERROR(__xludf.DUMMYFUNCTION("""COMPUTED_VALUE"""),"五年級")</f>
        <v>五年級</v>
      </c>
      <c r="G750" s="14" t="str">
        <f>IFERROR(__xludf.DUMMYFUNCTION("""COMPUTED_VALUE"""),"獎狀")</f>
        <v>獎狀</v>
      </c>
      <c r="H750" s="8"/>
    </row>
    <row r="751">
      <c r="A751" s="18"/>
      <c r="B751" s="14">
        <f>IFERROR(__xludf.DUMMYFUNCTION("""COMPUTED_VALUE"""),1120498.0)</f>
        <v>1120498</v>
      </c>
      <c r="C751" s="14" t="str">
        <f>IFERROR(__xludf.DUMMYFUNCTION("""COMPUTED_VALUE"""),"劉洢寧")</f>
        <v>劉洢寧</v>
      </c>
      <c r="D751" s="16" t="str">
        <f>IFERROR(__xludf.DUMMYFUNCTION("""COMPUTED_VALUE"""),"kin*****5@gmail.com")</f>
        <v>kin*****5@gmail.com</v>
      </c>
      <c r="E751" s="17" t="str">
        <f>IFERROR(__xludf.DUMMYFUNCTION("""COMPUTED_VALUE"""),"新北市三峽區安溪國民小學")</f>
        <v>新北市三峽區安溪國民小學</v>
      </c>
      <c r="F751" s="14" t="str">
        <f>IFERROR(__xludf.DUMMYFUNCTION("""COMPUTED_VALUE"""),"五年級")</f>
        <v>五年級</v>
      </c>
      <c r="G751" s="14" t="str">
        <f>IFERROR(__xludf.DUMMYFUNCTION("""COMPUTED_VALUE"""),"獎狀")</f>
        <v>獎狀</v>
      </c>
      <c r="H751" s="8"/>
    </row>
    <row r="752">
      <c r="A752" s="18"/>
      <c r="B752" s="14">
        <f>IFERROR(__xludf.DUMMYFUNCTION("""COMPUTED_VALUE"""),937751.0)</f>
        <v>937751</v>
      </c>
      <c r="C752" s="14" t="str">
        <f>IFERROR(__xludf.DUMMYFUNCTION("""COMPUTED_VALUE"""),"楊振哲")</f>
        <v>楊振哲</v>
      </c>
      <c r="D752" s="16" t="str">
        <f>IFERROR(__xludf.DUMMYFUNCTION("""COMPUTED_VALUE"""),"bd1*****.ntpc@mail.edu.tw")</f>
        <v>bd1*****.ntpc@mail.edu.tw</v>
      </c>
      <c r="E752" s="17" t="str">
        <f>IFERROR(__xludf.DUMMYFUNCTION("""COMPUTED_VALUE"""),"新北市三峽區北大國民小學")</f>
        <v>新北市三峽區北大國民小學</v>
      </c>
      <c r="F752" s="14" t="str">
        <f>IFERROR(__xludf.DUMMYFUNCTION("""COMPUTED_VALUE"""),"四年級")</f>
        <v>四年級</v>
      </c>
      <c r="G752" s="14" t="str">
        <f>IFERROR(__xludf.DUMMYFUNCTION("""COMPUTED_VALUE"""),"●小禮物")</f>
        <v>●小禮物</v>
      </c>
      <c r="H752" s="8"/>
    </row>
    <row r="753">
      <c r="A753" s="18"/>
      <c r="B753" s="14">
        <f>IFERROR(__xludf.DUMMYFUNCTION("""COMPUTED_VALUE"""),536842.0)</f>
        <v>536842</v>
      </c>
      <c r="C753" s="14" t="str">
        <f>IFERROR(__xludf.DUMMYFUNCTION("""COMPUTED_VALUE"""),"楊鎬哲")</f>
        <v>楊鎬哲</v>
      </c>
      <c r="D753" s="16" t="str">
        <f>IFERROR(__xludf.DUMMYFUNCTION("""COMPUTED_VALUE"""),"dam*****01018.ntpc@mail.edu.tw")</f>
        <v>dam*****01018.ntpc@mail.edu.tw</v>
      </c>
      <c r="E753" s="17" t="str">
        <f>IFERROR(__xludf.DUMMYFUNCTION("""COMPUTED_VALUE"""),"新北市三峽區北大國民小學")</f>
        <v>新北市三峽區北大國民小學</v>
      </c>
      <c r="F753" s="14" t="str">
        <f>IFERROR(__xludf.DUMMYFUNCTION("""COMPUTED_VALUE"""),"五年級")</f>
        <v>五年級</v>
      </c>
      <c r="G753" s="14" t="str">
        <f>IFERROR(__xludf.DUMMYFUNCTION("""COMPUTED_VALUE"""),"●小禮物")</f>
        <v>●小禮物</v>
      </c>
      <c r="H753" s="8"/>
    </row>
    <row r="754">
      <c r="A754" s="18"/>
      <c r="B754" s="14">
        <f>IFERROR(__xludf.DUMMYFUNCTION("""COMPUTED_VALUE"""),1107463.0)</f>
        <v>1107463</v>
      </c>
      <c r="C754" s="14" t="str">
        <f>IFERROR(__xludf.DUMMYFUNCTION("""COMPUTED_VALUE"""),"劉映辰")</f>
        <v>劉映辰</v>
      </c>
      <c r="D754" s="16" t="str">
        <f>IFERROR(__xludf.DUMMYFUNCTION("""COMPUTED_VALUE"""),"shp*****05@apps.ntpc.edu.tw")</f>
        <v>shp*****05@apps.ntpc.edu.tw</v>
      </c>
      <c r="E754" s="17" t="str">
        <f>IFERROR(__xludf.DUMMYFUNCTION("""COMPUTED_VALUE"""),"新北市三峽區民義國民小學")</f>
        <v>新北市三峽區民義國民小學</v>
      </c>
      <c r="F754" s="14" t="str">
        <f>IFERROR(__xludf.DUMMYFUNCTION("""COMPUTED_VALUE"""),"五年級")</f>
        <v>五年級</v>
      </c>
      <c r="G754" s="14" t="str">
        <f>IFERROR(__xludf.DUMMYFUNCTION("""COMPUTED_VALUE"""),"●小禮物")</f>
        <v>●小禮物</v>
      </c>
      <c r="H754" s="8"/>
    </row>
    <row r="755">
      <c r="A755" s="18"/>
      <c r="B755" s="14">
        <f>IFERROR(__xludf.DUMMYFUNCTION("""COMPUTED_VALUE"""),817917.0)</f>
        <v>817917</v>
      </c>
      <c r="C755" s="14" t="str">
        <f>IFERROR(__xludf.DUMMYFUNCTION("""COMPUTED_VALUE"""),"莊昂霖")</f>
        <v>莊昂霖</v>
      </c>
      <c r="D755" s="16" t="str">
        <f>IFERROR(__xludf.DUMMYFUNCTION("""COMPUTED_VALUE"""),"mou*****27@hotmail.com")</f>
        <v>mou*****27@hotmail.com</v>
      </c>
      <c r="E755" s="17" t="str">
        <f>IFERROR(__xludf.DUMMYFUNCTION("""COMPUTED_VALUE"""),"新北市樹林區大同國民小學")</f>
        <v>新北市樹林區大同國民小學</v>
      </c>
      <c r="F755" s="14" t="str">
        <f>IFERROR(__xludf.DUMMYFUNCTION("""COMPUTED_VALUE"""),"三年級")</f>
        <v>三年級</v>
      </c>
      <c r="G755" s="14" t="str">
        <f>IFERROR(__xludf.DUMMYFUNCTION("""COMPUTED_VALUE"""),"獎狀")</f>
        <v>獎狀</v>
      </c>
      <c r="H755" s="8"/>
    </row>
    <row r="756">
      <c r="A756" s="18"/>
      <c r="B756" s="14">
        <f>IFERROR(__xludf.DUMMYFUNCTION("""COMPUTED_VALUE"""),545821.0)</f>
        <v>545821</v>
      </c>
      <c r="C756" s="14" t="str">
        <f>IFERROR(__xludf.DUMMYFUNCTION("""COMPUTED_VALUE"""),"陳辰")</f>
        <v>陳辰</v>
      </c>
      <c r="D756" s="16" t="str">
        <f>IFERROR(__xludf.DUMMYFUNCTION("""COMPUTED_VALUE"""),"gos*****@yahoo.com.tw")</f>
        <v>gos*****@yahoo.com.tw</v>
      </c>
      <c r="E756" s="17" t="str">
        <f>IFERROR(__xludf.DUMMYFUNCTION("""COMPUTED_VALUE"""),"新北市樹林區文林國民小學")</f>
        <v>新北市樹林區文林國民小學</v>
      </c>
      <c r="F756" s="14" t="str">
        <f>IFERROR(__xludf.DUMMYFUNCTION("""COMPUTED_VALUE"""),"五年級")</f>
        <v>五年級</v>
      </c>
      <c r="G756" s="14" t="str">
        <f>IFERROR(__xludf.DUMMYFUNCTION("""COMPUTED_VALUE"""),"獎狀")</f>
        <v>獎狀</v>
      </c>
      <c r="H756" s="8"/>
    </row>
    <row r="757">
      <c r="A757" s="18"/>
      <c r="B757" s="14">
        <f>IFERROR(__xludf.DUMMYFUNCTION("""COMPUTED_VALUE"""),888995.0)</f>
        <v>888995</v>
      </c>
      <c r="C757" s="14" t="str">
        <f>IFERROR(__xludf.DUMMYFUNCTION("""COMPUTED_VALUE"""),"林書瑋")</f>
        <v>林書瑋</v>
      </c>
      <c r="D757" s="16" t="str">
        <f>IFERROR(__xludf.DUMMYFUNCTION("""COMPUTED_VALUE"""),"ire*****n@mail.edu.tw")</f>
        <v>ire*****n@mail.edu.tw</v>
      </c>
      <c r="E757" s="17" t="str">
        <f>IFERROR(__xludf.DUMMYFUNCTION("""COMPUTED_VALUE"""),"新北市樹林區文林國民小學")</f>
        <v>新北市樹林區文林國民小學</v>
      </c>
      <c r="F757" s="14" t="str">
        <f>IFERROR(__xludf.DUMMYFUNCTION("""COMPUTED_VALUE"""),"五年級")</f>
        <v>五年級</v>
      </c>
      <c r="G757" s="14" t="str">
        <f>IFERROR(__xludf.DUMMYFUNCTION("""COMPUTED_VALUE"""),"●小禮物")</f>
        <v>●小禮物</v>
      </c>
      <c r="H757" s="8"/>
    </row>
    <row r="758">
      <c r="A758" s="18"/>
      <c r="B758" s="14">
        <f>IFERROR(__xludf.DUMMYFUNCTION("""COMPUTED_VALUE"""),580512.0)</f>
        <v>580512</v>
      </c>
      <c r="C758" s="14" t="str">
        <f>IFERROR(__xludf.DUMMYFUNCTION("""COMPUTED_VALUE"""),"劉品睿")</f>
        <v>劉品睿</v>
      </c>
      <c r="D758" s="16" t="str">
        <f>IFERROR(__xludf.DUMMYFUNCTION("""COMPUTED_VALUE"""),"ray*****apps.ntpc.edu.tw")</f>
        <v>ray*****apps.ntpc.edu.tw</v>
      </c>
      <c r="E758" s="17" t="str">
        <f>IFERROR(__xludf.DUMMYFUNCTION("""COMPUTED_VALUE"""),"新北市樹林區文林國民小學")</f>
        <v>新北市樹林區文林國民小學</v>
      </c>
      <c r="F758" s="14" t="str">
        <f>IFERROR(__xludf.DUMMYFUNCTION("""COMPUTED_VALUE"""),"六年級")</f>
        <v>六年級</v>
      </c>
      <c r="G758" s="14" t="str">
        <f>IFERROR(__xludf.DUMMYFUNCTION("""COMPUTED_VALUE"""),"獎狀")</f>
        <v>獎狀</v>
      </c>
      <c r="H758" s="8"/>
    </row>
    <row r="759">
      <c r="A759" s="18"/>
      <c r="B759" s="14">
        <f>IFERROR(__xludf.DUMMYFUNCTION("""COMPUTED_VALUE"""),603584.0)</f>
        <v>603584</v>
      </c>
      <c r="C759" s="14" t="str">
        <f>IFERROR(__xludf.DUMMYFUNCTION("""COMPUTED_VALUE"""),"張沅湘")</f>
        <v>張沅湘</v>
      </c>
      <c r="D759" s="16" t="str">
        <f>IFERROR(__xludf.DUMMYFUNCTION("""COMPUTED_VALUE"""),"tyk*****mail.edu.tw")</f>
        <v>tyk*****mail.edu.tw</v>
      </c>
      <c r="E759" s="17" t="str">
        <f>IFERROR(__xludf.DUMMYFUNCTION("""COMPUTED_VALUE"""),"新北市立桃子腳國民中小學國小部")</f>
        <v>新北市立桃子腳國民中小學國小部</v>
      </c>
      <c r="F759" s="14" t="str">
        <f>IFERROR(__xludf.DUMMYFUNCTION("""COMPUTED_VALUE"""),"六年級")</f>
        <v>六年級</v>
      </c>
      <c r="G759" s="14" t="str">
        <f>IFERROR(__xludf.DUMMYFUNCTION("""COMPUTED_VALUE"""),"●小禮物")</f>
        <v>●小禮物</v>
      </c>
      <c r="H759" s="8"/>
    </row>
    <row r="760">
      <c r="A760" s="18"/>
      <c r="B760" s="14">
        <f>IFERROR(__xludf.DUMMYFUNCTION("""COMPUTED_VALUE"""),963047.0)</f>
        <v>963047</v>
      </c>
      <c r="C760" s="14" t="str">
        <f>IFERROR(__xludf.DUMMYFUNCTION("""COMPUTED_VALUE"""),"李昀芝")</f>
        <v>李昀芝</v>
      </c>
      <c r="D760" s="16" t="str">
        <f>IFERROR(__xludf.DUMMYFUNCTION("""COMPUTED_VALUE"""),"rit*****030@gmail.com")</f>
        <v>rit*****030@gmail.com</v>
      </c>
      <c r="E760" s="17" t="str">
        <f>IFERROR(__xludf.DUMMYFUNCTION("""COMPUTED_VALUE"""),"新北市鶯歌區鶯歌國民小學")</f>
        <v>新北市鶯歌區鶯歌國民小學</v>
      </c>
      <c r="F760" s="14" t="str">
        <f>IFERROR(__xludf.DUMMYFUNCTION("""COMPUTED_VALUE"""),"六年級")</f>
        <v>六年級</v>
      </c>
      <c r="G760" s="14" t="str">
        <f>IFERROR(__xludf.DUMMYFUNCTION("""COMPUTED_VALUE"""),"●小禮物")</f>
        <v>●小禮物</v>
      </c>
      <c r="H760" s="8"/>
    </row>
    <row r="761">
      <c r="A761" s="18"/>
      <c r="B761" s="14">
        <f>IFERROR(__xludf.DUMMYFUNCTION("""COMPUTED_VALUE"""),448444.0)</f>
        <v>448444</v>
      </c>
      <c r="C761" s="14" t="str">
        <f>IFERROR(__xludf.DUMMYFUNCTION("""COMPUTED_VALUE"""),"蕭宥寧")</f>
        <v>蕭宥寧</v>
      </c>
      <c r="D761" s="16" t="str">
        <f>IFERROR(__xludf.DUMMYFUNCTION("""COMPUTED_VALUE"""),"nic*****103.ntpc@mail.edu.tw")</f>
        <v>nic*****103.ntpc@mail.edu.tw</v>
      </c>
      <c r="E761" s="17" t="str">
        <f>IFERROR(__xludf.DUMMYFUNCTION("""COMPUTED_VALUE"""),"新北市三重區二重國民小學")</f>
        <v>新北市三重區二重國民小學</v>
      </c>
      <c r="F761" s="14" t="str">
        <f>IFERROR(__xludf.DUMMYFUNCTION("""COMPUTED_VALUE"""),"三年級")</f>
        <v>三年級</v>
      </c>
      <c r="G761" s="14" t="str">
        <f>IFERROR(__xludf.DUMMYFUNCTION("""COMPUTED_VALUE"""),"獎狀")</f>
        <v>獎狀</v>
      </c>
      <c r="H761" s="8"/>
    </row>
    <row r="762">
      <c r="A762" s="18"/>
      <c r="B762" s="14">
        <f>IFERROR(__xludf.DUMMYFUNCTION("""COMPUTED_VALUE"""),1168562.0)</f>
        <v>1168562</v>
      </c>
      <c r="C762" s="14" t="str">
        <f>IFERROR(__xludf.DUMMYFUNCTION("""COMPUTED_VALUE"""),"吳恩宇")</f>
        <v>吳恩宇</v>
      </c>
      <c r="D762" s="16" t="str">
        <f>IFERROR(__xludf.DUMMYFUNCTION("""COMPUTED_VALUE"""),"qq1*****1.ntpc@mail.edu.tw")</f>
        <v>qq1*****1.ntpc@mail.edu.tw</v>
      </c>
      <c r="E762" s="17" t="str">
        <f>IFERROR(__xludf.DUMMYFUNCTION("""COMPUTED_VALUE"""),"新北市三重區二重國民小學")</f>
        <v>新北市三重區二重國民小學</v>
      </c>
      <c r="F762" s="14" t="str">
        <f>IFERROR(__xludf.DUMMYFUNCTION("""COMPUTED_VALUE"""),"五年級")</f>
        <v>五年級</v>
      </c>
      <c r="G762" s="14" t="str">
        <f>IFERROR(__xludf.DUMMYFUNCTION("""COMPUTED_VALUE"""),"●小禮物")</f>
        <v>●小禮物</v>
      </c>
      <c r="H762" s="8"/>
    </row>
    <row r="763">
      <c r="A763" s="18"/>
      <c r="B763" s="14">
        <f>IFERROR(__xludf.DUMMYFUNCTION("""COMPUTED_VALUE"""),626783.0)</f>
        <v>626783</v>
      </c>
      <c r="C763" s="14" t="str">
        <f>IFERROR(__xludf.DUMMYFUNCTION("""COMPUTED_VALUE"""),"胡芸瑄")</f>
        <v>胡芸瑄</v>
      </c>
      <c r="D763" s="16" t="str">
        <f>IFERROR(__xludf.DUMMYFUNCTION("""COMPUTED_VALUE"""),"goo*****6.ntpc@mail.edu.tw")</f>
        <v>goo*****6.ntpc@mail.edu.tw</v>
      </c>
      <c r="E763" s="17" t="str">
        <f>IFERROR(__xludf.DUMMYFUNCTION("""COMPUTED_VALUE"""),"新北市三重區二重國民小學")</f>
        <v>新北市三重區二重國民小學</v>
      </c>
      <c r="F763" s="14" t="str">
        <f>IFERROR(__xludf.DUMMYFUNCTION("""COMPUTED_VALUE"""),"五年級")</f>
        <v>五年級</v>
      </c>
      <c r="G763" s="14" t="str">
        <f>IFERROR(__xludf.DUMMYFUNCTION("""COMPUTED_VALUE"""),"●小禮物")</f>
        <v>●小禮物</v>
      </c>
      <c r="H763" s="8"/>
    </row>
    <row r="764">
      <c r="A764" s="18"/>
      <c r="B764" s="14">
        <f>IFERROR(__xludf.DUMMYFUNCTION("""COMPUTED_VALUE"""),1168558.0)</f>
        <v>1168558</v>
      </c>
      <c r="C764" s="14" t="str">
        <f>IFERROR(__xludf.DUMMYFUNCTION("""COMPUTED_VALUE"""),"符秉原")</f>
        <v>符秉原</v>
      </c>
      <c r="D764" s="16" t="str">
        <f>IFERROR(__xludf.DUMMYFUNCTION("""COMPUTED_VALUE"""),"a80*****ntpc@mail.edu.tw")</f>
        <v>a80*****ntpc@mail.edu.tw</v>
      </c>
      <c r="E764" s="17" t="str">
        <f>IFERROR(__xludf.DUMMYFUNCTION("""COMPUTED_VALUE"""),"新北市三重區二重國民小學")</f>
        <v>新北市三重區二重國民小學</v>
      </c>
      <c r="F764" s="14" t="str">
        <f>IFERROR(__xludf.DUMMYFUNCTION("""COMPUTED_VALUE"""),"五年級")</f>
        <v>五年級</v>
      </c>
      <c r="G764" s="14" t="str">
        <f>IFERROR(__xludf.DUMMYFUNCTION("""COMPUTED_VALUE"""),"●小禮物")</f>
        <v>●小禮物</v>
      </c>
      <c r="H764" s="8"/>
    </row>
    <row r="765">
      <c r="A765" s="18"/>
      <c r="B765" s="14">
        <f>IFERROR(__xludf.DUMMYFUNCTION("""COMPUTED_VALUE"""),1168561.0)</f>
        <v>1168561</v>
      </c>
      <c r="C765" s="14" t="str">
        <f>IFERROR(__xludf.DUMMYFUNCTION("""COMPUTED_VALUE"""),"符秉祐")</f>
        <v>符秉祐</v>
      </c>
      <c r="D765" s="16" t="str">
        <f>IFERROR(__xludf.DUMMYFUNCTION("""COMPUTED_VALUE"""),"a71*****.ntpc@mail.edu.tw")</f>
        <v>a71*****.ntpc@mail.edu.tw</v>
      </c>
      <c r="E765" s="17" t="str">
        <f>IFERROR(__xludf.DUMMYFUNCTION("""COMPUTED_VALUE"""),"新北市三重區二重國民小學")</f>
        <v>新北市三重區二重國民小學</v>
      </c>
      <c r="F765" s="14" t="str">
        <f>IFERROR(__xludf.DUMMYFUNCTION("""COMPUTED_VALUE"""),"五年級")</f>
        <v>五年級</v>
      </c>
      <c r="G765" s="14" t="str">
        <f>IFERROR(__xludf.DUMMYFUNCTION("""COMPUTED_VALUE"""),"●小禮物")</f>
        <v>●小禮物</v>
      </c>
      <c r="H765" s="8"/>
    </row>
    <row r="766">
      <c r="A766" s="18"/>
      <c r="B766" s="14">
        <f>IFERROR(__xludf.DUMMYFUNCTION("""COMPUTED_VALUE"""),684887.0)</f>
        <v>684887</v>
      </c>
      <c r="C766" s="14" t="str">
        <f>IFERROR(__xludf.DUMMYFUNCTION("""COMPUTED_VALUE"""),"許元怡")</f>
        <v>許元怡</v>
      </c>
      <c r="D766" s="16" t="str">
        <f>IFERROR(__xludf.DUMMYFUNCTION("""COMPUTED_VALUE"""),"eli*****8@mail.edu.tw")</f>
        <v>eli*****8@mail.edu.tw</v>
      </c>
      <c r="E766" s="17" t="str">
        <f>IFERROR(__xludf.DUMMYFUNCTION("""COMPUTED_VALUE"""),"新北市三重區二重國民小學")</f>
        <v>新北市三重區二重國民小學</v>
      </c>
      <c r="F766" s="14" t="str">
        <f>IFERROR(__xludf.DUMMYFUNCTION("""COMPUTED_VALUE"""),"五年級")</f>
        <v>五年級</v>
      </c>
      <c r="G766" s="14" t="str">
        <f>IFERROR(__xludf.DUMMYFUNCTION("""COMPUTED_VALUE"""),"●小禮物")</f>
        <v>●小禮物</v>
      </c>
      <c r="H766" s="8"/>
    </row>
    <row r="767">
      <c r="A767" s="18"/>
      <c r="B767" s="14">
        <f>IFERROR(__xludf.DUMMYFUNCTION("""COMPUTED_VALUE"""),1168573.0)</f>
        <v>1168573</v>
      </c>
      <c r="C767" s="14" t="str">
        <f>IFERROR(__xludf.DUMMYFUNCTION("""COMPUTED_VALUE"""),"許馨文")</f>
        <v>許馨文</v>
      </c>
      <c r="D767" s="16" t="str">
        <f>IFERROR(__xludf.DUMMYFUNCTION("""COMPUTED_VALUE"""),"wen*****.ntpc@mail.edu.tw")</f>
        <v>wen*****.ntpc@mail.edu.tw</v>
      </c>
      <c r="E767" s="17" t="str">
        <f>IFERROR(__xludf.DUMMYFUNCTION("""COMPUTED_VALUE"""),"新北市三重區二重國民小學")</f>
        <v>新北市三重區二重國民小學</v>
      </c>
      <c r="F767" s="14" t="str">
        <f>IFERROR(__xludf.DUMMYFUNCTION("""COMPUTED_VALUE"""),"五年級")</f>
        <v>五年級</v>
      </c>
      <c r="G767" s="14" t="str">
        <f>IFERROR(__xludf.DUMMYFUNCTION("""COMPUTED_VALUE"""),"●小禮物")</f>
        <v>●小禮物</v>
      </c>
      <c r="H767" s="8"/>
    </row>
    <row r="768">
      <c r="A768" s="18"/>
      <c r="B768" s="14">
        <f>IFERROR(__xludf.DUMMYFUNCTION("""COMPUTED_VALUE"""),1168571.0)</f>
        <v>1168571</v>
      </c>
      <c r="C768" s="14" t="str">
        <f>IFERROR(__xludf.DUMMYFUNCTION("""COMPUTED_VALUE"""),"黃世銘")</f>
        <v>黃世銘</v>
      </c>
      <c r="D768" s="16" t="str">
        <f>IFERROR(__xludf.DUMMYFUNCTION("""COMPUTED_VALUE"""),"s30*****.ntpc@mail.edu.tw")</f>
        <v>s30*****.ntpc@mail.edu.tw</v>
      </c>
      <c r="E768" s="17" t="str">
        <f>IFERROR(__xludf.DUMMYFUNCTION("""COMPUTED_VALUE"""),"新北市三重區二重國民小學")</f>
        <v>新北市三重區二重國民小學</v>
      </c>
      <c r="F768" s="14" t="str">
        <f>IFERROR(__xludf.DUMMYFUNCTION("""COMPUTED_VALUE"""),"五年級")</f>
        <v>五年級</v>
      </c>
      <c r="G768" s="14" t="str">
        <f>IFERROR(__xludf.DUMMYFUNCTION("""COMPUTED_VALUE"""),"●小禮物")</f>
        <v>●小禮物</v>
      </c>
      <c r="H768" s="8"/>
    </row>
    <row r="769">
      <c r="A769" s="18"/>
      <c r="B769" s="14">
        <f>IFERROR(__xludf.DUMMYFUNCTION("""COMPUTED_VALUE"""),1163890.0)</f>
        <v>1163890</v>
      </c>
      <c r="C769" s="14" t="str">
        <f>IFERROR(__xludf.DUMMYFUNCTION("""COMPUTED_VALUE"""),"蔡昀臻")</f>
        <v>蔡昀臻</v>
      </c>
      <c r="D769" s="16" t="str">
        <f>IFERROR(__xludf.DUMMYFUNCTION("""COMPUTED_VALUE"""),"c30*****tpc@mail.edu.tw")</f>
        <v>c30*****tpc@mail.edu.tw</v>
      </c>
      <c r="E769" s="17" t="str">
        <f>IFERROR(__xludf.DUMMYFUNCTION("""COMPUTED_VALUE"""),"新北市三重區二重國民小學")</f>
        <v>新北市三重區二重國民小學</v>
      </c>
      <c r="F769" s="14" t="str">
        <f>IFERROR(__xludf.DUMMYFUNCTION("""COMPUTED_VALUE"""),"五年級")</f>
        <v>五年級</v>
      </c>
      <c r="G769" s="14" t="str">
        <f>IFERROR(__xludf.DUMMYFUNCTION("""COMPUTED_VALUE"""),"●小禮物")</f>
        <v>●小禮物</v>
      </c>
      <c r="H769" s="8"/>
    </row>
    <row r="770">
      <c r="A770" s="18"/>
      <c r="B770" s="14">
        <f>IFERROR(__xludf.DUMMYFUNCTION("""COMPUTED_VALUE"""),1168570.0)</f>
        <v>1168570</v>
      </c>
      <c r="C770" s="14" t="str">
        <f>IFERROR(__xludf.DUMMYFUNCTION("""COMPUTED_VALUE"""),"鄭景洋")</f>
        <v>鄭景洋</v>
      </c>
      <c r="D770" s="16" t="str">
        <f>IFERROR(__xludf.DUMMYFUNCTION("""COMPUTED_VALUE"""),"goo*****1.ntpc@mail.edu.tw")</f>
        <v>goo*****1.ntpc@mail.edu.tw</v>
      </c>
      <c r="E770" s="17" t="str">
        <f>IFERROR(__xludf.DUMMYFUNCTION("""COMPUTED_VALUE"""),"新北市三重區二重國民小學")</f>
        <v>新北市三重區二重國民小學</v>
      </c>
      <c r="F770" s="14" t="str">
        <f>IFERROR(__xludf.DUMMYFUNCTION("""COMPUTED_VALUE"""),"五年級")</f>
        <v>五年級</v>
      </c>
      <c r="G770" s="14" t="str">
        <f>IFERROR(__xludf.DUMMYFUNCTION("""COMPUTED_VALUE"""),"●小禮物")</f>
        <v>●小禮物</v>
      </c>
      <c r="H770" s="8"/>
    </row>
    <row r="771">
      <c r="A771" s="18"/>
      <c r="B771" s="14">
        <f>IFERROR(__xludf.DUMMYFUNCTION("""COMPUTED_VALUE"""),977434.0)</f>
        <v>977434</v>
      </c>
      <c r="C771" s="14" t="str">
        <f>IFERROR(__xludf.DUMMYFUNCTION("""COMPUTED_VALUE"""),"王韻嫙")</f>
        <v>王韻嫙</v>
      </c>
      <c r="D771" s="16" t="str">
        <f>IFERROR(__xludf.DUMMYFUNCTION("""COMPUTED_VALUE"""),"ann*****.ntpc@mail.edu.tw")</f>
        <v>ann*****.ntpc@mail.edu.tw</v>
      </c>
      <c r="E771" s="17" t="str">
        <f>IFERROR(__xludf.DUMMYFUNCTION("""COMPUTED_VALUE"""),"新北市三重區二重國民小學")</f>
        <v>新北市三重區二重國民小學</v>
      </c>
      <c r="F771" s="14" t="str">
        <f>IFERROR(__xludf.DUMMYFUNCTION("""COMPUTED_VALUE"""),"五年級")</f>
        <v>五年級</v>
      </c>
      <c r="G771" s="14" t="str">
        <f>IFERROR(__xludf.DUMMYFUNCTION("""COMPUTED_VALUE"""),"獎狀")</f>
        <v>獎狀</v>
      </c>
      <c r="H771" s="8"/>
    </row>
    <row r="772">
      <c r="A772" s="18"/>
      <c r="B772" s="14">
        <f>IFERROR(__xludf.DUMMYFUNCTION("""COMPUTED_VALUE"""),1154688.0)</f>
        <v>1154688</v>
      </c>
      <c r="C772" s="14" t="str">
        <f>IFERROR(__xludf.DUMMYFUNCTION("""COMPUTED_VALUE"""),"江禹靚")</f>
        <v>江禹靚</v>
      </c>
      <c r="D772" s="16" t="str">
        <f>IFERROR(__xludf.DUMMYFUNCTION("""COMPUTED_VALUE"""),"f22*****tpc@mail.edu.tw")</f>
        <v>f22*****tpc@mail.edu.tw</v>
      </c>
      <c r="E772" s="17" t="str">
        <f>IFERROR(__xludf.DUMMYFUNCTION("""COMPUTED_VALUE"""),"新北市三重區二重國民小學")</f>
        <v>新北市三重區二重國民小學</v>
      </c>
      <c r="F772" s="14" t="str">
        <f>IFERROR(__xludf.DUMMYFUNCTION("""COMPUTED_VALUE"""),"五年級")</f>
        <v>五年級</v>
      </c>
      <c r="G772" s="14" t="str">
        <f>IFERROR(__xludf.DUMMYFUNCTION("""COMPUTED_VALUE"""),"獎狀")</f>
        <v>獎狀</v>
      </c>
      <c r="H772" s="8"/>
    </row>
    <row r="773">
      <c r="A773" s="18"/>
      <c r="B773" s="14">
        <f>IFERROR(__xludf.DUMMYFUNCTION("""COMPUTED_VALUE"""),1168557.0)</f>
        <v>1168557</v>
      </c>
      <c r="C773" s="14" t="str">
        <f>IFERROR(__xludf.DUMMYFUNCTION("""COMPUTED_VALUE"""),"吳依倢")</f>
        <v>吳依倢</v>
      </c>
      <c r="D773" s="16" t="str">
        <f>IFERROR(__xludf.DUMMYFUNCTION("""COMPUTED_VALUE"""),"goo*****5.ntpc@mail.edu.tw")</f>
        <v>goo*****5.ntpc@mail.edu.tw</v>
      </c>
      <c r="E773" s="17" t="str">
        <f>IFERROR(__xludf.DUMMYFUNCTION("""COMPUTED_VALUE"""),"新北市三重區二重國民小學")</f>
        <v>新北市三重區二重國民小學</v>
      </c>
      <c r="F773" s="14" t="str">
        <f>IFERROR(__xludf.DUMMYFUNCTION("""COMPUTED_VALUE"""),"五年級")</f>
        <v>五年級</v>
      </c>
      <c r="G773" s="14" t="str">
        <f>IFERROR(__xludf.DUMMYFUNCTION("""COMPUTED_VALUE"""),"獎狀")</f>
        <v>獎狀</v>
      </c>
      <c r="H773" s="8"/>
    </row>
    <row r="774">
      <c r="A774" s="18"/>
      <c r="B774" s="14">
        <f>IFERROR(__xludf.DUMMYFUNCTION("""COMPUTED_VALUE"""),1155529.0)</f>
        <v>1155529</v>
      </c>
      <c r="C774" s="14" t="str">
        <f>IFERROR(__xludf.DUMMYFUNCTION("""COMPUTED_VALUE"""),"李冠毅")</f>
        <v>李冠毅</v>
      </c>
      <c r="D774" s="16" t="str">
        <f>IFERROR(__xludf.DUMMYFUNCTION("""COMPUTED_VALUE"""),"a20*****tpc@mail.edu.tw")</f>
        <v>a20*****tpc@mail.edu.tw</v>
      </c>
      <c r="E774" s="17" t="str">
        <f>IFERROR(__xludf.DUMMYFUNCTION("""COMPUTED_VALUE"""),"新北市三重區二重國民小學")</f>
        <v>新北市三重區二重國民小學</v>
      </c>
      <c r="F774" s="14" t="str">
        <f>IFERROR(__xludf.DUMMYFUNCTION("""COMPUTED_VALUE"""),"五年級")</f>
        <v>五年級</v>
      </c>
      <c r="G774" s="14" t="str">
        <f>IFERROR(__xludf.DUMMYFUNCTION("""COMPUTED_VALUE"""),"獎狀")</f>
        <v>獎狀</v>
      </c>
      <c r="H774" s="8"/>
    </row>
    <row r="775">
      <c r="A775" s="18"/>
      <c r="B775" s="14">
        <f>IFERROR(__xludf.DUMMYFUNCTION("""COMPUTED_VALUE"""),1168565.0)</f>
        <v>1168565</v>
      </c>
      <c r="C775" s="14" t="str">
        <f>IFERROR(__xludf.DUMMYFUNCTION("""COMPUTED_VALUE"""),"李苡瑄")</f>
        <v>李苡瑄</v>
      </c>
      <c r="D775" s="16" t="str">
        <f>IFERROR(__xludf.DUMMYFUNCTION("""COMPUTED_VALUE"""),"a20*****tpc@mail.edu.tw")</f>
        <v>a20*****tpc@mail.edu.tw</v>
      </c>
      <c r="E775" s="17" t="str">
        <f>IFERROR(__xludf.DUMMYFUNCTION("""COMPUTED_VALUE"""),"新北市三重區二重國民小學")</f>
        <v>新北市三重區二重國民小學</v>
      </c>
      <c r="F775" s="14" t="str">
        <f>IFERROR(__xludf.DUMMYFUNCTION("""COMPUTED_VALUE"""),"五年級")</f>
        <v>五年級</v>
      </c>
      <c r="G775" s="14" t="str">
        <f>IFERROR(__xludf.DUMMYFUNCTION("""COMPUTED_VALUE"""),"獎狀")</f>
        <v>獎狀</v>
      </c>
      <c r="H775" s="8"/>
    </row>
    <row r="776">
      <c r="A776" s="18"/>
      <c r="B776" s="14">
        <f>IFERROR(__xludf.DUMMYFUNCTION("""COMPUTED_VALUE"""),1168567.0)</f>
        <v>1168567</v>
      </c>
      <c r="C776" s="14" t="str">
        <f>IFERROR(__xludf.DUMMYFUNCTION("""COMPUTED_VALUE"""),"周星廷")</f>
        <v>周星廷</v>
      </c>
      <c r="D776" s="16" t="str">
        <f>IFERROR(__xludf.DUMMYFUNCTION("""COMPUTED_VALUE"""),"bhe*****39.ntpc@mail.edu.tw")</f>
        <v>bhe*****39.ntpc@mail.edu.tw</v>
      </c>
      <c r="E776" s="17" t="str">
        <f>IFERROR(__xludf.DUMMYFUNCTION("""COMPUTED_VALUE"""),"新北市三重區二重國民小學")</f>
        <v>新北市三重區二重國民小學</v>
      </c>
      <c r="F776" s="14" t="str">
        <f>IFERROR(__xludf.DUMMYFUNCTION("""COMPUTED_VALUE"""),"五年級")</f>
        <v>五年級</v>
      </c>
      <c r="G776" s="14" t="str">
        <f>IFERROR(__xludf.DUMMYFUNCTION("""COMPUTED_VALUE"""),"獎狀")</f>
        <v>獎狀</v>
      </c>
      <c r="H776" s="8"/>
    </row>
    <row r="777">
      <c r="A777" s="18"/>
      <c r="B777" s="14">
        <f>IFERROR(__xludf.DUMMYFUNCTION("""COMPUTED_VALUE"""),1168559.0)</f>
        <v>1168559</v>
      </c>
      <c r="C777" s="14" t="str">
        <f>IFERROR(__xludf.DUMMYFUNCTION("""COMPUTED_VALUE"""),"林秉毅")</f>
        <v>林秉毅</v>
      </c>
      <c r="D777" s="16" t="str">
        <f>IFERROR(__xludf.DUMMYFUNCTION("""COMPUTED_VALUE"""),"c30*****tpc@mail.edu.tw")</f>
        <v>c30*****tpc@mail.edu.tw</v>
      </c>
      <c r="E777" s="17" t="str">
        <f>IFERROR(__xludf.DUMMYFUNCTION("""COMPUTED_VALUE"""),"新北市三重區二重國民小學")</f>
        <v>新北市三重區二重國民小學</v>
      </c>
      <c r="F777" s="14" t="str">
        <f>IFERROR(__xludf.DUMMYFUNCTION("""COMPUTED_VALUE"""),"五年級")</f>
        <v>五年級</v>
      </c>
      <c r="G777" s="14" t="str">
        <f>IFERROR(__xludf.DUMMYFUNCTION("""COMPUTED_VALUE"""),"獎狀")</f>
        <v>獎狀</v>
      </c>
      <c r="H777" s="8"/>
    </row>
    <row r="778">
      <c r="A778" s="18"/>
      <c r="B778" s="14">
        <f>IFERROR(__xludf.DUMMYFUNCTION("""COMPUTED_VALUE"""),1168574.0)</f>
        <v>1168574</v>
      </c>
      <c r="C778" s="14" t="str">
        <f>IFERROR(__xludf.DUMMYFUNCTION("""COMPUTED_VALUE"""),"林詩庭")</f>
        <v>林詩庭</v>
      </c>
      <c r="D778" s="16" t="str">
        <f>IFERROR(__xludf.DUMMYFUNCTION("""COMPUTED_VALUE"""),"s30*****.ntpc@mail.edu.tw")</f>
        <v>s30*****.ntpc@mail.edu.tw</v>
      </c>
      <c r="E778" s="17" t="str">
        <f>IFERROR(__xludf.DUMMYFUNCTION("""COMPUTED_VALUE"""),"新北市三重區二重國民小學")</f>
        <v>新北市三重區二重國民小學</v>
      </c>
      <c r="F778" s="14" t="str">
        <f>IFERROR(__xludf.DUMMYFUNCTION("""COMPUTED_VALUE"""),"五年級")</f>
        <v>五年級</v>
      </c>
      <c r="G778" s="14" t="str">
        <f>IFERROR(__xludf.DUMMYFUNCTION("""COMPUTED_VALUE"""),"獎狀")</f>
        <v>獎狀</v>
      </c>
      <c r="H778" s="8"/>
    </row>
    <row r="779">
      <c r="A779" s="18"/>
      <c r="B779" s="14">
        <f>IFERROR(__xludf.DUMMYFUNCTION("""COMPUTED_VALUE"""),1168556.0)</f>
        <v>1168556</v>
      </c>
      <c r="C779" s="14" t="str">
        <f>IFERROR(__xludf.DUMMYFUNCTION("""COMPUTED_VALUE"""),"郭芷欣")</f>
        <v>郭芷欣</v>
      </c>
      <c r="D779" s="16" t="str">
        <f>IFERROR(__xludf.DUMMYFUNCTION("""COMPUTED_VALUE"""),"a20*****ail.edu.tw")</f>
        <v>a20*****ail.edu.tw</v>
      </c>
      <c r="E779" s="17" t="str">
        <f>IFERROR(__xludf.DUMMYFUNCTION("""COMPUTED_VALUE"""),"新北市三重區二重國民小學")</f>
        <v>新北市三重區二重國民小學</v>
      </c>
      <c r="F779" s="14" t="str">
        <f>IFERROR(__xludf.DUMMYFUNCTION("""COMPUTED_VALUE"""),"五年級")</f>
        <v>五年級</v>
      </c>
      <c r="G779" s="14" t="str">
        <f>IFERROR(__xludf.DUMMYFUNCTION("""COMPUTED_VALUE"""),"獎狀")</f>
        <v>獎狀</v>
      </c>
      <c r="H779" s="8"/>
    </row>
    <row r="780">
      <c r="A780" s="18"/>
      <c r="B780" s="14">
        <f>IFERROR(__xludf.DUMMYFUNCTION("""COMPUTED_VALUE"""),1168575.0)</f>
        <v>1168575</v>
      </c>
      <c r="C780" s="14" t="str">
        <f>IFERROR(__xludf.DUMMYFUNCTION("""COMPUTED_VALUE"""),"陳蕾安")</f>
        <v>陳蕾安</v>
      </c>
      <c r="D780" s="16" t="str">
        <f>IFERROR(__xludf.DUMMYFUNCTION("""COMPUTED_VALUE"""),"goo*****4.ntpc@mail.edu.tw")</f>
        <v>goo*****4.ntpc@mail.edu.tw</v>
      </c>
      <c r="E780" s="17" t="str">
        <f>IFERROR(__xludf.DUMMYFUNCTION("""COMPUTED_VALUE"""),"新北市三重區二重國民小學")</f>
        <v>新北市三重區二重國民小學</v>
      </c>
      <c r="F780" s="14" t="str">
        <f>IFERROR(__xludf.DUMMYFUNCTION("""COMPUTED_VALUE"""),"五年級")</f>
        <v>五年級</v>
      </c>
      <c r="G780" s="14" t="str">
        <f>IFERROR(__xludf.DUMMYFUNCTION("""COMPUTED_VALUE"""),"獎狀")</f>
        <v>獎狀</v>
      </c>
      <c r="H780" s="8"/>
    </row>
    <row r="781">
      <c r="A781" s="18"/>
      <c r="B781" s="14">
        <f>IFERROR(__xludf.DUMMYFUNCTION("""COMPUTED_VALUE"""),1168564.0)</f>
        <v>1168564</v>
      </c>
      <c r="C781" s="14" t="str">
        <f>IFERROR(__xludf.DUMMYFUNCTION("""COMPUTED_VALUE"""),"廖珈陞")</f>
        <v>廖珈陞</v>
      </c>
      <c r="D781" s="16" t="str">
        <f>IFERROR(__xludf.DUMMYFUNCTION("""COMPUTED_VALUE"""),"c30*****tpc@mail.edu.tw")</f>
        <v>c30*****tpc@mail.edu.tw</v>
      </c>
      <c r="E781" s="17" t="str">
        <f>IFERROR(__xludf.DUMMYFUNCTION("""COMPUTED_VALUE"""),"新北市三重區二重國民小學")</f>
        <v>新北市三重區二重國民小學</v>
      </c>
      <c r="F781" s="14" t="str">
        <f>IFERROR(__xludf.DUMMYFUNCTION("""COMPUTED_VALUE"""),"五年級")</f>
        <v>五年級</v>
      </c>
      <c r="G781" s="14" t="str">
        <f>IFERROR(__xludf.DUMMYFUNCTION("""COMPUTED_VALUE"""),"獎狀")</f>
        <v>獎狀</v>
      </c>
      <c r="H781" s="8"/>
    </row>
    <row r="782">
      <c r="A782" s="18"/>
      <c r="B782" s="14">
        <f>IFERROR(__xludf.DUMMYFUNCTION("""COMPUTED_VALUE"""),1168560.0)</f>
        <v>1168560</v>
      </c>
      <c r="C782" s="14" t="str">
        <f>IFERROR(__xludf.DUMMYFUNCTION("""COMPUTED_VALUE"""),"蕭妤臻")</f>
        <v>蕭妤臻</v>
      </c>
      <c r="D782" s="16" t="str">
        <f>IFERROR(__xludf.DUMMYFUNCTION("""COMPUTED_VALUE"""),"a20*****tpc@mail.edu.tw")</f>
        <v>a20*****tpc@mail.edu.tw</v>
      </c>
      <c r="E782" s="17" t="str">
        <f>IFERROR(__xludf.DUMMYFUNCTION("""COMPUTED_VALUE"""),"新北市三重區二重國民小學")</f>
        <v>新北市三重區二重國民小學</v>
      </c>
      <c r="F782" s="14" t="str">
        <f>IFERROR(__xludf.DUMMYFUNCTION("""COMPUTED_VALUE"""),"五年級")</f>
        <v>五年級</v>
      </c>
      <c r="G782" s="14" t="str">
        <f>IFERROR(__xludf.DUMMYFUNCTION("""COMPUTED_VALUE"""),"獎狀")</f>
        <v>獎狀</v>
      </c>
      <c r="H782" s="8"/>
    </row>
    <row r="783">
      <c r="A783" s="18"/>
      <c r="B783" s="14">
        <f>IFERROR(__xludf.DUMMYFUNCTION("""COMPUTED_VALUE"""),1109112.0)</f>
        <v>1109112</v>
      </c>
      <c r="C783" s="14" t="str">
        <f>IFERROR(__xludf.DUMMYFUNCTION("""COMPUTED_VALUE"""),"謝承珅")</f>
        <v>謝承珅</v>
      </c>
      <c r="D783" s="16" t="str">
        <f>IFERROR(__xludf.DUMMYFUNCTION("""COMPUTED_VALUE"""),"c30*****tpc@mail.edu.tw")</f>
        <v>c30*****tpc@mail.edu.tw</v>
      </c>
      <c r="E783" s="17" t="str">
        <f>IFERROR(__xludf.DUMMYFUNCTION("""COMPUTED_VALUE"""),"新北市三重區二重國民小學")</f>
        <v>新北市三重區二重國民小學</v>
      </c>
      <c r="F783" s="14" t="str">
        <f>IFERROR(__xludf.DUMMYFUNCTION("""COMPUTED_VALUE"""),"五年級")</f>
        <v>五年級</v>
      </c>
      <c r="G783" s="14" t="str">
        <f>IFERROR(__xludf.DUMMYFUNCTION("""COMPUTED_VALUE"""),"獎狀")</f>
        <v>獎狀</v>
      </c>
      <c r="H783" s="8"/>
    </row>
    <row r="784">
      <c r="A784" s="18"/>
      <c r="B784" s="14">
        <f>IFERROR(__xludf.DUMMYFUNCTION("""COMPUTED_VALUE"""),1026946.0)</f>
        <v>1026946</v>
      </c>
      <c r="C784" s="14" t="str">
        <f>IFERROR(__xludf.DUMMYFUNCTION("""COMPUTED_VALUE"""),"林子軒")</f>
        <v>林子軒</v>
      </c>
      <c r="D784" s="16" t="str">
        <f>IFERROR(__xludf.DUMMYFUNCTION("""COMPUTED_VALUE"""),"z10*****ntpc@mail.edu.tw")</f>
        <v>z10*****ntpc@mail.edu.tw</v>
      </c>
      <c r="E784" s="17" t="str">
        <f>IFERROR(__xludf.DUMMYFUNCTION("""COMPUTED_VALUE"""),"新北市三重區三重國民小學")</f>
        <v>新北市三重區三重國民小學</v>
      </c>
      <c r="F784" s="14" t="str">
        <f>IFERROR(__xludf.DUMMYFUNCTION("""COMPUTED_VALUE"""),"四年級")</f>
        <v>四年級</v>
      </c>
      <c r="G784" s="14" t="str">
        <f>IFERROR(__xludf.DUMMYFUNCTION("""COMPUTED_VALUE"""),"獎狀")</f>
        <v>獎狀</v>
      </c>
      <c r="H784" s="8"/>
    </row>
    <row r="785">
      <c r="A785" s="18"/>
      <c r="B785" s="14">
        <f>IFERROR(__xludf.DUMMYFUNCTION("""COMPUTED_VALUE"""),1172584.0)</f>
        <v>1172584</v>
      </c>
      <c r="C785" s="14" t="str">
        <f>IFERROR(__xludf.DUMMYFUNCTION("""COMPUTED_VALUE"""),"李曉汨")</f>
        <v>李曉汨</v>
      </c>
      <c r="D785" s="16" t="str">
        <f>IFERROR(__xludf.DUMMYFUNCTION("""COMPUTED_VALUE"""),"z10*****ntpc@mail.edu.tw")</f>
        <v>z10*****ntpc@mail.edu.tw</v>
      </c>
      <c r="E785" s="17" t="str">
        <f>IFERROR(__xludf.DUMMYFUNCTION("""COMPUTED_VALUE"""),"新北市三重區三重國民小學")</f>
        <v>新北市三重區三重國民小學</v>
      </c>
      <c r="F785" s="14" t="str">
        <f>IFERROR(__xludf.DUMMYFUNCTION("""COMPUTED_VALUE"""),"四年級")</f>
        <v>四年級</v>
      </c>
      <c r="G785" s="14" t="str">
        <f>IFERROR(__xludf.DUMMYFUNCTION("""COMPUTED_VALUE"""),"●小禮物")</f>
        <v>●小禮物</v>
      </c>
      <c r="H785" s="8"/>
    </row>
    <row r="786">
      <c r="A786" s="18"/>
      <c r="B786" s="14">
        <f>IFERROR(__xludf.DUMMYFUNCTION("""COMPUTED_VALUE"""),347604.0)</f>
        <v>347604</v>
      </c>
      <c r="C786" s="14" t="str">
        <f>IFERROR(__xludf.DUMMYFUNCTION("""COMPUTED_VALUE"""),"陳柏旭")</f>
        <v>陳柏旭</v>
      </c>
      <c r="D786" s="16" t="str">
        <f>IFERROR(__xludf.DUMMYFUNCTION("""COMPUTED_VALUE"""),"box*****.ntpc@mail.edu.tw")</f>
        <v>box*****.ntpc@mail.edu.tw</v>
      </c>
      <c r="E786" s="17" t="str">
        <f>IFERROR(__xludf.DUMMYFUNCTION("""COMPUTED_VALUE"""),"新北市三重區重陽國民小學")</f>
        <v>新北市三重區重陽國民小學</v>
      </c>
      <c r="F786" s="14" t="str">
        <f>IFERROR(__xludf.DUMMYFUNCTION("""COMPUTED_VALUE"""),"五年級")</f>
        <v>五年級</v>
      </c>
      <c r="G786" s="14" t="str">
        <f>IFERROR(__xludf.DUMMYFUNCTION("""COMPUTED_VALUE"""),"獎狀")</f>
        <v>獎狀</v>
      </c>
      <c r="H786" s="8"/>
    </row>
    <row r="787">
      <c r="A787" s="18"/>
      <c r="B787" s="14">
        <f>IFERROR(__xludf.DUMMYFUNCTION("""COMPUTED_VALUE"""),176945.0)</f>
        <v>176945</v>
      </c>
      <c r="C787" s="14" t="str">
        <f>IFERROR(__xludf.DUMMYFUNCTION("""COMPUTED_VALUE"""),"林勁丞")</f>
        <v>林勁丞</v>
      </c>
      <c r="D787" s="16" t="str">
        <f>IFERROR(__xludf.DUMMYFUNCTION("""COMPUTED_VALUE"""),"dai*****iball@gmail.com")</f>
        <v>dai*****iball@gmail.com</v>
      </c>
      <c r="E787" s="17" t="str">
        <f>IFERROR(__xludf.DUMMYFUNCTION("""COMPUTED_VALUE"""),"新北市三重區重陽國民小學")</f>
        <v>新北市三重區重陽國民小學</v>
      </c>
      <c r="F787" s="14" t="str">
        <f>IFERROR(__xludf.DUMMYFUNCTION("""COMPUTED_VALUE"""),"五年級")</f>
        <v>五年級</v>
      </c>
      <c r="G787" s="14" t="str">
        <f>IFERROR(__xludf.DUMMYFUNCTION("""COMPUTED_VALUE"""),"獎狀")</f>
        <v>獎狀</v>
      </c>
      <c r="H787" s="8"/>
    </row>
    <row r="788">
      <c r="A788" s="18"/>
      <c r="B788" s="14">
        <f>IFERROR(__xludf.DUMMYFUNCTION("""COMPUTED_VALUE"""),421080.0)</f>
        <v>421080</v>
      </c>
      <c r="C788" s="14" t="str">
        <f>IFERROR(__xludf.DUMMYFUNCTION("""COMPUTED_VALUE"""),"陳姵妡")</f>
        <v>陳姵妡</v>
      </c>
      <c r="D788" s="16" t="str">
        <f>IFERROR(__xludf.DUMMYFUNCTION("""COMPUTED_VALUE"""),"pat*****28.ntpc@mail.edu.tw")</f>
        <v>pat*****28.ntpc@mail.edu.tw</v>
      </c>
      <c r="E788" s="17" t="str">
        <f>IFERROR(__xludf.DUMMYFUNCTION("""COMPUTED_VALUE"""),"新北市三重區重陽國民小學")</f>
        <v>新北市三重區重陽國民小學</v>
      </c>
      <c r="F788" s="14" t="str">
        <f>IFERROR(__xludf.DUMMYFUNCTION("""COMPUTED_VALUE"""),"六年級")</f>
        <v>六年級</v>
      </c>
      <c r="G788" s="14" t="str">
        <f>IFERROR(__xludf.DUMMYFUNCTION("""COMPUTED_VALUE"""),"★禮券$200")</f>
        <v>★禮券$200</v>
      </c>
      <c r="H788" s="8"/>
    </row>
    <row r="789">
      <c r="A789" s="18"/>
      <c r="B789" s="14">
        <f>IFERROR(__xludf.DUMMYFUNCTION("""COMPUTED_VALUE"""),898237.0)</f>
        <v>898237</v>
      </c>
      <c r="C789" s="14" t="str">
        <f>IFERROR(__xludf.DUMMYFUNCTION("""COMPUTED_VALUE"""),"曾亭頤")</f>
        <v>曾亭頤</v>
      </c>
      <c r="D789" s="16" t="str">
        <f>IFERROR(__xludf.DUMMYFUNCTION("""COMPUTED_VALUE"""),"ell*****205@apps.ntpc.edu.tw")</f>
        <v>ell*****205@apps.ntpc.edu.tw</v>
      </c>
      <c r="E789" s="17" t="str">
        <f>IFERROR(__xludf.DUMMYFUNCTION("""COMPUTED_VALUE"""),"新北市三重區重陽國民小學")</f>
        <v>新北市三重區重陽國民小學</v>
      </c>
      <c r="F789" s="14" t="str">
        <f>IFERROR(__xludf.DUMMYFUNCTION("""COMPUTED_VALUE"""),"六年級")</f>
        <v>六年級</v>
      </c>
      <c r="G789" s="14" t="str">
        <f>IFERROR(__xludf.DUMMYFUNCTION("""COMPUTED_VALUE"""),"●小禮物")</f>
        <v>●小禮物</v>
      </c>
      <c r="H789" s="8"/>
    </row>
    <row r="790">
      <c r="A790" s="18"/>
      <c r="B790" s="14">
        <f>IFERROR(__xludf.DUMMYFUNCTION("""COMPUTED_VALUE"""),423035.0)</f>
        <v>423035</v>
      </c>
      <c r="C790" s="14" t="str">
        <f>IFERROR(__xludf.DUMMYFUNCTION("""COMPUTED_VALUE"""),"高宥哲")</f>
        <v>高宥哲</v>
      </c>
      <c r="D790" s="16" t="str">
        <f>IFERROR(__xludf.DUMMYFUNCTION("""COMPUTED_VALUE"""),"jas*****701.ntpc@mail.edu.tw")</f>
        <v>jas*****701.ntpc@mail.edu.tw</v>
      </c>
      <c r="E790" s="17" t="str">
        <f>IFERROR(__xludf.DUMMYFUNCTION("""COMPUTED_VALUE"""),"新北市三重區重陽國民小學")</f>
        <v>新北市三重區重陽國民小學</v>
      </c>
      <c r="F790" s="14" t="str">
        <f>IFERROR(__xludf.DUMMYFUNCTION("""COMPUTED_VALUE"""),"六年級")</f>
        <v>六年級</v>
      </c>
      <c r="G790" s="14" t="str">
        <f>IFERROR(__xludf.DUMMYFUNCTION("""COMPUTED_VALUE"""),"獎狀")</f>
        <v>獎狀</v>
      </c>
      <c r="H790" s="8"/>
    </row>
    <row r="791">
      <c r="A791" s="18"/>
      <c r="B791" s="14">
        <f>IFERROR(__xludf.DUMMYFUNCTION("""COMPUTED_VALUE"""),421201.0)</f>
        <v>421201</v>
      </c>
      <c r="C791" s="14" t="str">
        <f>IFERROR(__xludf.DUMMYFUNCTION("""COMPUTED_VALUE"""),"蔣佩諭")</f>
        <v>蔣佩諭</v>
      </c>
      <c r="D791" s="16" t="str">
        <f>IFERROR(__xludf.DUMMYFUNCTION("""COMPUTED_VALUE"""),"peg*****0705.ntpc@mail.edu.tw")</f>
        <v>peg*****0705.ntpc@mail.edu.tw</v>
      </c>
      <c r="E791" s="17" t="str">
        <f>IFERROR(__xludf.DUMMYFUNCTION("""COMPUTED_VALUE"""),"新北市三重區重陽國民小學")</f>
        <v>新北市三重區重陽國民小學</v>
      </c>
      <c r="F791" s="14" t="str">
        <f>IFERROR(__xludf.DUMMYFUNCTION("""COMPUTED_VALUE"""),"六年級")</f>
        <v>六年級</v>
      </c>
      <c r="G791" s="14" t="str">
        <f>IFERROR(__xludf.DUMMYFUNCTION("""COMPUTED_VALUE"""),"獎狀")</f>
        <v>獎狀</v>
      </c>
      <c r="H791" s="8"/>
    </row>
    <row r="792">
      <c r="A792" s="18"/>
      <c r="B792" s="14">
        <f>IFERROR(__xludf.DUMMYFUNCTION("""COMPUTED_VALUE"""),422482.0)</f>
        <v>422482</v>
      </c>
      <c r="C792" s="14" t="str">
        <f>IFERROR(__xludf.DUMMYFUNCTION("""COMPUTED_VALUE"""),"賴明賢")</f>
        <v>賴明賢</v>
      </c>
      <c r="D792" s="16" t="str">
        <f>IFERROR(__xludf.DUMMYFUNCTION("""COMPUTED_VALUE"""),"joh*****31.ntpc@mail.edu.tw")</f>
        <v>joh*****31.ntpc@mail.edu.tw</v>
      </c>
      <c r="E792" s="17" t="str">
        <f>IFERROR(__xludf.DUMMYFUNCTION("""COMPUTED_VALUE"""),"新北市三重區重陽國民小學")</f>
        <v>新北市三重區重陽國民小學</v>
      </c>
      <c r="F792" s="14" t="str">
        <f>IFERROR(__xludf.DUMMYFUNCTION("""COMPUTED_VALUE"""),"六年級")</f>
        <v>六年級</v>
      </c>
      <c r="G792" s="14" t="str">
        <f>IFERROR(__xludf.DUMMYFUNCTION("""COMPUTED_VALUE"""),"●小禮物")</f>
        <v>●小禮物</v>
      </c>
      <c r="H792" s="8"/>
    </row>
    <row r="793">
      <c r="A793" s="18"/>
      <c r="B793" s="14">
        <f>IFERROR(__xludf.DUMMYFUNCTION("""COMPUTED_VALUE"""),1159449.0)</f>
        <v>1159449</v>
      </c>
      <c r="C793" s="14" t="str">
        <f>IFERROR(__xludf.DUMMYFUNCTION("""COMPUTED_VALUE"""),"陳恩頡")</f>
        <v>陳恩頡</v>
      </c>
      <c r="D793" s="16" t="str">
        <f>IFERROR(__xludf.DUMMYFUNCTION("""COMPUTED_VALUE"""),"s92*****@gmail.com")</f>
        <v>s92*****@gmail.com</v>
      </c>
      <c r="E793" s="17" t="str">
        <f>IFERROR(__xludf.DUMMYFUNCTION("""COMPUTED_VALUE"""),"新北市三重區碧華國民小學")</f>
        <v>新北市三重區碧華國民小學</v>
      </c>
      <c r="F793" s="14" t="str">
        <f>IFERROR(__xludf.DUMMYFUNCTION("""COMPUTED_VALUE"""),"五年級")</f>
        <v>五年級</v>
      </c>
      <c r="G793" s="14" t="str">
        <f>IFERROR(__xludf.DUMMYFUNCTION("""COMPUTED_VALUE"""),"●小禮物")</f>
        <v>●小禮物</v>
      </c>
      <c r="H793" s="8"/>
    </row>
    <row r="794">
      <c r="A794" s="18"/>
      <c r="B794" s="14">
        <f>IFERROR(__xludf.DUMMYFUNCTION("""COMPUTED_VALUE"""),1092150.0)</f>
        <v>1092150</v>
      </c>
      <c r="C794" s="14" t="str">
        <f>IFERROR(__xludf.DUMMYFUNCTION("""COMPUTED_VALUE"""),"黃渝涵")</f>
        <v>黃渝涵</v>
      </c>
      <c r="D794" s="16" t="str">
        <f>IFERROR(__xludf.DUMMYFUNCTION("""COMPUTED_VALUE"""),"bhe*****96.ntpc@mail.edu.tw")</f>
        <v>bhe*****96.ntpc@mail.edu.tw</v>
      </c>
      <c r="E794" s="17" t="str">
        <f>IFERROR(__xludf.DUMMYFUNCTION("""COMPUTED_VALUE"""),"新北市三重區碧華國民小學")</f>
        <v>新北市三重區碧華國民小學</v>
      </c>
      <c r="F794" s="14" t="str">
        <f>IFERROR(__xludf.DUMMYFUNCTION("""COMPUTED_VALUE"""),"五年級")</f>
        <v>五年級</v>
      </c>
      <c r="G794" s="14" t="str">
        <f>IFERROR(__xludf.DUMMYFUNCTION("""COMPUTED_VALUE"""),"★禮券$500")</f>
        <v>★禮券$500</v>
      </c>
      <c r="H794" s="8"/>
    </row>
    <row r="795">
      <c r="A795" s="18"/>
      <c r="B795" s="14">
        <f>IFERROR(__xludf.DUMMYFUNCTION("""COMPUTED_VALUE"""),565040.0)</f>
        <v>565040</v>
      </c>
      <c r="C795" s="14" t="str">
        <f>IFERROR(__xludf.DUMMYFUNCTION("""COMPUTED_VALUE"""),"吳晏瑜")</f>
        <v>吳晏瑜</v>
      </c>
      <c r="D795" s="16" t="str">
        <f>IFERROR(__xludf.DUMMYFUNCTION("""COMPUTED_VALUE"""),"bhe*****27.ntpc@mail.edu.tw")</f>
        <v>bhe*****27.ntpc@mail.edu.tw</v>
      </c>
      <c r="E795" s="17" t="str">
        <f>IFERROR(__xludf.DUMMYFUNCTION("""COMPUTED_VALUE"""),"新北市三重區碧華國民小學")</f>
        <v>新北市三重區碧華國民小學</v>
      </c>
      <c r="F795" s="14" t="str">
        <f>IFERROR(__xludf.DUMMYFUNCTION("""COMPUTED_VALUE"""),"六年級")</f>
        <v>六年級</v>
      </c>
      <c r="G795" s="14" t="str">
        <f>IFERROR(__xludf.DUMMYFUNCTION("""COMPUTED_VALUE"""),"獎狀")</f>
        <v>獎狀</v>
      </c>
      <c r="H795" s="8"/>
    </row>
    <row r="796">
      <c r="A796" s="18"/>
      <c r="B796" s="14">
        <f>IFERROR(__xludf.DUMMYFUNCTION("""COMPUTED_VALUE"""),1037023.0)</f>
        <v>1037023</v>
      </c>
      <c r="C796" s="14" t="str">
        <f>IFERROR(__xludf.DUMMYFUNCTION("""COMPUTED_VALUE"""),"游尚融")</f>
        <v>游尚融</v>
      </c>
      <c r="D796" s="16" t="str">
        <f>IFERROR(__xludf.DUMMYFUNCTION("""COMPUTED_VALUE"""),"car*****0302.ntpc@mail.edu.tw")</f>
        <v>car*****0302.ntpc@mail.edu.tw</v>
      </c>
      <c r="E796" s="17" t="str">
        <f>IFERROR(__xludf.DUMMYFUNCTION("""COMPUTED_VALUE"""),"新北市三重區三光國民小學")</f>
        <v>新北市三重區三光國民小學</v>
      </c>
      <c r="F796" s="14" t="str">
        <f>IFERROR(__xludf.DUMMYFUNCTION("""COMPUTED_VALUE"""),"六年級")</f>
        <v>六年級</v>
      </c>
      <c r="G796" s="14" t="str">
        <f>IFERROR(__xludf.DUMMYFUNCTION("""COMPUTED_VALUE"""),"●小禮物")</f>
        <v>●小禮物</v>
      </c>
      <c r="H796" s="8"/>
    </row>
    <row r="797">
      <c r="A797" s="18"/>
      <c r="B797" s="14">
        <f>IFERROR(__xludf.DUMMYFUNCTION("""COMPUTED_VALUE"""),357513.0)</f>
        <v>357513</v>
      </c>
      <c r="C797" s="14" t="str">
        <f>IFERROR(__xludf.DUMMYFUNCTION("""COMPUTED_VALUE"""),"馬湧蓮")</f>
        <v>馬湧蓮</v>
      </c>
      <c r="D797" s="16" t="str">
        <f>IFERROR(__xludf.DUMMYFUNCTION("""COMPUTED_VALUE"""),"yam*****0.ntpc@mail.edu.tw")</f>
        <v>yam*****0.ntpc@mail.edu.tw</v>
      </c>
      <c r="E797" s="17" t="str">
        <f>IFERROR(__xludf.DUMMYFUNCTION("""COMPUTED_VALUE"""),"新北市三重區三光國民小學")</f>
        <v>新北市三重區三光國民小學</v>
      </c>
      <c r="F797" s="14" t="str">
        <f>IFERROR(__xludf.DUMMYFUNCTION("""COMPUTED_VALUE"""),"六年級")</f>
        <v>六年級</v>
      </c>
      <c r="G797" s="14" t="str">
        <f>IFERROR(__xludf.DUMMYFUNCTION("""COMPUTED_VALUE"""),"獎狀")</f>
        <v>獎狀</v>
      </c>
      <c r="H797" s="8"/>
    </row>
    <row r="798">
      <c r="A798" s="18"/>
      <c r="B798" s="14">
        <f>IFERROR(__xludf.DUMMYFUNCTION("""COMPUTED_VALUE"""),1037032.0)</f>
        <v>1037032</v>
      </c>
      <c r="C798" s="14" t="str">
        <f>IFERROR(__xludf.DUMMYFUNCTION("""COMPUTED_VALUE"""),"張景倫")</f>
        <v>張景倫</v>
      </c>
      <c r="D798" s="16" t="str">
        <f>IFERROR(__xludf.DUMMYFUNCTION("""COMPUTED_VALUE"""),"way*****4.ntpc@mail.edu.tw")</f>
        <v>way*****4.ntpc@mail.edu.tw</v>
      </c>
      <c r="E798" s="17" t="str">
        <f>IFERROR(__xludf.DUMMYFUNCTION("""COMPUTED_VALUE"""),"新北市三重區三光國民小學")</f>
        <v>新北市三重區三光國民小學</v>
      </c>
      <c r="F798" s="14" t="str">
        <f>IFERROR(__xludf.DUMMYFUNCTION("""COMPUTED_VALUE"""),"六年級")</f>
        <v>六年級</v>
      </c>
      <c r="G798" s="14" t="str">
        <f>IFERROR(__xludf.DUMMYFUNCTION("""COMPUTED_VALUE"""),"獎狀")</f>
        <v>獎狀</v>
      </c>
      <c r="H798" s="8"/>
    </row>
    <row r="799">
      <c r="A799" s="18"/>
      <c r="B799" s="14">
        <f>IFERROR(__xludf.DUMMYFUNCTION("""COMPUTED_VALUE"""),1156957.0)</f>
        <v>1156957</v>
      </c>
      <c r="C799" s="14" t="str">
        <f>IFERROR(__xludf.DUMMYFUNCTION("""COMPUTED_VALUE"""),"蔡易哲")</f>
        <v>蔡易哲</v>
      </c>
      <c r="D799" s="16" t="str">
        <f>IFERROR(__xludf.DUMMYFUNCTION("""COMPUTED_VALUE"""),"win*****120.ntpc@mail.edu.tw")</f>
        <v>win*****120.ntpc@mail.edu.tw</v>
      </c>
      <c r="E799" s="17" t="str">
        <f>IFERROR(__xludf.DUMMYFUNCTION("""COMPUTED_VALUE"""),"新北市三重區三光國民小學")</f>
        <v>新北市三重區三光國民小學</v>
      </c>
      <c r="F799" s="14" t="str">
        <f>IFERROR(__xludf.DUMMYFUNCTION("""COMPUTED_VALUE"""),"六年級")</f>
        <v>六年級</v>
      </c>
      <c r="G799" s="14" t="str">
        <f>IFERROR(__xludf.DUMMYFUNCTION("""COMPUTED_VALUE"""),"獎狀")</f>
        <v>獎狀</v>
      </c>
      <c r="H799" s="8"/>
    </row>
    <row r="800">
      <c r="A800" s="18"/>
      <c r="B800" s="14">
        <f>IFERROR(__xludf.DUMMYFUNCTION("""COMPUTED_VALUE"""),1087262.0)</f>
        <v>1087262</v>
      </c>
      <c r="C800" s="14" t="str">
        <f>IFERROR(__xludf.DUMMYFUNCTION("""COMPUTED_VALUE"""),"何萱稜")</f>
        <v>何萱稜</v>
      </c>
      <c r="D800" s="16" t="str">
        <f>IFERROR(__xludf.DUMMYFUNCTION("""COMPUTED_VALUE"""),"san*****01.ntpc@mail.edu.tw")</f>
        <v>san*****01.ntpc@mail.edu.tw</v>
      </c>
      <c r="E800" s="17" t="str">
        <f>IFERROR(__xludf.DUMMYFUNCTION("""COMPUTED_VALUE"""),"新北市三重區三光國民小學")</f>
        <v>新北市三重區三光國民小學</v>
      </c>
      <c r="F800" s="14" t="str">
        <f>IFERROR(__xludf.DUMMYFUNCTION("""COMPUTED_VALUE"""),"六年級")</f>
        <v>六年級</v>
      </c>
      <c r="G800" s="14" t="str">
        <f>IFERROR(__xludf.DUMMYFUNCTION("""COMPUTED_VALUE"""),"●小禮物")</f>
        <v>●小禮物</v>
      </c>
      <c r="H800" s="8"/>
    </row>
    <row r="801">
      <c r="A801" s="18"/>
      <c r="B801" s="14">
        <f>IFERROR(__xludf.DUMMYFUNCTION("""COMPUTED_VALUE"""),840851.0)</f>
        <v>840851</v>
      </c>
      <c r="C801" s="14" t="str">
        <f>IFERROR(__xludf.DUMMYFUNCTION("""COMPUTED_VALUE"""),"曹伯安")</f>
        <v>曹伯安</v>
      </c>
      <c r="D801" s="16" t="str">
        <f>IFERROR(__xludf.DUMMYFUNCTION("""COMPUTED_VALUE"""),"mll*****08.ntpc@mail.edu.tw")</f>
        <v>mll*****08.ntpc@mail.edu.tw</v>
      </c>
      <c r="E801" s="17" t="str">
        <f>IFERROR(__xludf.DUMMYFUNCTION("""COMPUTED_VALUE"""),"新北市三重區三光國民小學")</f>
        <v>新北市三重區三光國民小學</v>
      </c>
      <c r="F801" s="14" t="str">
        <f>IFERROR(__xludf.DUMMYFUNCTION("""COMPUTED_VALUE"""),"六年級")</f>
        <v>六年級</v>
      </c>
      <c r="G801" s="14" t="str">
        <f>IFERROR(__xludf.DUMMYFUNCTION("""COMPUTED_VALUE"""),"●小禮物")</f>
        <v>●小禮物</v>
      </c>
      <c r="H801" s="8"/>
    </row>
    <row r="802">
      <c r="A802" s="18"/>
      <c r="B802" s="14">
        <f>IFERROR(__xludf.DUMMYFUNCTION("""COMPUTED_VALUE"""),1020563.0)</f>
        <v>1020563</v>
      </c>
      <c r="C802" s="14" t="str">
        <f>IFERROR(__xludf.DUMMYFUNCTION("""COMPUTED_VALUE"""),"王奕潔")</f>
        <v>王奕潔</v>
      </c>
      <c r="D802" s="16" t="str">
        <f>IFERROR(__xludf.DUMMYFUNCTION("""COMPUTED_VALUE"""),"emi*****109.ntpc@mail.edu.tw")</f>
        <v>emi*****109.ntpc@mail.edu.tw</v>
      </c>
      <c r="E802" s="17" t="str">
        <f>IFERROR(__xludf.DUMMYFUNCTION("""COMPUTED_VALUE"""),"新北市三重區三光國民小學")</f>
        <v>新北市三重區三光國民小學</v>
      </c>
      <c r="F802" s="14" t="str">
        <f>IFERROR(__xludf.DUMMYFUNCTION("""COMPUTED_VALUE"""),"六年級")</f>
        <v>六年級</v>
      </c>
      <c r="G802" s="14" t="str">
        <f>IFERROR(__xludf.DUMMYFUNCTION("""COMPUTED_VALUE"""),"獎狀")</f>
        <v>獎狀</v>
      </c>
      <c r="H802" s="8"/>
    </row>
    <row r="803">
      <c r="A803" s="18"/>
      <c r="B803" s="14">
        <f>IFERROR(__xludf.DUMMYFUNCTION("""COMPUTED_VALUE"""),1072435.0)</f>
        <v>1072435</v>
      </c>
      <c r="C803" s="14" t="str">
        <f>IFERROR(__xludf.DUMMYFUNCTION("""COMPUTED_VALUE"""),"王威凱")</f>
        <v>王威凱</v>
      </c>
      <c r="D803" s="16" t="str">
        <f>IFERROR(__xludf.DUMMYFUNCTION("""COMPUTED_VALUE"""),"b10*****ntpc@mail.edu.tw")</f>
        <v>b10*****ntpc@mail.edu.tw</v>
      </c>
      <c r="E803" s="17" t="str">
        <f>IFERROR(__xludf.DUMMYFUNCTION("""COMPUTED_VALUE"""),"新北市三重區三光國民小學")</f>
        <v>新北市三重區三光國民小學</v>
      </c>
      <c r="F803" s="14" t="str">
        <f>IFERROR(__xludf.DUMMYFUNCTION("""COMPUTED_VALUE"""),"六年級")</f>
        <v>六年級</v>
      </c>
      <c r="G803" s="14" t="str">
        <f>IFERROR(__xludf.DUMMYFUNCTION("""COMPUTED_VALUE"""),"獎狀")</f>
        <v>獎狀</v>
      </c>
      <c r="H803" s="8"/>
    </row>
    <row r="804">
      <c r="A804" s="18"/>
      <c r="B804" s="14">
        <f>IFERROR(__xludf.DUMMYFUNCTION("""COMPUTED_VALUE"""),1020558.0)</f>
        <v>1020558</v>
      </c>
      <c r="C804" s="14" t="str">
        <f>IFERROR(__xludf.DUMMYFUNCTION("""COMPUTED_VALUE"""),"吳鳳敏")</f>
        <v>吳鳳敏</v>
      </c>
      <c r="D804" s="16" t="str">
        <f>IFERROR(__xludf.DUMMYFUNCTION("""COMPUTED_VALUE"""),"kel*****0.ntpc@mail.edu.tw")</f>
        <v>kel*****0.ntpc@mail.edu.tw</v>
      </c>
      <c r="E804" s="17" t="str">
        <f>IFERROR(__xludf.DUMMYFUNCTION("""COMPUTED_VALUE"""),"新北市三重區三光國民小學")</f>
        <v>新北市三重區三光國民小學</v>
      </c>
      <c r="F804" s="14" t="str">
        <f>IFERROR(__xludf.DUMMYFUNCTION("""COMPUTED_VALUE"""),"六年級")</f>
        <v>六年級</v>
      </c>
      <c r="G804" s="14" t="str">
        <f>IFERROR(__xludf.DUMMYFUNCTION("""COMPUTED_VALUE"""),"獎狀")</f>
        <v>獎狀</v>
      </c>
      <c r="H804" s="8"/>
    </row>
    <row r="805">
      <c r="A805" s="18"/>
      <c r="B805" s="14">
        <f>IFERROR(__xludf.DUMMYFUNCTION("""COMPUTED_VALUE"""),1020556.0)</f>
        <v>1020556</v>
      </c>
      <c r="C805" s="14" t="str">
        <f>IFERROR(__xludf.DUMMYFUNCTION("""COMPUTED_VALUE"""),"洪廷睿")</f>
        <v>洪廷睿</v>
      </c>
      <c r="D805" s="16" t="str">
        <f>IFERROR(__xludf.DUMMYFUNCTION("""COMPUTED_VALUE"""),"rad*****ntpc@mail.edu.tw")</f>
        <v>rad*****ntpc@mail.edu.tw</v>
      </c>
      <c r="E805" s="17" t="str">
        <f>IFERROR(__xludf.DUMMYFUNCTION("""COMPUTED_VALUE"""),"新北市三重區三光國民小學")</f>
        <v>新北市三重區三光國民小學</v>
      </c>
      <c r="F805" s="14" t="str">
        <f>IFERROR(__xludf.DUMMYFUNCTION("""COMPUTED_VALUE"""),"六年級")</f>
        <v>六年級</v>
      </c>
      <c r="G805" s="14" t="str">
        <f>IFERROR(__xludf.DUMMYFUNCTION("""COMPUTED_VALUE"""),"獎狀")</f>
        <v>獎狀</v>
      </c>
      <c r="H805" s="8"/>
    </row>
    <row r="806">
      <c r="A806" s="18"/>
      <c r="B806" s="14">
        <f>IFERROR(__xludf.DUMMYFUNCTION("""COMPUTED_VALUE"""),540348.0)</f>
        <v>540348</v>
      </c>
      <c r="C806" s="14" t="str">
        <f>IFERROR(__xludf.DUMMYFUNCTION("""COMPUTED_VALUE"""),"洪浩哲")</f>
        <v>洪浩哲</v>
      </c>
      <c r="D806" s="16" t="str">
        <f>IFERROR(__xludf.DUMMYFUNCTION("""COMPUTED_VALUE"""),"hul*****.ntpc@mail.edu.tw")</f>
        <v>hul*****.ntpc@mail.edu.tw</v>
      </c>
      <c r="E806" s="17" t="str">
        <f>IFERROR(__xludf.DUMMYFUNCTION("""COMPUTED_VALUE"""),"新北市三重區三光國民小學")</f>
        <v>新北市三重區三光國民小學</v>
      </c>
      <c r="F806" s="14" t="str">
        <f>IFERROR(__xludf.DUMMYFUNCTION("""COMPUTED_VALUE"""),"六年級")</f>
        <v>六年級</v>
      </c>
      <c r="G806" s="14" t="str">
        <f>IFERROR(__xludf.DUMMYFUNCTION("""COMPUTED_VALUE"""),"獎狀")</f>
        <v>獎狀</v>
      </c>
      <c r="H806" s="8"/>
    </row>
    <row r="807">
      <c r="A807" s="18"/>
      <c r="B807" s="14">
        <f>IFERROR(__xludf.DUMMYFUNCTION("""COMPUTED_VALUE"""),1059998.0)</f>
        <v>1059998</v>
      </c>
      <c r="C807" s="14" t="str">
        <f>IFERROR(__xludf.DUMMYFUNCTION("""COMPUTED_VALUE"""),"張咲允")</f>
        <v>張咲允</v>
      </c>
      <c r="D807" s="16" t="str">
        <f>IFERROR(__xludf.DUMMYFUNCTION("""COMPUTED_VALUE"""),"ang*****9.ntpc@mail.edu.tw")</f>
        <v>ang*****9.ntpc@mail.edu.tw</v>
      </c>
      <c r="E807" s="17" t="str">
        <f>IFERROR(__xludf.DUMMYFUNCTION("""COMPUTED_VALUE"""),"新北市三重區三光國民小學")</f>
        <v>新北市三重區三光國民小學</v>
      </c>
      <c r="F807" s="14" t="str">
        <f>IFERROR(__xludf.DUMMYFUNCTION("""COMPUTED_VALUE"""),"六年級")</f>
        <v>六年級</v>
      </c>
      <c r="G807" s="14" t="str">
        <f>IFERROR(__xludf.DUMMYFUNCTION("""COMPUTED_VALUE"""),"獎狀")</f>
        <v>獎狀</v>
      </c>
      <c r="H807" s="8"/>
    </row>
    <row r="808">
      <c r="A808" s="18"/>
      <c r="B808" s="14">
        <f>IFERROR(__xludf.DUMMYFUNCTION("""COMPUTED_VALUE"""),1072430.0)</f>
        <v>1072430</v>
      </c>
      <c r="C808" s="14" t="str">
        <f>IFERROR(__xludf.DUMMYFUNCTION("""COMPUTED_VALUE"""),"喬家駿")</f>
        <v>喬家駿</v>
      </c>
      <c r="D808" s="16" t="str">
        <f>IFERROR(__xludf.DUMMYFUNCTION("""COMPUTED_VALUE"""),"jac*****18.ntpc@mail.edu.tw")</f>
        <v>jac*****18.ntpc@mail.edu.tw</v>
      </c>
      <c r="E808" s="17" t="str">
        <f>IFERROR(__xludf.DUMMYFUNCTION("""COMPUTED_VALUE"""),"新北市三重區三光國民小學")</f>
        <v>新北市三重區三光國民小學</v>
      </c>
      <c r="F808" s="14" t="str">
        <f>IFERROR(__xludf.DUMMYFUNCTION("""COMPUTED_VALUE"""),"六年級")</f>
        <v>六年級</v>
      </c>
      <c r="G808" s="14" t="str">
        <f>IFERROR(__xludf.DUMMYFUNCTION("""COMPUTED_VALUE"""),"獎狀")</f>
        <v>獎狀</v>
      </c>
      <c r="H808" s="8"/>
    </row>
    <row r="809">
      <c r="A809" s="18"/>
      <c r="B809" s="14">
        <f>IFERROR(__xludf.DUMMYFUNCTION("""COMPUTED_VALUE"""),1037042.0)</f>
        <v>1037042</v>
      </c>
      <c r="C809" s="14" t="str">
        <f>IFERROR(__xludf.DUMMYFUNCTION("""COMPUTED_VALUE"""),"黃婕涵")</f>
        <v>黃婕涵</v>
      </c>
      <c r="D809" s="16" t="str">
        <f>IFERROR(__xludf.DUMMYFUNCTION("""COMPUTED_VALUE"""),"ali*****0407.ntpc@mail.edu.tw")</f>
        <v>ali*****0407.ntpc@mail.edu.tw</v>
      </c>
      <c r="E809" s="17" t="str">
        <f>IFERROR(__xludf.DUMMYFUNCTION("""COMPUTED_VALUE"""),"新北市三重區三光國民小學")</f>
        <v>新北市三重區三光國民小學</v>
      </c>
      <c r="F809" s="14" t="str">
        <f>IFERROR(__xludf.DUMMYFUNCTION("""COMPUTED_VALUE"""),"六年級")</f>
        <v>六年級</v>
      </c>
      <c r="G809" s="14" t="str">
        <f>IFERROR(__xludf.DUMMYFUNCTION("""COMPUTED_VALUE"""),"獎狀")</f>
        <v>獎狀</v>
      </c>
      <c r="H809" s="8"/>
    </row>
    <row r="810">
      <c r="A810" s="18"/>
      <c r="B810" s="14">
        <f>IFERROR(__xludf.DUMMYFUNCTION("""COMPUTED_VALUE"""),1053546.0)</f>
        <v>1053546</v>
      </c>
      <c r="C810" s="14" t="str">
        <f>IFERROR(__xludf.DUMMYFUNCTION("""COMPUTED_VALUE"""),"吳易杰")</f>
        <v>吳易杰</v>
      </c>
      <c r="D810" s="16" t="str">
        <f>IFERROR(__xludf.DUMMYFUNCTION("""COMPUTED_VALUE"""),"jer*****5100.ntpc@mail.edu.tw")</f>
        <v>jer*****5100.ntpc@mail.edu.tw</v>
      </c>
      <c r="E810" s="17" t="str">
        <f>IFERROR(__xludf.DUMMYFUNCTION("""COMPUTED_VALUE"""),"新北市三重區三光國民小學")</f>
        <v>新北市三重區三光國民小學</v>
      </c>
      <c r="F810" s="14" t="str">
        <f>IFERROR(__xludf.DUMMYFUNCTION("""COMPUTED_VALUE"""),"六年級")</f>
        <v>六年級</v>
      </c>
      <c r="G810" s="14" t="str">
        <f>IFERROR(__xludf.DUMMYFUNCTION("""COMPUTED_VALUE"""),"●小禮物")</f>
        <v>●小禮物</v>
      </c>
      <c r="H810" s="8"/>
    </row>
    <row r="811">
      <c r="A811" s="18"/>
      <c r="B811" s="14">
        <f>IFERROR(__xludf.DUMMYFUNCTION("""COMPUTED_VALUE"""),1072353.0)</f>
        <v>1072353</v>
      </c>
      <c r="C811" s="14" t="str">
        <f>IFERROR(__xludf.DUMMYFUNCTION("""COMPUTED_VALUE"""),"郝芊淽")</f>
        <v>郝芊淽</v>
      </c>
      <c r="D811" s="16" t="str">
        <f>IFERROR(__xludf.DUMMYFUNCTION("""COMPUTED_VALUE"""),"jes*****7.ntpc@mail.edu.tw")</f>
        <v>jes*****7.ntpc@mail.edu.tw</v>
      </c>
      <c r="E811" s="17" t="str">
        <f>IFERROR(__xludf.DUMMYFUNCTION("""COMPUTED_VALUE"""),"新北市三重區三光國民小學")</f>
        <v>新北市三重區三光國民小學</v>
      </c>
      <c r="F811" s="14" t="str">
        <f>IFERROR(__xludf.DUMMYFUNCTION("""COMPUTED_VALUE"""),"六年級")</f>
        <v>六年級</v>
      </c>
      <c r="G811" s="14" t="str">
        <f>IFERROR(__xludf.DUMMYFUNCTION("""COMPUTED_VALUE"""),"●小禮物")</f>
        <v>●小禮物</v>
      </c>
      <c r="H811" s="8"/>
    </row>
    <row r="812">
      <c r="A812" s="18"/>
      <c r="B812" s="14">
        <f>IFERROR(__xludf.DUMMYFUNCTION("""COMPUTED_VALUE"""),836788.0)</f>
        <v>836788</v>
      </c>
      <c r="C812" s="14" t="str">
        <f>IFERROR(__xludf.DUMMYFUNCTION("""COMPUTED_VALUE"""),"曹伯羽")</f>
        <v>曹伯羽</v>
      </c>
      <c r="D812" s="16" t="str">
        <f>IFERROR(__xludf.DUMMYFUNCTION("""COMPUTED_VALUE"""),"ber*****08.ntpc@mail.edu.tw")</f>
        <v>ber*****08.ntpc@mail.edu.tw</v>
      </c>
      <c r="E812" s="17" t="str">
        <f>IFERROR(__xludf.DUMMYFUNCTION("""COMPUTED_VALUE"""),"新北市三重區三光國民小學")</f>
        <v>新北市三重區三光國民小學</v>
      </c>
      <c r="F812" s="14" t="str">
        <f>IFERROR(__xludf.DUMMYFUNCTION("""COMPUTED_VALUE"""),"六年級")</f>
        <v>六年級</v>
      </c>
      <c r="G812" s="14" t="str">
        <f>IFERROR(__xludf.DUMMYFUNCTION("""COMPUTED_VALUE"""),"●小禮物")</f>
        <v>●小禮物</v>
      </c>
      <c r="H812" s="8"/>
    </row>
    <row r="813">
      <c r="A813" s="18"/>
      <c r="B813" s="14">
        <f>IFERROR(__xludf.DUMMYFUNCTION("""COMPUTED_VALUE"""),830536.0)</f>
        <v>830536</v>
      </c>
      <c r="C813" s="14" t="str">
        <f>IFERROR(__xludf.DUMMYFUNCTION("""COMPUTED_VALUE"""),"周昶佑")</f>
        <v>周昶佑</v>
      </c>
      <c r="D813" s="16" t="str">
        <f>IFERROR(__xludf.DUMMYFUNCTION("""COMPUTED_VALUE"""),"yor*****.ntpc@mail.edu.tw")</f>
        <v>yor*****.ntpc@mail.edu.tw</v>
      </c>
      <c r="E813" s="17" t="str">
        <f>IFERROR(__xludf.DUMMYFUNCTION("""COMPUTED_VALUE"""),"新北市三重區三光國民小學")</f>
        <v>新北市三重區三光國民小學</v>
      </c>
      <c r="F813" s="14" t="str">
        <f>IFERROR(__xludf.DUMMYFUNCTION("""COMPUTED_VALUE"""),"六年級")</f>
        <v>六年級</v>
      </c>
      <c r="G813" s="14" t="str">
        <f>IFERROR(__xludf.DUMMYFUNCTION("""COMPUTED_VALUE"""),"★禮券$200")</f>
        <v>★禮券$200</v>
      </c>
      <c r="H813" s="8"/>
    </row>
    <row r="814">
      <c r="A814" s="18"/>
      <c r="B814" s="14">
        <f>IFERROR(__xludf.DUMMYFUNCTION("""COMPUTED_VALUE"""),1053584.0)</f>
        <v>1053584</v>
      </c>
      <c r="C814" s="14" t="str">
        <f>IFERROR(__xludf.DUMMYFUNCTION("""COMPUTED_VALUE"""),"丁士辰")</f>
        <v>丁士辰</v>
      </c>
      <c r="D814" s="16" t="str">
        <f>IFERROR(__xludf.DUMMYFUNCTION("""COMPUTED_VALUE"""),"che*****.ntpc@mail.edu.tw")</f>
        <v>che*****.ntpc@mail.edu.tw</v>
      </c>
      <c r="E814" s="17" t="str">
        <f>IFERROR(__xludf.DUMMYFUNCTION("""COMPUTED_VALUE"""),"新北市三重區三光國民小學")</f>
        <v>新北市三重區三光國民小學</v>
      </c>
      <c r="F814" s="14" t="str">
        <f>IFERROR(__xludf.DUMMYFUNCTION("""COMPUTED_VALUE"""),"六年級")</f>
        <v>六年級</v>
      </c>
      <c r="G814" s="14" t="str">
        <f>IFERROR(__xludf.DUMMYFUNCTION("""COMPUTED_VALUE"""),"獎狀")</f>
        <v>獎狀</v>
      </c>
      <c r="H814" s="8"/>
    </row>
    <row r="815">
      <c r="A815" s="18"/>
      <c r="B815" s="14">
        <f>IFERROR(__xludf.DUMMYFUNCTION("""COMPUTED_VALUE"""),1077194.0)</f>
        <v>1077194</v>
      </c>
      <c r="C815" s="14" t="str">
        <f>IFERROR(__xludf.DUMMYFUNCTION("""COMPUTED_VALUE"""),"吳亞倫")</f>
        <v>吳亞倫</v>
      </c>
      <c r="D815" s="16" t="str">
        <f>IFERROR(__xludf.DUMMYFUNCTION("""COMPUTED_VALUE"""),"all*****7100.ntpc@mail.edu.tw")</f>
        <v>all*****7100.ntpc@mail.edu.tw</v>
      </c>
      <c r="E815" s="17" t="str">
        <f>IFERROR(__xludf.DUMMYFUNCTION("""COMPUTED_VALUE"""),"新北市三重區三光國民小學")</f>
        <v>新北市三重區三光國民小學</v>
      </c>
      <c r="F815" s="14" t="str">
        <f>IFERROR(__xludf.DUMMYFUNCTION("""COMPUTED_VALUE"""),"六年級")</f>
        <v>六年級</v>
      </c>
      <c r="G815" s="14" t="str">
        <f>IFERROR(__xludf.DUMMYFUNCTION("""COMPUTED_VALUE"""),"獎狀")</f>
        <v>獎狀</v>
      </c>
      <c r="H815" s="8"/>
    </row>
    <row r="816">
      <c r="A816" s="18"/>
      <c r="B816" s="14">
        <f>IFERROR(__xludf.DUMMYFUNCTION("""COMPUTED_VALUE"""),1053567.0)</f>
        <v>1053567</v>
      </c>
      <c r="C816" s="14" t="str">
        <f>IFERROR(__xludf.DUMMYFUNCTION("""COMPUTED_VALUE"""),"呂丞莘")</f>
        <v>呂丞莘</v>
      </c>
      <c r="D816" s="16" t="str">
        <f>IFERROR(__xludf.DUMMYFUNCTION("""COMPUTED_VALUE"""),"syi*****.ntpc@mail.edu.tw")</f>
        <v>syi*****.ntpc@mail.edu.tw</v>
      </c>
      <c r="E816" s="17" t="str">
        <f>IFERROR(__xludf.DUMMYFUNCTION("""COMPUTED_VALUE"""),"新北市三重區三光國民小學")</f>
        <v>新北市三重區三光國民小學</v>
      </c>
      <c r="F816" s="14" t="str">
        <f>IFERROR(__xludf.DUMMYFUNCTION("""COMPUTED_VALUE"""),"六年級")</f>
        <v>六年級</v>
      </c>
      <c r="G816" s="14" t="str">
        <f>IFERROR(__xludf.DUMMYFUNCTION("""COMPUTED_VALUE"""),"獎狀")</f>
        <v>獎狀</v>
      </c>
      <c r="H816" s="8"/>
    </row>
    <row r="817">
      <c r="A817" s="18"/>
      <c r="B817" s="14">
        <f>IFERROR(__xludf.DUMMYFUNCTION("""COMPUTED_VALUE"""),1067843.0)</f>
        <v>1067843</v>
      </c>
      <c r="C817" s="14" t="str">
        <f>IFERROR(__xludf.DUMMYFUNCTION("""COMPUTED_VALUE"""),"范雨婕")</f>
        <v>范雨婕</v>
      </c>
      <c r="D817" s="16" t="str">
        <f>IFERROR(__xludf.DUMMYFUNCTION("""COMPUTED_VALUE"""),"yuj*****5.ntpc@mail.edu.tw")</f>
        <v>yuj*****5.ntpc@mail.edu.tw</v>
      </c>
      <c r="E817" s="17" t="str">
        <f>IFERROR(__xludf.DUMMYFUNCTION("""COMPUTED_VALUE"""),"新北市三重區三光國民小學")</f>
        <v>新北市三重區三光國民小學</v>
      </c>
      <c r="F817" s="14" t="str">
        <f>IFERROR(__xludf.DUMMYFUNCTION("""COMPUTED_VALUE"""),"六年級")</f>
        <v>六年級</v>
      </c>
      <c r="G817" s="14" t="str">
        <f>IFERROR(__xludf.DUMMYFUNCTION("""COMPUTED_VALUE"""),"獎狀")</f>
        <v>獎狀</v>
      </c>
      <c r="H817" s="8"/>
    </row>
    <row r="818">
      <c r="A818" s="18"/>
      <c r="B818" s="14">
        <f>IFERROR(__xludf.DUMMYFUNCTION("""COMPUTED_VALUE"""),1067840.0)</f>
        <v>1067840</v>
      </c>
      <c r="C818" s="14" t="str">
        <f>IFERROR(__xludf.DUMMYFUNCTION("""COMPUTED_VALUE"""),"陳思嘉")</f>
        <v>陳思嘉</v>
      </c>
      <c r="D818" s="16" t="str">
        <f>IFERROR(__xludf.DUMMYFUNCTION("""COMPUTED_VALUE"""),"bel*****8.ntpc@mail.edu.tw")</f>
        <v>bel*****8.ntpc@mail.edu.tw</v>
      </c>
      <c r="E818" s="17" t="str">
        <f>IFERROR(__xludf.DUMMYFUNCTION("""COMPUTED_VALUE"""),"新北市三重區三光國民小學")</f>
        <v>新北市三重區三光國民小學</v>
      </c>
      <c r="F818" s="14" t="str">
        <f>IFERROR(__xludf.DUMMYFUNCTION("""COMPUTED_VALUE"""),"六年級")</f>
        <v>六年級</v>
      </c>
      <c r="G818" s="14" t="str">
        <f>IFERROR(__xludf.DUMMYFUNCTION("""COMPUTED_VALUE"""),"獎狀")</f>
        <v>獎狀</v>
      </c>
      <c r="H818" s="8"/>
    </row>
    <row r="819">
      <c r="A819" s="18"/>
      <c r="B819" s="14">
        <f>IFERROR(__xludf.DUMMYFUNCTION("""COMPUTED_VALUE"""),1053550.0)</f>
        <v>1053550</v>
      </c>
      <c r="C819" s="14" t="str">
        <f>IFERROR(__xludf.DUMMYFUNCTION("""COMPUTED_VALUE"""),"游旻融")</f>
        <v>游旻融</v>
      </c>
      <c r="D819" s="16" t="str">
        <f>IFERROR(__xludf.DUMMYFUNCTION("""COMPUTED_VALUE"""),"ron*****.ntpc@mail.edu.tw")</f>
        <v>ron*****.ntpc@mail.edu.tw</v>
      </c>
      <c r="E819" s="17" t="str">
        <f>IFERROR(__xludf.DUMMYFUNCTION("""COMPUTED_VALUE"""),"新北市三重區三光國民小學")</f>
        <v>新北市三重區三光國民小學</v>
      </c>
      <c r="F819" s="14" t="str">
        <f>IFERROR(__xludf.DUMMYFUNCTION("""COMPUTED_VALUE"""),"六年級")</f>
        <v>六年級</v>
      </c>
      <c r="G819" s="14" t="str">
        <f>IFERROR(__xludf.DUMMYFUNCTION("""COMPUTED_VALUE"""),"獎狀")</f>
        <v>獎狀</v>
      </c>
      <c r="H819" s="8"/>
    </row>
    <row r="820">
      <c r="A820" s="18"/>
      <c r="B820" s="14">
        <f>IFERROR(__xludf.DUMMYFUNCTION("""COMPUTED_VALUE"""),1053562.0)</f>
        <v>1053562</v>
      </c>
      <c r="C820" s="14" t="str">
        <f>IFERROR(__xludf.DUMMYFUNCTION("""COMPUTED_VALUE"""),"黃彥皓")</f>
        <v>黃彥皓</v>
      </c>
      <c r="D820" s="16" t="str">
        <f>IFERROR(__xludf.DUMMYFUNCTION("""COMPUTED_VALUE"""),"how*****00416.ntpc@mail.edu.tw")</f>
        <v>how*****00416.ntpc@mail.edu.tw</v>
      </c>
      <c r="E820" s="17" t="str">
        <f>IFERROR(__xludf.DUMMYFUNCTION("""COMPUTED_VALUE"""),"新北市三重區三光國民小學")</f>
        <v>新北市三重區三光國民小學</v>
      </c>
      <c r="F820" s="14" t="str">
        <f>IFERROR(__xludf.DUMMYFUNCTION("""COMPUTED_VALUE"""),"六年級")</f>
        <v>六年級</v>
      </c>
      <c r="G820" s="14" t="str">
        <f>IFERROR(__xludf.DUMMYFUNCTION("""COMPUTED_VALUE"""),"獎狀")</f>
        <v>獎狀</v>
      </c>
      <c r="H820" s="8"/>
    </row>
    <row r="821">
      <c r="A821" s="18"/>
      <c r="B821" s="14">
        <f>IFERROR(__xludf.DUMMYFUNCTION("""COMPUTED_VALUE"""),1053554.0)</f>
        <v>1053554</v>
      </c>
      <c r="C821" s="14" t="str">
        <f>IFERROR(__xludf.DUMMYFUNCTION("""COMPUTED_VALUE"""),"楊懿恩")</f>
        <v>楊懿恩</v>
      </c>
      <c r="D821" s="16" t="str">
        <f>IFERROR(__xludf.DUMMYFUNCTION("""COMPUTED_VALUE"""),"yie*****.ntpc@mail.edu.tw")</f>
        <v>yie*****.ntpc@mail.edu.tw</v>
      </c>
      <c r="E821" s="17" t="str">
        <f>IFERROR(__xludf.DUMMYFUNCTION("""COMPUTED_VALUE"""),"新北市三重區三光國民小學")</f>
        <v>新北市三重區三光國民小學</v>
      </c>
      <c r="F821" s="14" t="str">
        <f>IFERROR(__xludf.DUMMYFUNCTION("""COMPUTED_VALUE"""),"六年級")</f>
        <v>六年級</v>
      </c>
      <c r="G821" s="14" t="str">
        <f>IFERROR(__xludf.DUMMYFUNCTION("""COMPUTED_VALUE"""),"獎狀")</f>
        <v>獎狀</v>
      </c>
      <c r="H821" s="8"/>
    </row>
    <row r="822">
      <c r="A822" s="18"/>
      <c r="B822" s="14">
        <f>IFERROR(__xludf.DUMMYFUNCTION("""COMPUTED_VALUE"""),1053549.0)</f>
        <v>1053549</v>
      </c>
      <c r="C822" s="14" t="str">
        <f>IFERROR(__xludf.DUMMYFUNCTION("""COMPUTED_VALUE"""),"廖翊璇")</f>
        <v>廖翊璇</v>
      </c>
      <c r="D822" s="16" t="str">
        <f>IFERROR(__xludf.DUMMYFUNCTION("""COMPUTED_VALUE"""),"emm*****.ntpc@mail.edu.tw")</f>
        <v>emm*****.ntpc@mail.edu.tw</v>
      </c>
      <c r="E822" s="17" t="str">
        <f>IFERROR(__xludf.DUMMYFUNCTION("""COMPUTED_VALUE"""),"新北市三重區三光國民小學")</f>
        <v>新北市三重區三光國民小學</v>
      </c>
      <c r="F822" s="14" t="str">
        <f>IFERROR(__xludf.DUMMYFUNCTION("""COMPUTED_VALUE"""),"六年級")</f>
        <v>六年級</v>
      </c>
      <c r="G822" s="14" t="str">
        <f>IFERROR(__xludf.DUMMYFUNCTION("""COMPUTED_VALUE"""),"獎狀")</f>
        <v>獎狀</v>
      </c>
      <c r="H822" s="8"/>
    </row>
    <row r="823">
      <c r="A823" s="18"/>
      <c r="B823" s="14">
        <f>IFERROR(__xludf.DUMMYFUNCTION("""COMPUTED_VALUE"""),953364.0)</f>
        <v>953364</v>
      </c>
      <c r="C823" s="14" t="str">
        <f>IFERROR(__xludf.DUMMYFUNCTION("""COMPUTED_VALUE"""),"蔡鈺安")</f>
        <v>蔡鈺安</v>
      </c>
      <c r="D823" s="16" t="str">
        <f>IFERROR(__xludf.DUMMYFUNCTION("""COMPUTED_VALUE"""),"bab*****w.ntpc@mail.edu.tw")</f>
        <v>bab*****w.ntpc@mail.edu.tw</v>
      </c>
      <c r="E823" s="17" t="str">
        <f>IFERROR(__xludf.DUMMYFUNCTION("""COMPUTED_VALUE"""),"新北市三重區三光國民小學")</f>
        <v>新北市三重區三光國民小學</v>
      </c>
      <c r="F823" s="14" t="str">
        <f>IFERROR(__xludf.DUMMYFUNCTION("""COMPUTED_VALUE"""),"六年級")</f>
        <v>六年級</v>
      </c>
      <c r="G823" s="14" t="str">
        <f>IFERROR(__xludf.DUMMYFUNCTION("""COMPUTED_VALUE"""),"獎狀")</f>
        <v>獎狀</v>
      </c>
      <c r="H823" s="8"/>
    </row>
    <row r="824">
      <c r="A824" s="18"/>
      <c r="B824" s="14">
        <f>IFERROR(__xludf.DUMMYFUNCTION("""COMPUTED_VALUE"""),1053565.0)</f>
        <v>1053565</v>
      </c>
      <c r="C824" s="14" t="str">
        <f>IFERROR(__xludf.DUMMYFUNCTION("""COMPUTED_VALUE"""),"鍾明宏")</f>
        <v>鍾明宏</v>
      </c>
      <c r="D824" s="16" t="str">
        <f>IFERROR(__xludf.DUMMYFUNCTION("""COMPUTED_VALUE"""),"s10*****6.ntpc@mail.edu.tw")</f>
        <v>s10*****6.ntpc@mail.edu.tw</v>
      </c>
      <c r="E824" s="17" t="str">
        <f>IFERROR(__xludf.DUMMYFUNCTION("""COMPUTED_VALUE"""),"新北市三重區三光國民小學")</f>
        <v>新北市三重區三光國民小學</v>
      </c>
      <c r="F824" s="14" t="str">
        <f>IFERROR(__xludf.DUMMYFUNCTION("""COMPUTED_VALUE"""),"六年級")</f>
        <v>六年級</v>
      </c>
      <c r="G824" s="14" t="str">
        <f>IFERROR(__xludf.DUMMYFUNCTION("""COMPUTED_VALUE"""),"獎狀")</f>
        <v>獎狀</v>
      </c>
      <c r="H824" s="8"/>
    </row>
    <row r="825">
      <c r="A825" s="18"/>
      <c r="B825" s="14">
        <f>IFERROR(__xludf.DUMMYFUNCTION("""COMPUTED_VALUE"""),1037025.0)</f>
        <v>1037025</v>
      </c>
      <c r="C825" s="14" t="str">
        <f>IFERROR(__xludf.DUMMYFUNCTION("""COMPUTED_VALUE"""),"賴奕辰")</f>
        <v>賴奕辰</v>
      </c>
      <c r="D825" s="16" t="str">
        <f>IFERROR(__xludf.DUMMYFUNCTION("""COMPUTED_VALUE"""),"bra*****5.ntpc@mail.edu.tw")</f>
        <v>bra*****5.ntpc@mail.edu.tw</v>
      </c>
      <c r="E825" s="17" t="str">
        <f>IFERROR(__xludf.DUMMYFUNCTION("""COMPUTED_VALUE"""),"新北市三重區三光國民小學")</f>
        <v>新北市三重區三光國民小學</v>
      </c>
      <c r="F825" s="14" t="str">
        <f>IFERROR(__xludf.DUMMYFUNCTION("""COMPUTED_VALUE"""),"六年級")</f>
        <v>六年級</v>
      </c>
      <c r="G825" s="14" t="str">
        <f>IFERROR(__xludf.DUMMYFUNCTION("""COMPUTED_VALUE"""),"獎狀")</f>
        <v>獎狀</v>
      </c>
      <c r="H825" s="8"/>
    </row>
    <row r="826">
      <c r="A826" s="18"/>
      <c r="B826" s="14">
        <f>IFERROR(__xludf.DUMMYFUNCTION("""COMPUTED_VALUE"""),940049.0)</f>
        <v>940049</v>
      </c>
      <c r="C826" s="14" t="str">
        <f>IFERROR(__xludf.DUMMYFUNCTION("""COMPUTED_VALUE"""),"許家睿")</f>
        <v>許家睿</v>
      </c>
      <c r="D826" s="16" t="str">
        <f>IFERROR(__xludf.DUMMYFUNCTION("""COMPUTED_VALUE"""),"gil*****119@gmail.com")</f>
        <v>gil*****119@gmail.com</v>
      </c>
      <c r="E826" s="17" t="str">
        <f>IFERROR(__xludf.DUMMYFUNCTION("""COMPUTED_VALUE"""),"新北市三重區正義國民小學")</f>
        <v>新北市三重區正義國民小學</v>
      </c>
      <c r="F826" s="14" t="str">
        <f>IFERROR(__xludf.DUMMYFUNCTION("""COMPUTED_VALUE"""),"三年級")</f>
        <v>三年級</v>
      </c>
      <c r="G826" s="14" t="str">
        <f>IFERROR(__xludf.DUMMYFUNCTION("""COMPUTED_VALUE"""),"獎狀")</f>
        <v>獎狀</v>
      </c>
      <c r="H826" s="8"/>
    </row>
    <row r="827">
      <c r="A827" s="18"/>
      <c r="B827" s="14">
        <f>IFERROR(__xludf.DUMMYFUNCTION("""COMPUTED_VALUE"""),1091155.0)</f>
        <v>1091155</v>
      </c>
      <c r="C827" s="14" t="str">
        <f>IFERROR(__xludf.DUMMYFUNCTION("""COMPUTED_VALUE"""),"李昊哲")</f>
        <v>李昊哲</v>
      </c>
      <c r="D827" s="16" t="str">
        <f>IFERROR(__xludf.DUMMYFUNCTION("""COMPUTED_VALUE"""),"lhz*****ntpc@mail.edu.tw")</f>
        <v>lhz*****ntpc@mail.edu.tw</v>
      </c>
      <c r="E827" s="17" t="str">
        <f>IFERROR(__xludf.DUMMYFUNCTION("""COMPUTED_VALUE"""),"新北市三重區修德國民小學")</f>
        <v>新北市三重區修德國民小學</v>
      </c>
      <c r="F827" s="14" t="str">
        <f>IFERROR(__xludf.DUMMYFUNCTION("""COMPUTED_VALUE"""),"三年級")</f>
        <v>三年級</v>
      </c>
      <c r="G827" s="14" t="str">
        <f>IFERROR(__xludf.DUMMYFUNCTION("""COMPUTED_VALUE"""),"獎狀")</f>
        <v>獎狀</v>
      </c>
      <c r="H827" s="8"/>
    </row>
    <row r="828">
      <c r="A828" s="18"/>
      <c r="B828" s="14">
        <f>IFERROR(__xludf.DUMMYFUNCTION("""COMPUTED_VALUE"""),1160860.0)</f>
        <v>1160860</v>
      </c>
      <c r="C828" s="14" t="str">
        <f>IFERROR(__xludf.DUMMYFUNCTION("""COMPUTED_VALUE"""),"游昕璇")</f>
        <v>游昕璇</v>
      </c>
      <c r="D828" s="16" t="str">
        <f>IFERROR(__xludf.DUMMYFUNCTION("""COMPUTED_VALUE"""),"jm2*****467.ntpc@mail.edu.tw")</f>
        <v>jm2*****467.ntpc@mail.edu.tw</v>
      </c>
      <c r="E828" s="17" t="str">
        <f>IFERROR(__xludf.DUMMYFUNCTION("""COMPUTED_VALUE"""),"新北市三重區集美國民小學")</f>
        <v>新北市三重區集美國民小學</v>
      </c>
      <c r="F828" s="14" t="str">
        <f>IFERROR(__xludf.DUMMYFUNCTION("""COMPUTED_VALUE"""),"三年級")</f>
        <v>三年級</v>
      </c>
      <c r="G828" s="14" t="str">
        <f>IFERROR(__xludf.DUMMYFUNCTION("""COMPUTED_VALUE"""),"獎狀")</f>
        <v>獎狀</v>
      </c>
      <c r="H828" s="8"/>
    </row>
    <row r="829">
      <c r="A829" s="18"/>
      <c r="B829" s="14">
        <f>IFERROR(__xludf.DUMMYFUNCTION("""COMPUTED_VALUE"""),993338.0)</f>
        <v>993338</v>
      </c>
      <c r="C829" s="14" t="str">
        <f>IFERROR(__xludf.DUMMYFUNCTION("""COMPUTED_VALUE"""),"王語馨")</f>
        <v>王語馨</v>
      </c>
      <c r="D829" s="16" t="str">
        <f>IFERROR(__xludf.DUMMYFUNCTION("""COMPUTED_VALUE"""),"tmm*****ng@gmail.com")</f>
        <v>tmm*****ng@gmail.com</v>
      </c>
      <c r="E829" s="17" t="str">
        <f>IFERROR(__xludf.DUMMYFUNCTION("""COMPUTED_VALUE"""),"新北市三重區集美國民小學")</f>
        <v>新北市三重區集美國民小學</v>
      </c>
      <c r="F829" s="14" t="str">
        <f>IFERROR(__xludf.DUMMYFUNCTION("""COMPUTED_VALUE"""),"五年級")</f>
        <v>五年級</v>
      </c>
      <c r="G829" s="14" t="str">
        <f>IFERROR(__xludf.DUMMYFUNCTION("""COMPUTED_VALUE"""),"獎狀")</f>
        <v>獎狀</v>
      </c>
      <c r="H829" s="8"/>
    </row>
    <row r="830">
      <c r="A830" s="18"/>
      <c r="B830" s="14">
        <f>IFERROR(__xludf.DUMMYFUNCTION("""COMPUTED_VALUE"""),836101.0)</f>
        <v>836101</v>
      </c>
      <c r="C830" s="14" t="str">
        <f>IFERROR(__xludf.DUMMYFUNCTION("""COMPUTED_VALUE"""),"游舒涵")</f>
        <v>游舒涵</v>
      </c>
      <c r="D830" s="16" t="str">
        <f>IFERROR(__xludf.DUMMYFUNCTION("""COMPUTED_VALUE"""),"sop*****04.ntpc@mail.edu.tw")</f>
        <v>sop*****04.ntpc@mail.edu.tw</v>
      </c>
      <c r="E830" s="17" t="str">
        <f>IFERROR(__xludf.DUMMYFUNCTION("""COMPUTED_VALUE"""),"新北市三重區集美國民小學")</f>
        <v>新北市三重區集美國民小學</v>
      </c>
      <c r="F830" s="14" t="str">
        <f>IFERROR(__xludf.DUMMYFUNCTION("""COMPUTED_VALUE"""),"六年級")</f>
        <v>六年級</v>
      </c>
      <c r="G830" s="14" t="str">
        <f>IFERROR(__xludf.DUMMYFUNCTION("""COMPUTED_VALUE"""),"獎狀")</f>
        <v>獎狀</v>
      </c>
      <c r="H830" s="8"/>
    </row>
    <row r="831">
      <c r="A831" s="18"/>
      <c r="B831" s="14">
        <f>IFERROR(__xludf.DUMMYFUNCTION("""COMPUTED_VALUE"""),580454.0)</f>
        <v>580454</v>
      </c>
      <c r="C831" s="14" t="str">
        <f>IFERROR(__xludf.DUMMYFUNCTION("""COMPUTED_VALUE"""),"施秉汝")</f>
        <v>施秉汝</v>
      </c>
      <c r="D831" s="16" t="str">
        <f>IFERROR(__xludf.DUMMYFUNCTION("""COMPUTED_VALUE"""),"shi*****u0722@gmail.com")</f>
        <v>shi*****u0722@gmail.com</v>
      </c>
      <c r="E831" s="17" t="str">
        <f>IFERROR(__xludf.DUMMYFUNCTION("""COMPUTED_VALUE"""),"新北市三重區五華國民小學")</f>
        <v>新北市三重區五華國民小學</v>
      </c>
      <c r="F831" s="14" t="str">
        <f>IFERROR(__xludf.DUMMYFUNCTION("""COMPUTED_VALUE"""),"四年級")</f>
        <v>四年級</v>
      </c>
      <c r="G831" s="14" t="str">
        <f>IFERROR(__xludf.DUMMYFUNCTION("""COMPUTED_VALUE"""),"獎狀")</f>
        <v>獎狀</v>
      </c>
      <c r="H831" s="8"/>
    </row>
    <row r="832">
      <c r="A832" s="18"/>
      <c r="B832" s="14">
        <f>IFERROR(__xludf.DUMMYFUNCTION("""COMPUTED_VALUE"""),1061502.0)</f>
        <v>1061502</v>
      </c>
      <c r="C832" s="14" t="str">
        <f>IFERROR(__xludf.DUMMYFUNCTION("""COMPUTED_VALUE"""),"林姵希")</f>
        <v>林姵希</v>
      </c>
      <c r="D832" s="16" t="str">
        <f>IFERROR(__xludf.DUMMYFUNCTION("""COMPUTED_VALUE"""),"dai*****hotmail.com")</f>
        <v>dai*****hotmail.com</v>
      </c>
      <c r="E832" s="17" t="str">
        <f>IFERROR(__xludf.DUMMYFUNCTION("""COMPUTED_VALUE"""),"新北市三重區五華國民小學")</f>
        <v>新北市三重區五華國民小學</v>
      </c>
      <c r="F832" s="14" t="str">
        <f>IFERROR(__xludf.DUMMYFUNCTION("""COMPUTED_VALUE"""),"五年級")</f>
        <v>五年級</v>
      </c>
      <c r="G832" s="14" t="str">
        <f>IFERROR(__xludf.DUMMYFUNCTION("""COMPUTED_VALUE"""),"獎狀")</f>
        <v>獎狀</v>
      </c>
      <c r="H832" s="8"/>
    </row>
    <row r="833">
      <c r="A833" s="18"/>
      <c r="B833" s="14">
        <f>IFERROR(__xludf.DUMMYFUNCTION("""COMPUTED_VALUE"""),624154.0)</f>
        <v>624154</v>
      </c>
      <c r="C833" s="14" t="str">
        <f>IFERROR(__xludf.DUMMYFUNCTION("""COMPUTED_VALUE"""),"黃璿方")</f>
        <v>黃璿方</v>
      </c>
      <c r="D833" s="16" t="str">
        <f>IFERROR(__xludf.DUMMYFUNCTION("""COMPUTED_VALUE"""),"lfe*****41.ntpc@mail.edu.tw")</f>
        <v>lfe*****41.ntpc@mail.edu.tw</v>
      </c>
      <c r="E833" s="17" t="str">
        <f>IFERROR(__xludf.DUMMYFUNCTION("""COMPUTED_VALUE"""),"新北市新莊區榮富國民小學")</f>
        <v>新北市新莊區榮富國民小學</v>
      </c>
      <c r="F833" s="14" t="str">
        <f>IFERROR(__xludf.DUMMYFUNCTION("""COMPUTED_VALUE"""),"四年級")</f>
        <v>四年級</v>
      </c>
      <c r="G833" s="14" t="str">
        <f>IFERROR(__xludf.DUMMYFUNCTION("""COMPUTED_VALUE"""),"獎狀")</f>
        <v>獎狀</v>
      </c>
      <c r="H833" s="8"/>
    </row>
    <row r="834">
      <c r="A834" s="18"/>
      <c r="B834" s="14">
        <f>IFERROR(__xludf.DUMMYFUNCTION("""COMPUTED_VALUE"""),1201472.0)</f>
        <v>1201472</v>
      </c>
      <c r="C834" s="14" t="str">
        <f>IFERROR(__xludf.DUMMYFUNCTION("""COMPUTED_VALUE"""),"徐語彤")</f>
        <v>徐語彤</v>
      </c>
      <c r="D834" s="16" t="str">
        <f>IFERROR(__xludf.DUMMYFUNCTION("""COMPUTED_VALUE"""),"lfe*****24@apps.ntpc.edu.tw")</f>
        <v>lfe*****24@apps.ntpc.edu.tw</v>
      </c>
      <c r="E834" s="17" t="str">
        <f>IFERROR(__xludf.DUMMYFUNCTION("""COMPUTED_VALUE"""),"新北市新莊區榮富國民小學")</f>
        <v>新北市新莊區榮富國民小學</v>
      </c>
      <c r="F834" s="14" t="str">
        <f>IFERROR(__xludf.DUMMYFUNCTION("""COMPUTED_VALUE"""),"四年級")</f>
        <v>四年級</v>
      </c>
      <c r="G834" s="14" t="str">
        <f>IFERROR(__xludf.DUMMYFUNCTION("""COMPUTED_VALUE"""),"獎狀")</f>
        <v>獎狀</v>
      </c>
      <c r="H834" s="8"/>
    </row>
    <row r="835">
      <c r="A835" s="18"/>
      <c r="B835" s="14">
        <f>IFERROR(__xludf.DUMMYFUNCTION("""COMPUTED_VALUE"""),747210.0)</f>
        <v>747210</v>
      </c>
      <c r="C835" s="14" t="str">
        <f>IFERROR(__xludf.DUMMYFUNCTION("""COMPUTED_VALUE"""),"汪子淇")</f>
        <v>汪子淇</v>
      </c>
      <c r="D835" s="16" t="str">
        <f>IFERROR(__xludf.DUMMYFUNCTION("""COMPUTED_VALUE"""),"lfe*****66.ntpc@mail.edu.tw")</f>
        <v>lfe*****66.ntpc@mail.edu.tw</v>
      </c>
      <c r="E835" s="17" t="str">
        <f>IFERROR(__xludf.DUMMYFUNCTION("""COMPUTED_VALUE"""),"新北市新莊區榮富國民小學")</f>
        <v>新北市新莊區榮富國民小學</v>
      </c>
      <c r="F835" s="14" t="str">
        <f>IFERROR(__xludf.DUMMYFUNCTION("""COMPUTED_VALUE"""),"五年級")</f>
        <v>五年級</v>
      </c>
      <c r="G835" s="14" t="str">
        <f>IFERROR(__xludf.DUMMYFUNCTION("""COMPUTED_VALUE"""),"●小禮物")</f>
        <v>●小禮物</v>
      </c>
      <c r="H835" s="8"/>
    </row>
    <row r="836">
      <c r="A836" s="18"/>
      <c r="B836" s="14">
        <f>IFERROR(__xludf.DUMMYFUNCTION("""COMPUTED_VALUE"""),1079356.0)</f>
        <v>1079356</v>
      </c>
      <c r="C836" s="14" t="str">
        <f>IFERROR(__xludf.DUMMYFUNCTION("""COMPUTED_VALUE"""),"陳彥希")</f>
        <v>陳彥希</v>
      </c>
      <c r="D836" s="16" t="str">
        <f>IFERROR(__xludf.DUMMYFUNCTION("""COMPUTED_VALUE"""),"lfe*****15@apps.ntpc.edu.tw")</f>
        <v>lfe*****15@apps.ntpc.edu.tw</v>
      </c>
      <c r="E836" s="17" t="str">
        <f>IFERROR(__xludf.DUMMYFUNCTION("""COMPUTED_VALUE"""),"新北市新莊區榮富國民小學")</f>
        <v>新北市新莊區榮富國民小學</v>
      </c>
      <c r="F836" s="14" t="str">
        <f>IFERROR(__xludf.DUMMYFUNCTION("""COMPUTED_VALUE"""),"六年級")</f>
        <v>六年級</v>
      </c>
      <c r="G836" s="14" t="str">
        <f>IFERROR(__xludf.DUMMYFUNCTION("""COMPUTED_VALUE"""),"獎狀")</f>
        <v>獎狀</v>
      </c>
      <c r="H836" s="8"/>
    </row>
    <row r="837">
      <c r="A837" s="18"/>
      <c r="B837" s="14">
        <f>IFERROR(__xludf.DUMMYFUNCTION("""COMPUTED_VALUE"""),531625.0)</f>
        <v>531625</v>
      </c>
      <c r="C837" s="14" t="str">
        <f>IFERROR(__xludf.DUMMYFUNCTION("""COMPUTED_VALUE"""),"連芷瑄")</f>
        <v>連芷瑄</v>
      </c>
      <c r="D837" s="16" t="str">
        <f>IFERROR(__xludf.DUMMYFUNCTION("""COMPUTED_VALUE"""),"lcs*****tpc@mail.edu.tw")</f>
        <v>lcs*****tpc@mail.edu.tw</v>
      </c>
      <c r="E837" s="17" t="str">
        <f>IFERROR(__xludf.DUMMYFUNCTION("""COMPUTED_VALUE"""),"新北市新莊區思賢國民小學")</f>
        <v>新北市新莊區思賢國民小學</v>
      </c>
      <c r="F837" s="14" t="str">
        <f>IFERROR(__xludf.DUMMYFUNCTION("""COMPUTED_VALUE"""),"五年級")</f>
        <v>五年級</v>
      </c>
      <c r="G837" s="14" t="str">
        <f>IFERROR(__xludf.DUMMYFUNCTION("""COMPUTED_VALUE"""),"獎狀")</f>
        <v>獎狀</v>
      </c>
      <c r="H837" s="8"/>
    </row>
    <row r="838">
      <c r="A838" s="18"/>
      <c r="B838" s="14">
        <f>IFERROR(__xludf.DUMMYFUNCTION("""COMPUTED_VALUE"""),727473.0)</f>
        <v>727473</v>
      </c>
      <c r="C838" s="14" t="str">
        <f>IFERROR(__xludf.DUMMYFUNCTION("""COMPUTED_VALUE"""),"黃柔依")</f>
        <v>黃柔依</v>
      </c>
      <c r="D838" s="16" t="str">
        <f>IFERROR(__xludf.DUMMYFUNCTION("""COMPUTED_VALUE"""),"sie*****6118.ntpc@mail.edu.tw")</f>
        <v>sie*****6118.ntpc@mail.edu.tw</v>
      </c>
      <c r="E838" s="17" t="str">
        <f>IFERROR(__xludf.DUMMYFUNCTION("""COMPUTED_VALUE"""),"新北市新莊區思賢國民小學")</f>
        <v>新北市新莊區思賢國民小學</v>
      </c>
      <c r="F838" s="14" t="str">
        <f>IFERROR(__xludf.DUMMYFUNCTION("""COMPUTED_VALUE"""),"五年級")</f>
        <v>五年級</v>
      </c>
      <c r="G838" s="14" t="str">
        <f>IFERROR(__xludf.DUMMYFUNCTION("""COMPUTED_VALUE"""),"獎狀")</f>
        <v>獎狀</v>
      </c>
      <c r="H838" s="8"/>
    </row>
    <row r="839">
      <c r="A839" s="18"/>
      <c r="B839" s="14">
        <f>IFERROR(__xludf.DUMMYFUNCTION("""COMPUTED_VALUE"""),1099414.0)</f>
        <v>1099414</v>
      </c>
      <c r="C839" s="14" t="str">
        <f>IFERROR(__xludf.DUMMYFUNCTION("""COMPUTED_VALUE"""),"黃姸甄")</f>
        <v>黃姸甄</v>
      </c>
      <c r="D839" s="16" t="str">
        <f>IFERROR(__xludf.DUMMYFUNCTION("""COMPUTED_VALUE"""),"jen*****ng0801.ntpc@mail.edu.tw")</f>
        <v>jen*****ng0801.ntpc@mail.edu.tw</v>
      </c>
      <c r="E839" s="17" t="str">
        <f>IFERROR(__xludf.DUMMYFUNCTION("""COMPUTED_VALUE"""),"新北市新莊區昌平國民小學")</f>
        <v>新北市新莊區昌平國民小學</v>
      </c>
      <c r="F839" s="14" t="str">
        <f>IFERROR(__xludf.DUMMYFUNCTION("""COMPUTED_VALUE"""),"三年級")</f>
        <v>三年級</v>
      </c>
      <c r="G839" s="14" t="str">
        <f>IFERROR(__xludf.DUMMYFUNCTION("""COMPUTED_VALUE"""),"●小禮物")</f>
        <v>●小禮物</v>
      </c>
      <c r="H839" s="8"/>
    </row>
    <row r="840">
      <c r="A840" s="18"/>
      <c r="B840" s="14">
        <f>IFERROR(__xludf.DUMMYFUNCTION("""COMPUTED_VALUE"""),372910.0)</f>
        <v>372910</v>
      </c>
      <c r="C840" s="14" t="str">
        <f>IFERROR(__xludf.DUMMYFUNCTION("""COMPUTED_VALUE"""),"鄭又嘉")</f>
        <v>鄭又嘉</v>
      </c>
      <c r="D840" s="16" t="str">
        <f>IFERROR(__xludf.DUMMYFUNCTION("""COMPUTED_VALUE"""),"jan*****0807@yahoo.com")</f>
        <v>jan*****0807@yahoo.com</v>
      </c>
      <c r="E840" s="17" t="str">
        <f>IFERROR(__xludf.DUMMYFUNCTION("""COMPUTED_VALUE"""),"新北市新莊區昌平國民小學")</f>
        <v>新北市新莊區昌平國民小學</v>
      </c>
      <c r="F840" s="14" t="str">
        <f>IFERROR(__xludf.DUMMYFUNCTION("""COMPUTED_VALUE"""),"五年級")</f>
        <v>五年級</v>
      </c>
      <c r="G840" s="14" t="str">
        <f>IFERROR(__xludf.DUMMYFUNCTION("""COMPUTED_VALUE"""),"獎狀")</f>
        <v>獎狀</v>
      </c>
      <c r="H840" s="8"/>
    </row>
    <row r="841">
      <c r="A841" s="18"/>
      <c r="B841" s="14">
        <f>IFERROR(__xludf.DUMMYFUNCTION("""COMPUTED_VALUE"""),372890.0)</f>
        <v>372890</v>
      </c>
      <c r="C841" s="14" t="str">
        <f>IFERROR(__xludf.DUMMYFUNCTION("""COMPUTED_VALUE"""),"鄭又綺")</f>
        <v>鄭又綺</v>
      </c>
      <c r="D841" s="16" t="str">
        <f>IFERROR(__xludf.DUMMYFUNCTION("""COMPUTED_VALUE"""),"che*****07@yahoo.com")</f>
        <v>che*****07@yahoo.com</v>
      </c>
      <c r="E841" s="17" t="str">
        <f>IFERROR(__xludf.DUMMYFUNCTION("""COMPUTED_VALUE"""),"新北市新莊區昌平國民小學")</f>
        <v>新北市新莊區昌平國民小學</v>
      </c>
      <c r="F841" s="14" t="str">
        <f>IFERROR(__xludf.DUMMYFUNCTION("""COMPUTED_VALUE"""),"五年級")</f>
        <v>五年級</v>
      </c>
      <c r="G841" s="14" t="str">
        <f>IFERROR(__xludf.DUMMYFUNCTION("""COMPUTED_VALUE"""),"獎狀")</f>
        <v>獎狀</v>
      </c>
      <c r="H841" s="8"/>
    </row>
    <row r="842">
      <c r="A842" s="18"/>
      <c r="B842" s="14">
        <f>IFERROR(__xludf.DUMMYFUNCTION("""COMPUTED_VALUE"""),730237.0)</f>
        <v>730237</v>
      </c>
      <c r="C842" s="14" t="str">
        <f>IFERROR(__xludf.DUMMYFUNCTION("""COMPUTED_VALUE"""),"黃姸翎")</f>
        <v>黃姸翎</v>
      </c>
      <c r="D842" s="16" t="str">
        <f>IFERROR(__xludf.DUMMYFUNCTION("""COMPUTED_VALUE"""),"ann*****3@apps.ntpc.edu.tw")</f>
        <v>ann*****3@apps.ntpc.edu.tw</v>
      </c>
      <c r="E842" s="17" t="str">
        <f>IFERROR(__xludf.DUMMYFUNCTION("""COMPUTED_VALUE"""),"新北市新莊區昌平國民小學")</f>
        <v>新北市新莊區昌平國民小學</v>
      </c>
      <c r="F842" s="14" t="str">
        <f>IFERROR(__xludf.DUMMYFUNCTION("""COMPUTED_VALUE"""),"六年級")</f>
        <v>六年級</v>
      </c>
      <c r="G842" s="14" t="str">
        <f>IFERROR(__xludf.DUMMYFUNCTION("""COMPUTED_VALUE"""),"獎狀")</f>
        <v>獎狀</v>
      </c>
      <c r="H842" s="8"/>
    </row>
    <row r="843">
      <c r="A843" s="18"/>
      <c r="B843" s="14">
        <f>IFERROR(__xludf.DUMMYFUNCTION("""COMPUTED_VALUE"""),939650.0)</f>
        <v>939650</v>
      </c>
      <c r="C843" s="14" t="str">
        <f>IFERROR(__xludf.DUMMYFUNCTION("""COMPUTED_VALUE"""),"楊舜晴")</f>
        <v>楊舜晴</v>
      </c>
      <c r="D843" s="16" t="str">
        <f>IFERROR(__xludf.DUMMYFUNCTION("""COMPUTED_VALUE"""),"sun*****.ntpc@mail.edu.tw")</f>
        <v>sun*****.ntpc@mail.edu.tw</v>
      </c>
      <c r="E843" s="17" t="str">
        <f>IFERROR(__xludf.DUMMYFUNCTION("""COMPUTED_VALUE"""),"新北市新莊區丹鳳國民小學")</f>
        <v>新北市新莊區丹鳳國民小學</v>
      </c>
      <c r="F843" s="14" t="str">
        <f>IFERROR(__xludf.DUMMYFUNCTION("""COMPUTED_VALUE"""),"五年級")</f>
        <v>五年級</v>
      </c>
      <c r="G843" s="14" t="str">
        <f>IFERROR(__xludf.DUMMYFUNCTION("""COMPUTED_VALUE"""),"●小禮物")</f>
        <v>●小禮物</v>
      </c>
      <c r="H843" s="8"/>
    </row>
    <row r="844">
      <c r="A844" s="18"/>
      <c r="B844" s="14">
        <f>IFERROR(__xludf.DUMMYFUNCTION("""COMPUTED_VALUE"""),1003822.0)</f>
        <v>1003822</v>
      </c>
      <c r="C844" s="14" t="str">
        <f>IFERROR(__xludf.DUMMYFUNCTION("""COMPUTED_VALUE"""),"范雨彤")</f>
        <v>范雨彤</v>
      </c>
      <c r="D844" s="16" t="str">
        <f>IFERROR(__xludf.DUMMYFUNCTION("""COMPUTED_VALUE"""),"tfo*****1125.ntpc@mail.edu.tw")</f>
        <v>tfo*****1125.ntpc@mail.edu.tw</v>
      </c>
      <c r="E844" s="17" t="str">
        <f>IFERROR(__xludf.DUMMYFUNCTION("""COMPUTED_VALUE"""),"新北市新莊區丹鳳國民小學")</f>
        <v>新北市新莊區丹鳳國民小學</v>
      </c>
      <c r="F844" s="14" t="str">
        <f>IFERROR(__xludf.DUMMYFUNCTION("""COMPUTED_VALUE"""),"五年級")</f>
        <v>五年級</v>
      </c>
      <c r="G844" s="14" t="str">
        <f>IFERROR(__xludf.DUMMYFUNCTION("""COMPUTED_VALUE"""),"獎狀")</f>
        <v>獎狀</v>
      </c>
      <c r="H844" s="8"/>
    </row>
    <row r="845">
      <c r="A845" s="18"/>
      <c r="B845" s="14">
        <f>IFERROR(__xludf.DUMMYFUNCTION("""COMPUTED_VALUE"""),535470.0)</f>
        <v>535470</v>
      </c>
      <c r="C845" s="14" t="str">
        <f>IFERROR(__xludf.DUMMYFUNCTION("""COMPUTED_VALUE"""),"謝昇佑")</f>
        <v>謝昇佑</v>
      </c>
      <c r="D845" s="16" t="str">
        <f>IFERROR(__xludf.DUMMYFUNCTION("""COMPUTED_VALUE"""),"LIN*****5@HOTMAIL.COM")</f>
        <v>LIN*****5@HOTMAIL.COM</v>
      </c>
      <c r="E845" s="17" t="str">
        <f>IFERROR(__xludf.DUMMYFUNCTION("""COMPUTED_VALUE"""),"新北市新莊區丹鳳國民小學")</f>
        <v>新北市新莊區丹鳳國民小學</v>
      </c>
      <c r="F845" s="14" t="str">
        <f>IFERROR(__xludf.DUMMYFUNCTION("""COMPUTED_VALUE"""),"五年級")</f>
        <v>五年級</v>
      </c>
      <c r="G845" s="14" t="str">
        <f>IFERROR(__xludf.DUMMYFUNCTION("""COMPUTED_VALUE"""),"●小禮物")</f>
        <v>●小禮物</v>
      </c>
      <c r="H845" s="8"/>
    </row>
    <row r="846">
      <c r="A846" s="18"/>
      <c r="B846" s="14">
        <f>IFERROR(__xludf.DUMMYFUNCTION("""COMPUTED_VALUE"""),935035.0)</f>
        <v>935035</v>
      </c>
      <c r="C846" s="14" t="str">
        <f>IFERROR(__xludf.DUMMYFUNCTION("""COMPUTED_VALUE"""),"陳祉陶")</f>
        <v>陳祉陶</v>
      </c>
      <c r="D846" s="16" t="str">
        <f>IFERROR(__xludf.DUMMYFUNCTION("""COMPUTED_VALUE"""),"dor*****5@apps.ntpc.edu.tw")</f>
        <v>dor*****5@apps.ntpc.edu.tw</v>
      </c>
      <c r="E846" s="17" t="str">
        <f>IFERROR(__xludf.DUMMYFUNCTION("""COMPUTED_VALUE"""),"新北市林口區新林國民小學")</f>
        <v>新北市林口區新林國民小學</v>
      </c>
      <c r="F846" s="14" t="str">
        <f>IFERROR(__xludf.DUMMYFUNCTION("""COMPUTED_VALUE"""),"五年級")</f>
        <v>五年級</v>
      </c>
      <c r="G846" s="14" t="str">
        <f>IFERROR(__xludf.DUMMYFUNCTION("""COMPUTED_VALUE"""),"獎狀")</f>
        <v>獎狀</v>
      </c>
      <c r="H846" s="8"/>
    </row>
    <row r="847">
      <c r="A847" s="18"/>
      <c r="B847" s="14">
        <f>IFERROR(__xludf.DUMMYFUNCTION("""COMPUTED_VALUE"""),915647.0)</f>
        <v>915647</v>
      </c>
      <c r="C847" s="14" t="str">
        <f>IFERROR(__xludf.DUMMYFUNCTION("""COMPUTED_VALUE"""),"康珅煒")</f>
        <v>康珅煒</v>
      </c>
      <c r="D847" s="16" t="str">
        <f>IFERROR(__xludf.DUMMYFUNCTION("""COMPUTED_VALUE"""),"lle*****17.ntpc@mail.edu.tw")</f>
        <v>lle*****17.ntpc@mail.edu.tw</v>
      </c>
      <c r="E847" s="17" t="str">
        <f>IFERROR(__xludf.DUMMYFUNCTION("""COMPUTED_VALUE"""),"新北市林口區麗林國民小學")</f>
        <v>新北市林口區麗林國民小學</v>
      </c>
      <c r="F847" s="14" t="str">
        <f>IFERROR(__xludf.DUMMYFUNCTION("""COMPUTED_VALUE"""),"五年級")</f>
        <v>五年級</v>
      </c>
      <c r="G847" s="14" t="str">
        <f>IFERROR(__xludf.DUMMYFUNCTION("""COMPUTED_VALUE"""),"獎狀")</f>
        <v>獎狀</v>
      </c>
      <c r="H847" s="8"/>
    </row>
    <row r="848">
      <c r="A848" s="18"/>
      <c r="B848" s="14">
        <f>IFERROR(__xludf.DUMMYFUNCTION("""COMPUTED_VALUE"""),875813.0)</f>
        <v>875813</v>
      </c>
      <c r="C848" s="14" t="str">
        <f>IFERROR(__xludf.DUMMYFUNCTION("""COMPUTED_VALUE"""),"邱子珈")</f>
        <v>邱子珈</v>
      </c>
      <c r="D848" s="16" t="str">
        <f>IFERROR(__xludf.DUMMYFUNCTION("""COMPUTED_VALUE"""),"tzu*****3.ntpc@mail.edu.tw")</f>
        <v>tzu*****3.ntpc@mail.edu.tw</v>
      </c>
      <c r="E848" s="17" t="str">
        <f>IFERROR(__xludf.DUMMYFUNCTION("""COMPUTED_VALUE"""),"新北市林口區頭湖國民小學")</f>
        <v>新北市林口區頭湖國民小學</v>
      </c>
      <c r="F848" s="14" t="str">
        <f>IFERROR(__xludf.DUMMYFUNCTION("""COMPUTED_VALUE"""),"五年級")</f>
        <v>五年級</v>
      </c>
      <c r="G848" s="14" t="str">
        <f>IFERROR(__xludf.DUMMYFUNCTION("""COMPUTED_VALUE"""),"●小禮物")</f>
        <v>●小禮物</v>
      </c>
      <c r="H848" s="8"/>
    </row>
    <row r="849">
      <c r="A849" s="18"/>
      <c r="B849" s="14">
        <f>IFERROR(__xludf.DUMMYFUNCTION("""COMPUTED_VALUE"""),548951.0)</f>
        <v>548951</v>
      </c>
      <c r="C849" s="14" t="str">
        <f>IFERROR(__xludf.DUMMYFUNCTION("""COMPUTED_VALUE"""),"駱凱翔")</f>
        <v>駱凱翔</v>
      </c>
      <c r="D849" s="16" t="str">
        <f>IFERROR(__xludf.DUMMYFUNCTION("""COMPUTED_VALUE"""),"nao*****1@gmail.com")</f>
        <v>nao*****1@gmail.com</v>
      </c>
      <c r="E849" s="17" t="str">
        <f>IFERROR(__xludf.DUMMYFUNCTION("""COMPUTED_VALUE"""),"新北市林口區頭湖國民小學")</f>
        <v>新北市林口區頭湖國民小學</v>
      </c>
      <c r="F849" s="14" t="str">
        <f>IFERROR(__xludf.DUMMYFUNCTION("""COMPUTED_VALUE"""),"五年級")</f>
        <v>五年級</v>
      </c>
      <c r="G849" s="14" t="str">
        <f>IFERROR(__xludf.DUMMYFUNCTION("""COMPUTED_VALUE"""),"●小禮物")</f>
        <v>●小禮物</v>
      </c>
      <c r="H849" s="8"/>
    </row>
    <row r="850">
      <c r="A850" s="18"/>
      <c r="B850" s="14">
        <f>IFERROR(__xludf.DUMMYFUNCTION("""COMPUTED_VALUE"""),541761.0)</f>
        <v>541761</v>
      </c>
      <c r="C850" s="14" t="str">
        <f>IFERROR(__xludf.DUMMYFUNCTION("""COMPUTED_VALUE"""),"王宇暄")</f>
        <v>王宇暄</v>
      </c>
      <c r="D850" s="16" t="str">
        <f>IFERROR(__xludf.DUMMYFUNCTION("""COMPUTED_VALUE"""),"sop*****00409.ntpc@mail.edu.tw")</f>
        <v>sop*****00409.ntpc@mail.edu.tw</v>
      </c>
      <c r="E850" s="17" t="str">
        <f>IFERROR(__xludf.DUMMYFUNCTION("""COMPUTED_VALUE"""),"新北市林口區頭湖國民小學")</f>
        <v>新北市林口區頭湖國民小學</v>
      </c>
      <c r="F850" s="14" t="str">
        <f>IFERROR(__xludf.DUMMYFUNCTION("""COMPUTED_VALUE"""),"六年級")</f>
        <v>六年級</v>
      </c>
      <c r="G850" s="14" t="str">
        <f>IFERROR(__xludf.DUMMYFUNCTION("""COMPUTED_VALUE"""),"●小禮物")</f>
        <v>●小禮物</v>
      </c>
      <c r="H850" s="8"/>
    </row>
    <row r="851">
      <c r="A851" s="18"/>
      <c r="B851" s="14">
        <f>IFERROR(__xludf.DUMMYFUNCTION("""COMPUTED_VALUE"""),966806.0)</f>
        <v>966806</v>
      </c>
      <c r="C851" s="14" t="str">
        <f>IFERROR(__xludf.DUMMYFUNCTION("""COMPUTED_VALUE"""),"劉芷妘")</f>
        <v>劉芷妘</v>
      </c>
      <c r="D851" s="16" t="str">
        <f>IFERROR(__xludf.DUMMYFUNCTION("""COMPUTED_VALUE"""),"lcy*****apps.ntpc.edu.tw")</f>
        <v>lcy*****apps.ntpc.edu.tw</v>
      </c>
      <c r="E851" s="17" t="str">
        <f>IFERROR(__xludf.DUMMYFUNCTION("""COMPUTED_VALUE"""),"新北市林口區麗園國民小學")</f>
        <v>新北市林口區麗園國民小學</v>
      </c>
      <c r="F851" s="14" t="str">
        <f>IFERROR(__xludf.DUMMYFUNCTION("""COMPUTED_VALUE"""),"五年級")</f>
        <v>五年級</v>
      </c>
      <c r="G851" s="14" t="str">
        <f>IFERROR(__xludf.DUMMYFUNCTION("""COMPUTED_VALUE"""),"●小禮物")</f>
        <v>●小禮物</v>
      </c>
      <c r="H851" s="8"/>
    </row>
    <row r="852">
      <c r="A852" s="18"/>
      <c r="B852" s="14">
        <f>IFERROR(__xludf.DUMMYFUNCTION("""COMPUTED_VALUE"""),966779.0)</f>
        <v>966779</v>
      </c>
      <c r="C852" s="14" t="str">
        <f>IFERROR(__xludf.DUMMYFUNCTION("""COMPUTED_VALUE"""),"楊宜臻")</f>
        <v>楊宜臻</v>
      </c>
      <c r="D852" s="16" t="str">
        <f>IFERROR(__xludf.DUMMYFUNCTION("""COMPUTED_VALUE"""),"jan*****apps.ntpc.edu.tw")</f>
        <v>jan*****apps.ntpc.edu.tw</v>
      </c>
      <c r="E852" s="17" t="str">
        <f>IFERROR(__xludf.DUMMYFUNCTION("""COMPUTED_VALUE"""),"新北市林口區麗園國民小學")</f>
        <v>新北市林口區麗園國民小學</v>
      </c>
      <c r="F852" s="14" t="str">
        <f>IFERROR(__xludf.DUMMYFUNCTION("""COMPUTED_VALUE"""),"五年級")</f>
        <v>五年級</v>
      </c>
      <c r="G852" s="14" t="str">
        <f>IFERROR(__xludf.DUMMYFUNCTION("""COMPUTED_VALUE"""),"●小禮物")</f>
        <v>●小禮物</v>
      </c>
      <c r="H852" s="8"/>
    </row>
    <row r="853">
      <c r="A853" s="18"/>
      <c r="B853" s="14">
        <f>IFERROR(__xludf.DUMMYFUNCTION("""COMPUTED_VALUE"""),1007872.0)</f>
        <v>1007872</v>
      </c>
      <c r="C853" s="14" t="str">
        <f>IFERROR(__xludf.DUMMYFUNCTION("""COMPUTED_VALUE"""),"劉詠綺")</f>
        <v>劉詠綺</v>
      </c>
      <c r="D853" s="16" t="str">
        <f>IFERROR(__xludf.DUMMYFUNCTION("""COMPUTED_VALUE"""),"kit*****0601@apps.ntpc.edu.tw")</f>
        <v>kit*****0601@apps.ntpc.edu.tw</v>
      </c>
      <c r="E853" s="17" t="str">
        <f>IFERROR(__xludf.DUMMYFUNCTION("""COMPUTED_VALUE"""),"新北市林口區南勢國民小學")</f>
        <v>新北市林口區南勢國民小學</v>
      </c>
      <c r="F853" s="14" t="str">
        <f>IFERROR(__xludf.DUMMYFUNCTION("""COMPUTED_VALUE"""),"四年級")</f>
        <v>四年級</v>
      </c>
      <c r="G853" s="14" t="str">
        <f>IFERROR(__xludf.DUMMYFUNCTION("""COMPUTED_VALUE"""),"獎狀")</f>
        <v>獎狀</v>
      </c>
      <c r="H853" s="8"/>
    </row>
    <row r="854">
      <c r="A854" s="18"/>
      <c r="B854" s="14">
        <f>IFERROR(__xludf.DUMMYFUNCTION("""COMPUTED_VALUE"""),1164585.0)</f>
        <v>1164585</v>
      </c>
      <c r="C854" s="14" t="str">
        <f>IFERROR(__xludf.DUMMYFUNCTION("""COMPUTED_VALUE"""),"蔡承臻")</f>
        <v>蔡承臻</v>
      </c>
      <c r="D854" s="16" t="str">
        <f>IFERROR(__xludf.DUMMYFUNCTION("""COMPUTED_VALUE"""),"ccz*****ntpc@mail.edu.tw")</f>
        <v>ccz*****ntpc@mail.edu.tw</v>
      </c>
      <c r="E854" s="17" t="str">
        <f>IFERROR(__xludf.DUMMYFUNCTION("""COMPUTED_VALUE"""),"新北市林口區林口國民小學")</f>
        <v>新北市林口區林口國民小學</v>
      </c>
      <c r="F854" s="14" t="str">
        <f>IFERROR(__xludf.DUMMYFUNCTION("""COMPUTED_VALUE"""),"三年級")</f>
        <v>三年級</v>
      </c>
      <c r="G854" s="14" t="str">
        <f>IFERROR(__xludf.DUMMYFUNCTION("""COMPUTED_VALUE"""),"獎狀")</f>
        <v>獎狀</v>
      </c>
      <c r="H854" s="8"/>
    </row>
    <row r="855">
      <c r="A855" s="18"/>
      <c r="B855" s="14">
        <f>IFERROR(__xludf.DUMMYFUNCTION("""COMPUTED_VALUE"""),282303.0)</f>
        <v>282303</v>
      </c>
      <c r="C855" s="14" t="str">
        <f>IFERROR(__xludf.DUMMYFUNCTION("""COMPUTED_VALUE"""),"林奎銘")</f>
        <v>林奎銘</v>
      </c>
      <c r="D855" s="16" t="str">
        <f>IFERROR(__xludf.DUMMYFUNCTION("""COMPUTED_VALUE"""),"yux*****92@mail.edu.tw")</f>
        <v>yux*****92@mail.edu.tw</v>
      </c>
      <c r="E855" s="17" t="str">
        <f>IFERROR(__xludf.DUMMYFUNCTION("""COMPUTED_VALUE"""),"新北市林口區林口國民小學")</f>
        <v>新北市林口區林口國民小學</v>
      </c>
      <c r="F855" s="14" t="str">
        <f>IFERROR(__xludf.DUMMYFUNCTION("""COMPUTED_VALUE"""),"六年級")</f>
        <v>六年級</v>
      </c>
      <c r="G855" s="14" t="str">
        <f>IFERROR(__xludf.DUMMYFUNCTION("""COMPUTED_VALUE"""),"獎狀")</f>
        <v>獎狀</v>
      </c>
      <c r="H855" s="8"/>
    </row>
    <row r="856">
      <c r="A856" s="18"/>
      <c r="B856" s="14">
        <f>IFERROR(__xludf.DUMMYFUNCTION("""COMPUTED_VALUE"""),1152585.0)</f>
        <v>1152585</v>
      </c>
      <c r="C856" s="14" t="str">
        <f>IFERROR(__xludf.DUMMYFUNCTION("""COMPUTED_VALUE"""),"許懷恩")</f>
        <v>許懷恩</v>
      </c>
      <c r="D856" s="16" t="str">
        <f>IFERROR(__xludf.DUMMYFUNCTION("""COMPUTED_VALUE"""),"ab1*****.ntpc@mail.edu.tw")</f>
        <v>ab1*****.ntpc@mail.edu.tw</v>
      </c>
      <c r="E856" s="17" t="str">
        <f>IFERROR(__xludf.DUMMYFUNCTION("""COMPUTED_VALUE"""),"新北市蘆洲區蘆洲國民小學")</f>
        <v>新北市蘆洲區蘆洲國民小學</v>
      </c>
      <c r="F856" s="14" t="str">
        <f>IFERROR(__xludf.DUMMYFUNCTION("""COMPUTED_VALUE"""),"四年級")</f>
        <v>四年級</v>
      </c>
      <c r="G856" s="14" t="str">
        <f>IFERROR(__xludf.DUMMYFUNCTION("""COMPUTED_VALUE"""),"獎狀")</f>
        <v>獎狀</v>
      </c>
      <c r="H856" s="8"/>
    </row>
    <row r="857">
      <c r="A857" s="18"/>
      <c r="B857" s="14">
        <f>IFERROR(__xludf.DUMMYFUNCTION("""COMPUTED_VALUE"""),1108305.0)</f>
        <v>1108305</v>
      </c>
      <c r="C857" s="14" t="str">
        <f>IFERROR(__xludf.DUMMYFUNCTION("""COMPUTED_VALUE"""),"鍾明劭")</f>
        <v>鍾明劭</v>
      </c>
      <c r="D857" s="16" t="str">
        <f>IFERROR(__xludf.DUMMYFUNCTION("""COMPUTED_VALUE"""),"die*****2.ntpc@mail.edu.tw")</f>
        <v>die*****2.ntpc@mail.edu.tw</v>
      </c>
      <c r="E857" s="17" t="str">
        <f>IFERROR(__xludf.DUMMYFUNCTION("""COMPUTED_VALUE"""),"新北市蘆洲區蘆洲國民小學")</f>
        <v>新北市蘆洲區蘆洲國民小學</v>
      </c>
      <c r="F857" s="14" t="str">
        <f>IFERROR(__xludf.DUMMYFUNCTION("""COMPUTED_VALUE"""),"四年級")</f>
        <v>四年級</v>
      </c>
      <c r="G857" s="14" t="str">
        <f>IFERROR(__xludf.DUMMYFUNCTION("""COMPUTED_VALUE"""),"獎狀")</f>
        <v>獎狀</v>
      </c>
      <c r="H857" s="8"/>
    </row>
    <row r="858">
      <c r="A858" s="18"/>
      <c r="B858" s="14">
        <f>IFERROR(__xludf.DUMMYFUNCTION("""COMPUTED_VALUE"""),1135950.0)</f>
        <v>1135950</v>
      </c>
      <c r="C858" s="14" t="str">
        <f>IFERROR(__xludf.DUMMYFUNCTION("""COMPUTED_VALUE"""),"褚秉樺")</f>
        <v>褚秉樺</v>
      </c>
      <c r="D858" s="16" t="str">
        <f>IFERROR(__xludf.DUMMYFUNCTION("""COMPUTED_VALUE"""),"win*****2@apps.ntpc.edu.tw")</f>
        <v>win*****2@apps.ntpc.edu.tw</v>
      </c>
      <c r="E858" s="17" t="str">
        <f>IFERROR(__xludf.DUMMYFUNCTION("""COMPUTED_VALUE"""),"新北市蘆洲區蘆洲國民小學")</f>
        <v>新北市蘆洲區蘆洲國民小學</v>
      </c>
      <c r="F858" s="14" t="str">
        <f>IFERROR(__xludf.DUMMYFUNCTION("""COMPUTED_VALUE"""),"四年級")</f>
        <v>四年級</v>
      </c>
      <c r="G858" s="14" t="str">
        <f>IFERROR(__xludf.DUMMYFUNCTION("""COMPUTED_VALUE"""),"●小禮物")</f>
        <v>●小禮物</v>
      </c>
      <c r="H858" s="8"/>
    </row>
    <row r="859">
      <c r="A859" s="18"/>
      <c r="B859" s="14">
        <f>IFERROR(__xludf.DUMMYFUNCTION("""COMPUTED_VALUE"""),1069359.0)</f>
        <v>1069359</v>
      </c>
      <c r="C859" s="14" t="str">
        <f>IFERROR(__xludf.DUMMYFUNCTION("""COMPUTED_VALUE"""),"高浥書")</f>
        <v>高浥書</v>
      </c>
      <c r="D859" s="16" t="str">
        <f>IFERROR(__xludf.DUMMYFUNCTION("""COMPUTED_VALUE"""),"sta*****6.ntpc@mail.edu.tw")</f>
        <v>sta*****6.ntpc@mail.edu.tw</v>
      </c>
      <c r="E859" s="17" t="str">
        <f>IFERROR(__xludf.DUMMYFUNCTION("""COMPUTED_VALUE"""),"新北市蘆洲區蘆洲國民小學")</f>
        <v>新北市蘆洲區蘆洲國民小學</v>
      </c>
      <c r="F859" s="14" t="str">
        <f>IFERROR(__xludf.DUMMYFUNCTION("""COMPUTED_VALUE"""),"四年級")</f>
        <v>四年級</v>
      </c>
      <c r="G859" s="14" t="str">
        <f>IFERROR(__xludf.DUMMYFUNCTION("""COMPUTED_VALUE"""),"●小禮物")</f>
        <v>●小禮物</v>
      </c>
      <c r="H859" s="8"/>
    </row>
    <row r="860">
      <c r="A860" s="18"/>
      <c r="B860" s="14">
        <f>IFERROR(__xludf.DUMMYFUNCTION("""COMPUTED_VALUE"""),755761.0)</f>
        <v>755761</v>
      </c>
      <c r="C860" s="14" t="str">
        <f>IFERROR(__xludf.DUMMYFUNCTION("""COMPUTED_VALUE"""),"鍾宜湘")</f>
        <v>鍾宜湘</v>
      </c>
      <c r="D860" s="16" t="str">
        <f>IFERROR(__xludf.DUMMYFUNCTION("""COMPUTED_VALUE"""),"zyx*****ntpc@mail.edu.tw")</f>
        <v>zyx*****ntpc@mail.edu.tw</v>
      </c>
      <c r="E860" s="17" t="str">
        <f>IFERROR(__xludf.DUMMYFUNCTION("""COMPUTED_VALUE"""),"新北市蘆洲區蘆洲國民小學")</f>
        <v>新北市蘆洲區蘆洲國民小學</v>
      </c>
      <c r="F860" s="14" t="str">
        <f>IFERROR(__xludf.DUMMYFUNCTION("""COMPUTED_VALUE"""),"五年級")</f>
        <v>五年級</v>
      </c>
      <c r="G860" s="14" t="str">
        <f>IFERROR(__xludf.DUMMYFUNCTION("""COMPUTED_VALUE"""),"獎狀")</f>
        <v>獎狀</v>
      </c>
      <c r="H860" s="8"/>
    </row>
    <row r="861">
      <c r="A861" s="18"/>
      <c r="B861" s="14">
        <f>IFERROR(__xludf.DUMMYFUNCTION("""COMPUTED_VALUE"""),941377.0)</f>
        <v>941377</v>
      </c>
      <c r="C861" s="14" t="str">
        <f>IFERROR(__xludf.DUMMYFUNCTION("""COMPUTED_VALUE"""),"陳伊凡")</f>
        <v>陳伊凡</v>
      </c>
      <c r="D861" s="16" t="str">
        <f>IFERROR(__xludf.DUMMYFUNCTION("""COMPUTED_VALUE"""),"yvo*****12@apps.ntpc.edu.tw")</f>
        <v>yvo*****12@apps.ntpc.edu.tw</v>
      </c>
      <c r="E861" s="17" t="str">
        <f>IFERROR(__xludf.DUMMYFUNCTION("""COMPUTED_VALUE"""),"新北市蘆洲區蘆洲國民小學")</f>
        <v>新北市蘆洲區蘆洲國民小學</v>
      </c>
      <c r="F861" s="14" t="str">
        <f>IFERROR(__xludf.DUMMYFUNCTION("""COMPUTED_VALUE"""),"五年級")</f>
        <v>五年級</v>
      </c>
      <c r="G861" s="14" t="str">
        <f>IFERROR(__xludf.DUMMYFUNCTION("""COMPUTED_VALUE"""),"●小禮物")</f>
        <v>●小禮物</v>
      </c>
      <c r="H861" s="8"/>
    </row>
    <row r="862">
      <c r="A862" s="18"/>
      <c r="B862" s="14">
        <f>IFERROR(__xludf.DUMMYFUNCTION("""COMPUTED_VALUE"""),1143011.0)</f>
        <v>1143011</v>
      </c>
      <c r="C862" s="14" t="str">
        <f>IFERROR(__xludf.DUMMYFUNCTION("""COMPUTED_VALUE"""),"張程勛")</f>
        <v>張程勛</v>
      </c>
      <c r="D862" s="16" t="str">
        <f>IFERROR(__xludf.DUMMYFUNCTION("""COMPUTED_VALUE"""),"ch.*****0131@gmail.com")</f>
        <v>ch.*****0131@gmail.com</v>
      </c>
      <c r="E862" s="17" t="str">
        <f>IFERROR(__xludf.DUMMYFUNCTION("""COMPUTED_VALUE"""),"新北市蘆洲區鷺江國民小學")</f>
        <v>新北市蘆洲區鷺江國民小學</v>
      </c>
      <c r="F862" s="14" t="str">
        <f>IFERROR(__xludf.DUMMYFUNCTION("""COMPUTED_VALUE"""),"六年級")</f>
        <v>六年級</v>
      </c>
      <c r="G862" s="14" t="str">
        <f>IFERROR(__xludf.DUMMYFUNCTION("""COMPUTED_VALUE"""),"●小禮物")</f>
        <v>●小禮物</v>
      </c>
      <c r="H862" s="8"/>
    </row>
    <row r="863">
      <c r="A863" s="18"/>
      <c r="B863" s="14">
        <f>IFERROR(__xludf.DUMMYFUNCTION("""COMPUTED_VALUE"""),861124.0)</f>
        <v>861124</v>
      </c>
      <c r="C863" s="14" t="str">
        <f>IFERROR(__xludf.DUMMYFUNCTION("""COMPUTED_VALUE"""),"王映之")</f>
        <v>王映之</v>
      </c>
      <c r="D863" s="16" t="str">
        <f>IFERROR(__xludf.DUMMYFUNCTION("""COMPUTED_VALUE"""),"ss3*****yes108@mail.edu.tw")</f>
        <v>ss3*****yes108@mail.edu.tw</v>
      </c>
      <c r="E863" s="17" t="str">
        <f>IFERROR(__xludf.DUMMYFUNCTION("""COMPUTED_VALUE"""),"新北市蘆洲區忠義國民小學")</f>
        <v>新北市蘆洲區忠義國民小學</v>
      </c>
      <c r="F863" s="14" t="str">
        <f>IFERROR(__xludf.DUMMYFUNCTION("""COMPUTED_VALUE"""),"六年級")</f>
        <v>六年級</v>
      </c>
      <c r="G863" s="14" t="str">
        <f>IFERROR(__xludf.DUMMYFUNCTION("""COMPUTED_VALUE"""),"獎狀")</f>
        <v>獎狀</v>
      </c>
      <c r="H863" s="8"/>
    </row>
    <row r="864">
      <c r="A864" s="18"/>
      <c r="B864" s="14">
        <f>IFERROR(__xludf.DUMMYFUNCTION("""COMPUTED_VALUE"""),805250.0)</f>
        <v>805250</v>
      </c>
      <c r="C864" s="14" t="str">
        <f>IFERROR(__xludf.DUMMYFUNCTION("""COMPUTED_VALUE"""),"凃善哲")</f>
        <v>凃善哲</v>
      </c>
      <c r="D864" s="16" t="str">
        <f>IFERROR(__xludf.DUMMYFUNCTION("""COMPUTED_VALUE"""),"jus*****12.ntpc@mail.edu.tw")</f>
        <v>jus*****12.ntpc@mail.edu.tw</v>
      </c>
      <c r="E864" s="17" t="str">
        <f>IFERROR(__xludf.DUMMYFUNCTION("""COMPUTED_VALUE"""),"新北市五股區更寮國民小學")</f>
        <v>新北市五股區更寮國民小學</v>
      </c>
      <c r="F864" s="14" t="str">
        <f>IFERROR(__xludf.DUMMYFUNCTION("""COMPUTED_VALUE"""),"四年級")</f>
        <v>四年級</v>
      </c>
      <c r="G864" s="14" t="str">
        <f>IFERROR(__xludf.DUMMYFUNCTION("""COMPUTED_VALUE"""),"獎狀")</f>
        <v>獎狀</v>
      </c>
      <c r="H864" s="8"/>
    </row>
    <row r="865">
      <c r="A865" s="18"/>
      <c r="B865" s="14">
        <f>IFERROR(__xludf.DUMMYFUNCTION("""COMPUTED_VALUE"""),721577.0)</f>
        <v>721577</v>
      </c>
      <c r="C865" s="14" t="str">
        <f>IFERROR(__xludf.DUMMYFUNCTION("""COMPUTED_VALUE"""),"王宣蓉")</f>
        <v>王宣蓉</v>
      </c>
      <c r="D865" s="16" t="str">
        <f>IFERROR(__xludf.DUMMYFUNCTION("""COMPUTED_VALUE"""),"glp*****19.ntpc@mail.edu.tw")</f>
        <v>glp*****19.ntpc@mail.edu.tw</v>
      </c>
      <c r="E865" s="17" t="str">
        <f>IFERROR(__xludf.DUMMYFUNCTION("""COMPUTED_VALUE"""),"新北市五股區更寮國民小學")</f>
        <v>新北市五股區更寮國民小學</v>
      </c>
      <c r="F865" s="14" t="str">
        <f>IFERROR(__xludf.DUMMYFUNCTION("""COMPUTED_VALUE"""),"六年級")</f>
        <v>六年級</v>
      </c>
      <c r="G865" s="14" t="str">
        <f>IFERROR(__xludf.DUMMYFUNCTION("""COMPUTED_VALUE"""),"●小禮物")</f>
        <v>●小禮物</v>
      </c>
      <c r="H865" s="8"/>
    </row>
    <row r="866">
      <c r="A866" s="18"/>
      <c r="B866" s="14">
        <f>IFERROR(__xludf.DUMMYFUNCTION("""COMPUTED_VALUE"""),379014.0)</f>
        <v>379014</v>
      </c>
      <c r="C866" s="14" t="str">
        <f>IFERROR(__xludf.DUMMYFUNCTION("""COMPUTED_VALUE"""),"吳一志")</f>
        <v>吳一志</v>
      </c>
      <c r="D866" s="16" t="str">
        <f>IFERROR(__xludf.DUMMYFUNCTION("""COMPUTED_VALUE"""),"glp*****47.ntpc@mail.edu.tw")</f>
        <v>glp*****47.ntpc@mail.edu.tw</v>
      </c>
      <c r="E866" s="17" t="str">
        <f>IFERROR(__xludf.DUMMYFUNCTION("""COMPUTED_VALUE"""),"新北市五股區更寮國民小學")</f>
        <v>新北市五股區更寮國民小學</v>
      </c>
      <c r="F866" s="14" t="str">
        <f>IFERROR(__xludf.DUMMYFUNCTION("""COMPUTED_VALUE"""),"六年級")</f>
        <v>六年級</v>
      </c>
      <c r="G866" s="14" t="str">
        <f>IFERROR(__xludf.DUMMYFUNCTION("""COMPUTED_VALUE"""),"獎狀")</f>
        <v>獎狀</v>
      </c>
      <c r="H866" s="8"/>
    </row>
    <row r="867">
      <c r="A867" s="18"/>
      <c r="B867" s="14">
        <f>IFERROR(__xludf.DUMMYFUNCTION("""COMPUTED_VALUE"""),1021628.0)</f>
        <v>1021628</v>
      </c>
      <c r="C867" s="14" t="str">
        <f>IFERROR(__xludf.DUMMYFUNCTION("""COMPUTED_VALUE"""),"戴妙芯")</f>
        <v>戴妙芯</v>
      </c>
      <c r="D867" s="16" t="str">
        <f>IFERROR(__xludf.DUMMYFUNCTION("""COMPUTED_VALUE"""),"dmx*****apps.ntpc.edu.tw")</f>
        <v>dmx*****apps.ntpc.edu.tw</v>
      </c>
      <c r="E867" s="17" t="str">
        <f>IFERROR(__xludf.DUMMYFUNCTION("""COMPUTED_VALUE"""),"新北市五股區成州國民小學")</f>
        <v>新北市五股區成州國民小學</v>
      </c>
      <c r="F867" s="14" t="str">
        <f>IFERROR(__xludf.DUMMYFUNCTION("""COMPUTED_VALUE"""),"四年級")</f>
        <v>四年級</v>
      </c>
      <c r="G867" s="14" t="str">
        <f>IFERROR(__xludf.DUMMYFUNCTION("""COMPUTED_VALUE"""),"獎狀")</f>
        <v>獎狀</v>
      </c>
      <c r="H867" s="8"/>
    </row>
    <row r="868">
      <c r="A868" s="18"/>
      <c r="B868" s="14">
        <f>IFERROR(__xludf.DUMMYFUNCTION("""COMPUTED_VALUE"""),1086511.0)</f>
        <v>1086511</v>
      </c>
      <c r="C868" s="14" t="str">
        <f>IFERROR(__xludf.DUMMYFUNCTION("""COMPUTED_VALUE"""),"黃若瑄")</f>
        <v>黃若瑄</v>
      </c>
      <c r="D868" s="16" t="str">
        <f>IFERROR(__xludf.DUMMYFUNCTION("""COMPUTED_VALUE"""),"hrx*****apps.ntpc.edu.tw")</f>
        <v>hrx*****apps.ntpc.edu.tw</v>
      </c>
      <c r="E868" s="17" t="str">
        <f>IFERROR(__xludf.DUMMYFUNCTION("""COMPUTED_VALUE"""),"新北市淡水區新市國民小學")</f>
        <v>新北市淡水區新市國民小學</v>
      </c>
      <c r="F868" s="14" t="str">
        <f>IFERROR(__xludf.DUMMYFUNCTION("""COMPUTED_VALUE"""),"三年級")</f>
        <v>三年級</v>
      </c>
      <c r="G868" s="14" t="str">
        <f>IFERROR(__xludf.DUMMYFUNCTION("""COMPUTED_VALUE"""),"●小禮物")</f>
        <v>●小禮物</v>
      </c>
      <c r="H868" s="8"/>
    </row>
    <row r="869">
      <c r="A869" s="18"/>
      <c r="B869" s="14">
        <f>IFERROR(__xludf.DUMMYFUNCTION("""COMPUTED_VALUE"""),866325.0)</f>
        <v>866325</v>
      </c>
      <c r="C869" s="14" t="str">
        <f>IFERROR(__xludf.DUMMYFUNCTION("""COMPUTED_VALUE"""),"黃若畇")</f>
        <v>黃若畇</v>
      </c>
      <c r="D869" s="16" t="str">
        <f>IFERROR(__xludf.DUMMYFUNCTION("""COMPUTED_VALUE"""),"pho*****@mail.edu.tw")</f>
        <v>pho*****@mail.edu.tw</v>
      </c>
      <c r="E869" s="17" t="str">
        <f>IFERROR(__xludf.DUMMYFUNCTION("""COMPUTED_VALUE"""),"新北市淡水區新市國民小學")</f>
        <v>新北市淡水區新市國民小學</v>
      </c>
      <c r="F869" s="14" t="str">
        <f>IFERROR(__xludf.DUMMYFUNCTION("""COMPUTED_VALUE"""),"五年級")</f>
        <v>五年級</v>
      </c>
      <c r="G869" s="14" t="str">
        <f>IFERROR(__xludf.DUMMYFUNCTION("""COMPUTED_VALUE"""),"獎狀")</f>
        <v>獎狀</v>
      </c>
      <c r="H869" s="8"/>
    </row>
    <row r="870">
      <c r="A870" s="18"/>
      <c r="B870" s="14">
        <f>IFERROR(__xludf.DUMMYFUNCTION("""COMPUTED_VALUE"""),390762.0)</f>
        <v>390762</v>
      </c>
      <c r="C870" s="14" t="str">
        <f>IFERROR(__xludf.DUMMYFUNCTION("""COMPUTED_VALUE"""),"周秉賢")</f>
        <v>周秉賢</v>
      </c>
      <c r="D870" s="16" t="str">
        <f>IFERROR(__xludf.DUMMYFUNCTION("""COMPUTED_VALUE"""),"ben*****110624@mail.edu.tw")</f>
        <v>ben*****110624@mail.edu.tw</v>
      </c>
      <c r="E870" s="17" t="str">
        <f>IFERROR(__xludf.DUMMYFUNCTION("""COMPUTED_VALUE"""),"新北市淡水區新市國民小學")</f>
        <v>新北市淡水區新市國民小學</v>
      </c>
      <c r="F870" s="14" t="str">
        <f>IFERROR(__xludf.DUMMYFUNCTION("""COMPUTED_VALUE"""),"六年級")</f>
        <v>六年級</v>
      </c>
      <c r="G870" s="14" t="str">
        <f>IFERROR(__xludf.DUMMYFUNCTION("""COMPUTED_VALUE"""),"●小禮物")</f>
        <v>●小禮物</v>
      </c>
      <c r="H870" s="8"/>
    </row>
    <row r="871">
      <c r="A871" s="18"/>
      <c r="B871" s="14">
        <f>IFERROR(__xludf.DUMMYFUNCTION("""COMPUTED_VALUE"""),913305.0)</f>
        <v>913305</v>
      </c>
      <c r="C871" s="14" t="str">
        <f>IFERROR(__xludf.DUMMYFUNCTION("""COMPUTED_VALUE"""),"王晨曦")</f>
        <v>王晨曦</v>
      </c>
      <c r="D871" s="16" t="str">
        <f>IFERROR(__xludf.DUMMYFUNCTION("""COMPUTED_VALUE"""),"cin*****g220@mail.edu.tw")</f>
        <v>cin*****g220@mail.edu.tw</v>
      </c>
      <c r="E871" s="17" t="str">
        <f>IFERROR(__xludf.DUMMYFUNCTION("""COMPUTED_VALUE"""),"新北市淡水區竹圍國民小學")</f>
        <v>新北市淡水區竹圍國民小學</v>
      </c>
      <c r="F871" s="14" t="str">
        <f>IFERROR(__xludf.DUMMYFUNCTION("""COMPUTED_VALUE"""),"四年級")</f>
        <v>四年級</v>
      </c>
      <c r="G871" s="14" t="str">
        <f>IFERROR(__xludf.DUMMYFUNCTION("""COMPUTED_VALUE"""),"●小禮物")</f>
        <v>●小禮物</v>
      </c>
      <c r="H871" s="8"/>
    </row>
    <row r="872">
      <c r="A872" s="18"/>
      <c r="B872" s="14">
        <f>IFERROR(__xludf.DUMMYFUNCTION("""COMPUTED_VALUE"""),983165.0)</f>
        <v>983165</v>
      </c>
      <c r="C872" s="14" t="str">
        <f>IFERROR(__xludf.DUMMYFUNCTION("""COMPUTED_VALUE"""),"鄭翔升")</f>
        <v>鄭翔升</v>
      </c>
      <c r="D872" s="16" t="str">
        <f>IFERROR(__xludf.DUMMYFUNCTION("""COMPUTED_VALUE"""),"wh1*****@apps.ntpc.edu.tw")</f>
        <v>wh1*****@apps.ntpc.edu.tw</v>
      </c>
      <c r="E872" s="17" t="str">
        <f>IFERROR(__xludf.DUMMYFUNCTION("""COMPUTED_VALUE"""),"新北市淡水區文化國民小學")</f>
        <v>新北市淡水區文化國民小學</v>
      </c>
      <c r="F872" s="14" t="str">
        <f>IFERROR(__xludf.DUMMYFUNCTION("""COMPUTED_VALUE"""),"四年級")</f>
        <v>四年級</v>
      </c>
      <c r="G872" s="14" t="str">
        <f>IFERROR(__xludf.DUMMYFUNCTION("""COMPUTED_VALUE"""),"獎狀")</f>
        <v>獎狀</v>
      </c>
      <c r="H872" s="8"/>
    </row>
    <row r="873">
      <c r="A873" s="18"/>
      <c r="B873" s="14">
        <f>IFERROR(__xludf.DUMMYFUNCTION("""COMPUTED_VALUE"""),199992.0)</f>
        <v>199992</v>
      </c>
      <c r="C873" s="14" t="str">
        <f>IFERROR(__xludf.DUMMYFUNCTION("""COMPUTED_VALUE"""),"陳宥翟")</f>
        <v>陳宥翟</v>
      </c>
      <c r="D873" s="16" t="str">
        <f>IFERROR(__xludf.DUMMYFUNCTION("""COMPUTED_VALUE"""),"ara*****odi0923@gmail.com")</f>
        <v>ara*****odi0923@gmail.com</v>
      </c>
      <c r="E873" s="17" t="str">
        <f>IFERROR(__xludf.DUMMYFUNCTION("""COMPUTED_VALUE"""),"新北市淡水區新興國民小學")</f>
        <v>新北市淡水區新興國民小學</v>
      </c>
      <c r="F873" s="14" t="str">
        <f>IFERROR(__xludf.DUMMYFUNCTION("""COMPUTED_VALUE"""),"五年級")</f>
        <v>五年級</v>
      </c>
      <c r="G873" s="14" t="str">
        <f>IFERROR(__xludf.DUMMYFUNCTION("""COMPUTED_VALUE"""),"獎狀")</f>
        <v>獎狀</v>
      </c>
      <c r="H873" s="8"/>
    </row>
    <row r="874">
      <c r="A874" s="18"/>
      <c r="B874" s="14">
        <f>IFERROR(__xludf.DUMMYFUNCTION("""COMPUTED_VALUE"""),684790.0)</f>
        <v>684790</v>
      </c>
      <c r="C874" s="14" t="str">
        <f>IFERROR(__xludf.DUMMYFUNCTION("""COMPUTED_VALUE"""),"王宇勤")</f>
        <v>王宇勤</v>
      </c>
      <c r="D874" s="16" t="str">
        <f>IFERROR(__xludf.DUMMYFUNCTION("""COMPUTED_VALUE"""),"chi*****mail.edu.tw")</f>
        <v>chi*****mail.edu.tw</v>
      </c>
      <c r="E874" s="17" t="str">
        <f>IFERROR(__xludf.DUMMYFUNCTION("""COMPUTED_VALUE"""),"新北市淡水區鄧公國民小學")</f>
        <v>新北市淡水區鄧公國民小學</v>
      </c>
      <c r="F874" s="14" t="str">
        <f>IFERROR(__xludf.DUMMYFUNCTION("""COMPUTED_VALUE"""),"四年級")</f>
        <v>四年級</v>
      </c>
      <c r="G874" s="14" t="str">
        <f>IFERROR(__xludf.DUMMYFUNCTION("""COMPUTED_VALUE"""),"★禮券$1000")</f>
        <v>★禮券$1000</v>
      </c>
      <c r="H874" s="8"/>
    </row>
    <row r="875">
      <c r="A875" s="18"/>
      <c r="B875" s="14">
        <f>IFERROR(__xludf.DUMMYFUNCTION("""COMPUTED_VALUE"""),585429.0)</f>
        <v>585429</v>
      </c>
      <c r="C875" s="14" t="str">
        <f>IFERROR(__xludf.DUMMYFUNCTION("""COMPUTED_VALUE"""),"王宇樵")</f>
        <v>王宇樵</v>
      </c>
      <c r="D875" s="16" t="str">
        <f>IFERROR(__xludf.DUMMYFUNCTION("""COMPUTED_VALUE"""),"mic*****04@mail.edu.tw")</f>
        <v>mic*****04@mail.edu.tw</v>
      </c>
      <c r="E875" s="17" t="str">
        <f>IFERROR(__xludf.DUMMYFUNCTION("""COMPUTED_VALUE"""),"新北市淡水區鄧公國民小學")</f>
        <v>新北市淡水區鄧公國民小學</v>
      </c>
      <c r="F875" s="14" t="str">
        <f>IFERROR(__xludf.DUMMYFUNCTION("""COMPUTED_VALUE"""),"五年級")</f>
        <v>五年級</v>
      </c>
      <c r="G875" s="14" t="str">
        <f>IFERROR(__xludf.DUMMYFUNCTION("""COMPUTED_VALUE"""),"獎狀")</f>
        <v>獎狀</v>
      </c>
      <c r="H875" s="8"/>
    </row>
    <row r="876">
      <c r="A876" s="18"/>
      <c r="B876" s="14">
        <f>IFERROR(__xludf.DUMMYFUNCTION("""COMPUTED_VALUE"""),708842.0)</f>
        <v>708842</v>
      </c>
      <c r="C876" s="14" t="str">
        <f>IFERROR(__xludf.DUMMYFUNCTION("""COMPUTED_VALUE"""),"廖苙妤")</f>
        <v>廖苙妤</v>
      </c>
      <c r="D876" s="16" t="str">
        <f>IFERROR(__xludf.DUMMYFUNCTION("""COMPUTED_VALUE"""),"sme*****09@apps.ntpc.edu.tw")</f>
        <v>sme*****09@apps.ntpc.edu.tw</v>
      </c>
      <c r="E876" s="17" t="str">
        <f>IFERROR(__xludf.DUMMYFUNCTION("""COMPUTED_VALUE"""),"新北市石門區石門國民小學")</f>
        <v>新北市石門區石門國民小學</v>
      </c>
      <c r="F876" s="14" t="str">
        <f>IFERROR(__xludf.DUMMYFUNCTION("""COMPUTED_VALUE"""),"五年級")</f>
        <v>五年級</v>
      </c>
      <c r="G876" s="14" t="str">
        <f>IFERROR(__xludf.DUMMYFUNCTION("""COMPUTED_VALUE"""),"●小禮物")</f>
        <v>●小禮物</v>
      </c>
      <c r="H876" s="8"/>
    </row>
    <row r="877">
      <c r="A877" s="18"/>
      <c r="B877" s="14">
        <f>IFERROR(__xludf.DUMMYFUNCTION("""COMPUTED_VALUE"""),321938.0)</f>
        <v>321938</v>
      </c>
      <c r="C877" s="14" t="str">
        <f>IFERROR(__xludf.DUMMYFUNCTION("""COMPUTED_VALUE"""),"潘妍亘")</f>
        <v>潘妍亘</v>
      </c>
      <c r="D877" s="16" t="str">
        <f>IFERROR(__xludf.DUMMYFUNCTION("""COMPUTED_VALUE"""),"isa*****0.stdilc@mail.edu.tw")</f>
        <v>isa*****0.stdilc@mail.edu.tw</v>
      </c>
      <c r="E877" s="17" t="str">
        <f>IFERROR(__xludf.DUMMYFUNCTION("""COMPUTED_VALUE"""),"宜蘭縣宜蘭市光復國民小學")</f>
        <v>宜蘭縣宜蘭市光復國民小學</v>
      </c>
      <c r="F877" s="14" t="str">
        <f>IFERROR(__xludf.DUMMYFUNCTION("""COMPUTED_VALUE"""),"五年級")</f>
        <v>五年級</v>
      </c>
      <c r="G877" s="14" t="str">
        <f>IFERROR(__xludf.DUMMYFUNCTION("""COMPUTED_VALUE"""),"●小禮物")</f>
        <v>●小禮物</v>
      </c>
      <c r="H877" s="8"/>
    </row>
    <row r="878">
      <c r="A878" s="18"/>
      <c r="B878" s="14">
        <f>IFERROR(__xludf.DUMMYFUNCTION("""COMPUTED_VALUE"""),119513.0)</f>
        <v>119513</v>
      </c>
      <c r="C878" s="14" t="str">
        <f>IFERROR(__xludf.DUMMYFUNCTION("""COMPUTED_VALUE"""),"陳亮含")</f>
        <v>陳亮含</v>
      </c>
      <c r="D878" s="16" t="str">
        <f>IFERROR(__xludf.DUMMYFUNCTION("""COMPUTED_VALUE"""),"mim*****yahoo.com.tw")</f>
        <v>mim*****yahoo.com.tw</v>
      </c>
      <c r="E878" s="17" t="str">
        <f>IFERROR(__xludf.DUMMYFUNCTION("""COMPUTED_VALUE"""),"宜蘭縣宜蘭市光復國民小學")</f>
        <v>宜蘭縣宜蘭市光復國民小學</v>
      </c>
      <c r="F878" s="14" t="str">
        <f>IFERROR(__xludf.DUMMYFUNCTION("""COMPUTED_VALUE"""),"五年級")</f>
        <v>五年級</v>
      </c>
      <c r="G878" s="14" t="str">
        <f>IFERROR(__xludf.DUMMYFUNCTION("""COMPUTED_VALUE"""),"獎狀")</f>
        <v>獎狀</v>
      </c>
      <c r="H878" s="8"/>
    </row>
    <row r="879">
      <c r="A879" s="18"/>
      <c r="B879" s="14">
        <f>IFERROR(__xludf.DUMMYFUNCTION("""COMPUTED_VALUE"""),587795.0)</f>
        <v>587795</v>
      </c>
      <c r="C879" s="14" t="str">
        <f>IFERROR(__xludf.DUMMYFUNCTION("""COMPUTED_VALUE"""),"洪晞媛")</f>
        <v>洪晞媛</v>
      </c>
      <c r="D879" s="16" t="str">
        <f>IFERROR(__xludf.DUMMYFUNCTION("""COMPUTED_VALUE"""),"ash*****17.stdilc@mail.edu.tw")</f>
        <v>ash*****17.stdilc@mail.edu.tw</v>
      </c>
      <c r="E879" s="17" t="str">
        <f>IFERROR(__xludf.DUMMYFUNCTION("""COMPUTED_VALUE"""),"宜蘭縣宜蘭市光復國民小學")</f>
        <v>宜蘭縣宜蘭市光復國民小學</v>
      </c>
      <c r="F879" s="14" t="str">
        <f>IFERROR(__xludf.DUMMYFUNCTION("""COMPUTED_VALUE"""),"五年級")</f>
        <v>五年級</v>
      </c>
      <c r="G879" s="14" t="str">
        <f>IFERROR(__xludf.DUMMYFUNCTION("""COMPUTED_VALUE"""),"●小禮物")</f>
        <v>●小禮物</v>
      </c>
      <c r="H879" s="8"/>
    </row>
    <row r="880">
      <c r="A880" s="18"/>
      <c r="B880" s="14">
        <f>IFERROR(__xludf.DUMMYFUNCTION("""COMPUTED_VALUE"""),1215424.0)</f>
        <v>1215424</v>
      </c>
      <c r="C880" s="14" t="str">
        <f>IFERROR(__xludf.DUMMYFUNCTION("""COMPUTED_VALUE"""),"吳亦翔")</f>
        <v>吳亦翔</v>
      </c>
      <c r="D880" s="16" t="str">
        <f>IFERROR(__xludf.DUMMYFUNCTION("""COMPUTED_VALUE"""),"bry*****on1202@gmail.com")</f>
        <v>bry*****on1202@gmail.com</v>
      </c>
      <c r="E880" s="17" t="str">
        <f>IFERROR(__xludf.DUMMYFUNCTION("""COMPUTED_VALUE"""),"宜蘭縣宜蘭市光復國民小學")</f>
        <v>宜蘭縣宜蘭市光復國民小學</v>
      </c>
      <c r="F880" s="14" t="str">
        <f>IFERROR(__xludf.DUMMYFUNCTION("""COMPUTED_VALUE"""),"六年級")</f>
        <v>六年級</v>
      </c>
      <c r="G880" s="14" t="str">
        <f>IFERROR(__xludf.DUMMYFUNCTION("""COMPUTED_VALUE"""),"★禮券$200")</f>
        <v>★禮券$200</v>
      </c>
      <c r="H880" s="8"/>
    </row>
    <row r="881">
      <c r="A881" s="18"/>
      <c r="B881" s="14">
        <f>IFERROR(__xludf.DUMMYFUNCTION("""COMPUTED_VALUE"""),133950.0)</f>
        <v>133950</v>
      </c>
      <c r="C881" s="14" t="str">
        <f>IFERROR(__xludf.DUMMYFUNCTION("""COMPUTED_VALUE"""),"陳冠汝")</f>
        <v>陳冠汝</v>
      </c>
      <c r="D881" s="16" t="str">
        <f>IFERROR(__xludf.DUMMYFUNCTION("""COMPUTED_VALUE"""),"rub*****30@smail.ilc.edu.tw")</f>
        <v>rub*****30@smail.ilc.edu.tw</v>
      </c>
      <c r="E881" s="17" t="str">
        <f>IFERROR(__xludf.DUMMYFUNCTION("""COMPUTED_VALUE"""),"宜蘭縣宜蘭市光復國民小學")</f>
        <v>宜蘭縣宜蘭市光復國民小學</v>
      </c>
      <c r="F881" s="14" t="str">
        <f>IFERROR(__xludf.DUMMYFUNCTION("""COMPUTED_VALUE"""),"六年級")</f>
        <v>六年級</v>
      </c>
      <c r="G881" s="14" t="str">
        <f>IFERROR(__xludf.DUMMYFUNCTION("""COMPUTED_VALUE"""),"獎狀")</f>
        <v>獎狀</v>
      </c>
      <c r="H881" s="8"/>
    </row>
    <row r="882">
      <c r="A882" s="18"/>
      <c r="B882" s="14">
        <f>IFERROR(__xludf.DUMMYFUNCTION("""COMPUTED_VALUE"""),725441.0)</f>
        <v>725441</v>
      </c>
      <c r="C882" s="14" t="str">
        <f>IFERROR(__xludf.DUMMYFUNCTION("""COMPUTED_VALUE"""),"蔡定晏")</f>
        <v>蔡定晏</v>
      </c>
      <c r="D882" s="16" t="str">
        <f>IFERROR(__xludf.DUMMYFUNCTION("""COMPUTED_VALUE"""),"jse*****036.stdilc@mail.edu.tw")</f>
        <v>jse*****036.stdilc@mail.edu.tw</v>
      </c>
      <c r="E882" s="17" t="str">
        <f>IFERROR(__xludf.DUMMYFUNCTION("""COMPUTED_VALUE"""),"宜蘭縣宜蘭市中山國民小學")</f>
        <v>宜蘭縣宜蘭市中山國民小學</v>
      </c>
      <c r="F882" s="14" t="str">
        <f>IFERROR(__xludf.DUMMYFUNCTION("""COMPUTED_VALUE"""),"五年級")</f>
        <v>五年級</v>
      </c>
      <c r="G882" s="14" t="str">
        <f>IFERROR(__xludf.DUMMYFUNCTION("""COMPUTED_VALUE"""),"●小禮物")</f>
        <v>●小禮物</v>
      </c>
      <c r="H882" s="8"/>
    </row>
    <row r="883">
      <c r="A883" s="18"/>
      <c r="B883" s="14">
        <f>IFERROR(__xludf.DUMMYFUNCTION("""COMPUTED_VALUE"""),684977.0)</f>
        <v>684977</v>
      </c>
      <c r="C883" s="14" t="str">
        <f>IFERROR(__xludf.DUMMYFUNCTION("""COMPUTED_VALUE"""),"吳宥廷")</f>
        <v>吳宥廷</v>
      </c>
      <c r="D883" s="16" t="str">
        <f>IFERROR(__xludf.DUMMYFUNCTION("""COMPUTED_VALUE"""),"jus*****211@mail.edu.tw")</f>
        <v>jus*****211@mail.edu.tw</v>
      </c>
      <c r="E883" s="17" t="str">
        <f>IFERROR(__xludf.DUMMYFUNCTION("""COMPUTED_VALUE"""),"宜蘭縣宜蘭市育才國民小學")</f>
        <v>宜蘭縣宜蘭市育才國民小學</v>
      </c>
      <c r="F883" s="14" t="str">
        <f>IFERROR(__xludf.DUMMYFUNCTION("""COMPUTED_VALUE"""),"三年級")</f>
        <v>三年級</v>
      </c>
      <c r="G883" s="14" t="str">
        <f>IFERROR(__xludf.DUMMYFUNCTION("""COMPUTED_VALUE"""),"獎狀")</f>
        <v>獎狀</v>
      </c>
      <c r="H883" s="8"/>
    </row>
    <row r="884">
      <c r="A884" s="18"/>
      <c r="B884" s="14">
        <f>IFERROR(__xludf.DUMMYFUNCTION("""COMPUTED_VALUE"""),302460.0)</f>
        <v>302460</v>
      </c>
      <c r="C884" s="14" t="str">
        <f>IFERROR(__xludf.DUMMYFUNCTION("""COMPUTED_VALUE"""),"吳禹呈")</f>
        <v>吳禹呈</v>
      </c>
      <c r="D884" s="16" t="str">
        <f>IFERROR(__xludf.DUMMYFUNCTION("""COMPUTED_VALUE"""),"eas*****stdilc@mail.edu.tw")</f>
        <v>eas*****stdilc@mail.edu.tw</v>
      </c>
      <c r="E884" s="17" t="str">
        <f>IFERROR(__xludf.DUMMYFUNCTION("""COMPUTED_VALUE"""),"宜蘭縣宜蘭市育才國民小學")</f>
        <v>宜蘭縣宜蘭市育才國民小學</v>
      </c>
      <c r="F884" s="14" t="str">
        <f>IFERROR(__xludf.DUMMYFUNCTION("""COMPUTED_VALUE"""),"六年級")</f>
        <v>六年級</v>
      </c>
      <c r="G884" s="14" t="str">
        <f>IFERROR(__xludf.DUMMYFUNCTION("""COMPUTED_VALUE"""),"●小禮物")</f>
        <v>●小禮物</v>
      </c>
      <c r="H884" s="8"/>
    </row>
    <row r="885">
      <c r="A885" s="18"/>
      <c r="B885" s="14">
        <f>IFERROR(__xludf.DUMMYFUNCTION("""COMPUTED_VALUE"""),748986.0)</f>
        <v>748986</v>
      </c>
      <c r="C885" s="14" t="str">
        <f>IFERROR(__xludf.DUMMYFUNCTION("""COMPUTED_VALUE"""),"王韻淇")</f>
        <v>王韻淇</v>
      </c>
      <c r="D885" s="16" t="str">
        <f>IFERROR(__xludf.DUMMYFUNCTION("""COMPUTED_VALUE"""),"s10*****.stdilc@mail.edu.tw")</f>
        <v>s10*****.stdilc@mail.edu.tw</v>
      </c>
      <c r="E885" s="17" t="str">
        <f>IFERROR(__xludf.DUMMYFUNCTION("""COMPUTED_VALUE"""),"宜蘭縣頭城鎮二城國民小學")</f>
        <v>宜蘭縣頭城鎮二城國民小學</v>
      </c>
      <c r="F885" s="14" t="str">
        <f>IFERROR(__xludf.DUMMYFUNCTION("""COMPUTED_VALUE"""),"五年級")</f>
        <v>五年級</v>
      </c>
      <c r="G885" s="14" t="str">
        <f>IFERROR(__xludf.DUMMYFUNCTION("""COMPUTED_VALUE"""),"●小禮物")</f>
        <v>●小禮物</v>
      </c>
      <c r="H885" s="8"/>
    </row>
    <row r="886">
      <c r="A886" s="18"/>
      <c r="B886" s="14">
        <f>IFERROR(__xludf.DUMMYFUNCTION("""COMPUTED_VALUE"""),753001.0)</f>
        <v>753001</v>
      </c>
      <c r="C886" s="14" t="str">
        <f>IFERROR(__xludf.DUMMYFUNCTION("""COMPUTED_VALUE"""),"蔡沛潔")</f>
        <v>蔡沛潔</v>
      </c>
      <c r="D886" s="16" t="str">
        <f>IFERROR(__xludf.DUMMYFUNCTION("""COMPUTED_VALUE"""),"s10*****.stdilc@mail.edu.tw")</f>
        <v>s10*****.stdilc@mail.edu.tw</v>
      </c>
      <c r="E886" s="17" t="str">
        <f>IFERROR(__xludf.DUMMYFUNCTION("""COMPUTED_VALUE"""),"宜蘭縣頭城鎮二城國民小學")</f>
        <v>宜蘭縣頭城鎮二城國民小學</v>
      </c>
      <c r="F886" s="14" t="str">
        <f>IFERROR(__xludf.DUMMYFUNCTION("""COMPUTED_VALUE"""),"五年級")</f>
        <v>五年級</v>
      </c>
      <c r="G886" s="14" t="str">
        <f>IFERROR(__xludf.DUMMYFUNCTION("""COMPUTED_VALUE"""),"獎狀")</f>
        <v>獎狀</v>
      </c>
      <c r="H886" s="8"/>
    </row>
    <row r="887">
      <c r="A887" s="18"/>
      <c r="B887" s="14">
        <f>IFERROR(__xludf.DUMMYFUNCTION("""COMPUTED_VALUE"""),753079.0)</f>
        <v>753079</v>
      </c>
      <c r="C887" s="14" t="str">
        <f>IFERROR(__xludf.DUMMYFUNCTION("""COMPUTED_VALUE"""),"王楷翔")</f>
        <v>王楷翔</v>
      </c>
      <c r="D887" s="16" t="str">
        <f>IFERROR(__xludf.DUMMYFUNCTION("""COMPUTED_VALUE"""),"s10*****.stdilc@mail.edu.tw")</f>
        <v>s10*****.stdilc@mail.edu.tw</v>
      </c>
      <c r="E887" s="17" t="str">
        <f>IFERROR(__xludf.DUMMYFUNCTION("""COMPUTED_VALUE"""),"宜蘭縣頭城鎮二城國民小學")</f>
        <v>宜蘭縣頭城鎮二城國民小學</v>
      </c>
      <c r="F887" s="14" t="str">
        <f>IFERROR(__xludf.DUMMYFUNCTION("""COMPUTED_VALUE"""),"六年級")</f>
        <v>六年級</v>
      </c>
      <c r="G887" s="14" t="str">
        <f>IFERROR(__xludf.DUMMYFUNCTION("""COMPUTED_VALUE"""),"●小禮物")</f>
        <v>●小禮物</v>
      </c>
      <c r="H887" s="8"/>
    </row>
    <row r="888">
      <c r="A888" s="18"/>
      <c r="B888" s="14">
        <f>IFERROR(__xludf.DUMMYFUNCTION("""COMPUTED_VALUE"""),1216973.0)</f>
        <v>1216973</v>
      </c>
      <c r="C888" s="14" t="str">
        <f>IFERROR(__xludf.DUMMYFUNCTION("""COMPUTED_VALUE"""),"蕭郁萱")</f>
        <v>蕭郁萱</v>
      </c>
      <c r="D888" s="16" t="str">
        <f>IFERROR(__xludf.DUMMYFUNCTION("""COMPUTED_VALUE"""),"s10*****@smail.ilc.edu.tw")</f>
        <v>s10*****@smail.ilc.edu.tw</v>
      </c>
      <c r="E888" s="17" t="str">
        <f>IFERROR(__xludf.DUMMYFUNCTION("""COMPUTED_VALUE"""),"宜蘭縣頭城鎮二城國民小學")</f>
        <v>宜蘭縣頭城鎮二城國民小學</v>
      </c>
      <c r="F888" s="14" t="str">
        <f>IFERROR(__xludf.DUMMYFUNCTION("""COMPUTED_VALUE"""),"六年級")</f>
        <v>六年級</v>
      </c>
      <c r="G888" s="14" t="str">
        <f>IFERROR(__xludf.DUMMYFUNCTION("""COMPUTED_VALUE"""),"獎狀")</f>
        <v>獎狀</v>
      </c>
      <c r="H888" s="8"/>
    </row>
    <row r="889">
      <c r="A889" s="18"/>
      <c r="B889" s="14">
        <f>IFERROR(__xludf.DUMMYFUNCTION("""COMPUTED_VALUE"""),1047376.0)</f>
        <v>1047376</v>
      </c>
      <c r="C889" s="14" t="str">
        <f>IFERROR(__xludf.DUMMYFUNCTION("""COMPUTED_VALUE"""),"吳翊誠")</f>
        <v>吳翊誠</v>
      </c>
      <c r="D889" s="16" t="str">
        <f>IFERROR(__xludf.DUMMYFUNCTION("""COMPUTED_VALUE"""),"eas*****0l6@mail.edu.tw")</f>
        <v>eas*****0l6@mail.edu.tw</v>
      </c>
      <c r="E889" s="17" t="str">
        <f>IFERROR(__xludf.DUMMYFUNCTION("""COMPUTED_VALUE"""),"宜蘭縣頭城鎮頭城國民小學")</f>
        <v>宜蘭縣頭城鎮頭城國民小學</v>
      </c>
      <c r="F889" s="14" t="str">
        <f>IFERROR(__xludf.DUMMYFUNCTION("""COMPUTED_VALUE"""),"五年級")</f>
        <v>五年級</v>
      </c>
      <c r="G889" s="14" t="str">
        <f>IFERROR(__xludf.DUMMYFUNCTION("""COMPUTED_VALUE"""),"●小禮物")</f>
        <v>●小禮物</v>
      </c>
      <c r="H889" s="8"/>
    </row>
    <row r="890">
      <c r="A890" s="18"/>
      <c r="B890" s="14">
        <f>IFERROR(__xludf.DUMMYFUNCTION("""COMPUTED_VALUE"""),238282.0)</f>
        <v>238282</v>
      </c>
      <c r="C890" s="14" t="str">
        <f>IFERROR(__xludf.DUMMYFUNCTION("""COMPUTED_VALUE"""),"林品言")</f>
        <v>林品言</v>
      </c>
      <c r="D890" s="16" t="str">
        <f>IFERROR(__xludf.DUMMYFUNCTION("""COMPUTED_VALUE"""),"mil*****09@yahoo.com.tw")</f>
        <v>mil*****09@yahoo.com.tw</v>
      </c>
      <c r="E890" s="17" t="str">
        <f>IFERROR(__xludf.DUMMYFUNCTION("""COMPUTED_VALUE"""),"中道學校財團法人宜蘭縣中道高級中學附設國小部")</f>
        <v>中道學校財團法人宜蘭縣中道高級中學附設國小部</v>
      </c>
      <c r="F890" s="14" t="str">
        <f>IFERROR(__xludf.DUMMYFUNCTION("""COMPUTED_VALUE"""),"四年級")</f>
        <v>四年級</v>
      </c>
      <c r="G890" s="14" t="str">
        <f>IFERROR(__xludf.DUMMYFUNCTION("""COMPUTED_VALUE"""),"●小禮物")</f>
        <v>●小禮物</v>
      </c>
      <c r="H890" s="8"/>
    </row>
    <row r="891">
      <c r="A891" s="18"/>
      <c r="B891" s="14">
        <f>IFERROR(__xludf.DUMMYFUNCTION("""COMPUTED_VALUE"""),834418.0)</f>
        <v>834418</v>
      </c>
      <c r="C891" s="14" t="str">
        <f>IFERROR(__xludf.DUMMYFUNCTION("""COMPUTED_VALUE"""),"楊松諺")</f>
        <v>楊松諺</v>
      </c>
      <c r="D891" s="16" t="str">
        <f>IFERROR(__xludf.DUMMYFUNCTION("""COMPUTED_VALUE"""),"mar*****73.stdilc@mail.edu.tw")</f>
        <v>mar*****73.stdilc@mail.edu.tw</v>
      </c>
      <c r="E891" s="17" t="str">
        <f>IFERROR(__xludf.DUMMYFUNCTION("""COMPUTED_VALUE"""),"宜蘭縣員山鄉湖山國民小學")</f>
        <v>宜蘭縣員山鄉湖山國民小學</v>
      </c>
      <c r="F891" s="14" t="str">
        <f>IFERROR(__xludf.DUMMYFUNCTION("""COMPUTED_VALUE"""),"六年級")</f>
        <v>六年級</v>
      </c>
      <c r="G891" s="14" t="str">
        <f>IFERROR(__xludf.DUMMYFUNCTION("""COMPUTED_VALUE"""),"●小禮物")</f>
        <v>●小禮物</v>
      </c>
      <c r="H891" s="8"/>
    </row>
    <row r="892">
      <c r="A892" s="18"/>
      <c r="B892" s="14">
        <f>IFERROR(__xludf.DUMMYFUNCTION("""COMPUTED_VALUE"""),477041.0)</f>
        <v>477041</v>
      </c>
      <c r="C892" s="14" t="str">
        <f>IFERROR(__xludf.DUMMYFUNCTION("""COMPUTED_VALUE"""),"蘇子霽")</f>
        <v>蘇子霽</v>
      </c>
      <c r="D892" s="16" t="str">
        <f>IFERROR(__xludf.DUMMYFUNCTION("""COMPUTED_VALUE"""),"lou*****3.stdilc@mail.edu.tw")</f>
        <v>lou*****3.stdilc@mail.edu.tw</v>
      </c>
      <c r="E892" s="17" t="str">
        <f>IFERROR(__xludf.DUMMYFUNCTION("""COMPUTED_VALUE"""),"宜蘭縣員山鄉湖山國民小學")</f>
        <v>宜蘭縣員山鄉湖山國民小學</v>
      </c>
      <c r="F892" s="14" t="str">
        <f>IFERROR(__xludf.DUMMYFUNCTION("""COMPUTED_VALUE"""),"六年級")</f>
        <v>六年級</v>
      </c>
      <c r="G892" s="14" t="str">
        <f>IFERROR(__xludf.DUMMYFUNCTION("""COMPUTED_VALUE"""),"獎狀")</f>
        <v>獎狀</v>
      </c>
      <c r="H892" s="8"/>
    </row>
    <row r="893">
      <c r="A893" s="18"/>
      <c r="B893" s="14">
        <f>IFERROR(__xludf.DUMMYFUNCTION("""COMPUTED_VALUE"""),305395.0)</f>
        <v>305395</v>
      </c>
      <c r="C893" s="14" t="str">
        <f>IFERROR(__xludf.DUMMYFUNCTION("""COMPUTED_VALUE"""),"林琬千")</f>
        <v>林琬千</v>
      </c>
      <c r="D893" s="16" t="str">
        <f>IFERROR(__xludf.DUMMYFUNCTION("""COMPUTED_VALUE"""),"yiy*****ail.ilc.edu.tw")</f>
        <v>yiy*****ail.ilc.edu.tw</v>
      </c>
      <c r="E893" s="17" t="str">
        <f>IFERROR(__xludf.DUMMYFUNCTION("""COMPUTED_VALUE"""),"宜蘭縣羅東鎮北成國民小學")</f>
        <v>宜蘭縣羅東鎮北成國民小學</v>
      </c>
      <c r="F893" s="14" t="str">
        <f>IFERROR(__xludf.DUMMYFUNCTION("""COMPUTED_VALUE"""),"五年級")</f>
        <v>五年級</v>
      </c>
      <c r="G893" s="14" t="str">
        <f>IFERROR(__xludf.DUMMYFUNCTION("""COMPUTED_VALUE"""),"獎狀")</f>
        <v>獎狀</v>
      </c>
      <c r="H893" s="8"/>
    </row>
    <row r="894">
      <c r="A894" s="18"/>
      <c r="B894" s="14">
        <f>IFERROR(__xludf.DUMMYFUNCTION("""COMPUTED_VALUE"""),495362.0)</f>
        <v>495362</v>
      </c>
      <c r="C894" s="14" t="str">
        <f>IFERROR(__xludf.DUMMYFUNCTION("""COMPUTED_VALUE"""),"蔡瀚琛")</f>
        <v>蔡瀚琛</v>
      </c>
      <c r="D894" s="16" t="str">
        <f>IFERROR(__xludf.DUMMYFUNCTION("""COMPUTED_VALUE"""),"7oo*****mail.edu.tw")</f>
        <v>7oo*****mail.edu.tw</v>
      </c>
      <c r="E894" s="17" t="str">
        <f>IFERROR(__xludf.DUMMYFUNCTION("""COMPUTED_VALUE"""),"宜蘭縣羅東鎮北成國民小學")</f>
        <v>宜蘭縣羅東鎮北成國民小學</v>
      </c>
      <c r="F894" s="14" t="str">
        <f>IFERROR(__xludf.DUMMYFUNCTION("""COMPUTED_VALUE"""),"五年級")</f>
        <v>五年級</v>
      </c>
      <c r="G894" s="14" t="str">
        <f>IFERROR(__xludf.DUMMYFUNCTION("""COMPUTED_VALUE"""),"獎狀")</f>
        <v>獎狀</v>
      </c>
      <c r="H894" s="8"/>
    </row>
    <row r="895">
      <c r="A895" s="18"/>
      <c r="B895" s="14">
        <f>IFERROR(__xludf.DUMMYFUNCTION("""COMPUTED_VALUE"""),718434.0)</f>
        <v>718434</v>
      </c>
      <c r="C895" s="14" t="str">
        <f>IFERROR(__xludf.DUMMYFUNCTION("""COMPUTED_VALUE"""),"謝棠棠")</f>
        <v>謝棠棠</v>
      </c>
      <c r="D895" s="16" t="str">
        <f>IFERROR(__xludf.DUMMYFUNCTION("""COMPUTED_VALUE"""),"wae*****02@mail.edu.tw")</f>
        <v>wae*****02@mail.edu.tw</v>
      </c>
      <c r="E895" s="17" t="str">
        <f>IFERROR(__xludf.DUMMYFUNCTION("""COMPUTED_VALUE"""),"宜蘭縣冬山鄉武淵國民小學")</f>
        <v>宜蘭縣冬山鄉武淵國民小學</v>
      </c>
      <c r="F895" s="14" t="str">
        <f>IFERROR(__xludf.DUMMYFUNCTION("""COMPUTED_VALUE"""),"三年級")</f>
        <v>三年級</v>
      </c>
      <c r="G895" s="14" t="str">
        <f>IFERROR(__xludf.DUMMYFUNCTION("""COMPUTED_VALUE"""),"●小禮物")</f>
        <v>●小禮物</v>
      </c>
      <c r="H895" s="8"/>
    </row>
    <row r="896">
      <c r="A896" s="18"/>
      <c r="B896" s="14">
        <f>IFERROR(__xludf.DUMMYFUNCTION("""COMPUTED_VALUE"""),1110771.0)</f>
        <v>1110771</v>
      </c>
      <c r="C896" s="14" t="str">
        <f>IFERROR(__xludf.DUMMYFUNCTION("""COMPUTED_VALUE"""),"楊宥真")</f>
        <v>楊宥真</v>
      </c>
      <c r="D896" s="16" t="str">
        <f>IFERROR(__xludf.DUMMYFUNCTION("""COMPUTED_VALUE"""),"isa*****103@mail.edu.tw")</f>
        <v>isa*****103@mail.edu.tw</v>
      </c>
      <c r="E896" s="17" t="str">
        <f>IFERROR(__xludf.DUMMYFUNCTION("""COMPUTED_VALUE"""),"宜蘭縣冬山鄉清溝國民小學")</f>
        <v>宜蘭縣冬山鄉清溝國民小學</v>
      </c>
      <c r="F896" s="14" t="str">
        <f>IFERROR(__xludf.DUMMYFUNCTION("""COMPUTED_VALUE"""),"三年級")</f>
        <v>三年級</v>
      </c>
      <c r="G896" s="14" t="str">
        <f>IFERROR(__xludf.DUMMYFUNCTION("""COMPUTED_VALUE"""),"獎狀")</f>
        <v>獎狀</v>
      </c>
      <c r="H896" s="8"/>
    </row>
    <row r="897">
      <c r="A897" s="18"/>
      <c r="B897" s="14">
        <f>IFERROR(__xludf.DUMMYFUNCTION("""COMPUTED_VALUE"""),842780.0)</f>
        <v>842780</v>
      </c>
      <c r="C897" s="14" t="str">
        <f>IFERROR(__xludf.DUMMYFUNCTION("""COMPUTED_VALUE"""),"吳品萱")</f>
        <v>吳品萱</v>
      </c>
      <c r="D897" s="16" t="str">
        <f>IFERROR(__xludf.DUMMYFUNCTION("""COMPUTED_VALUE"""),"sal*****3.stdilc@mail.edu.tw")</f>
        <v>sal*****3.stdilc@mail.edu.tw</v>
      </c>
      <c r="E897" s="17" t="str">
        <f>IFERROR(__xludf.DUMMYFUNCTION("""COMPUTED_VALUE"""),"宜蘭縣冬山鄉清溝國民小學")</f>
        <v>宜蘭縣冬山鄉清溝國民小學</v>
      </c>
      <c r="F897" s="14" t="str">
        <f>IFERROR(__xludf.DUMMYFUNCTION("""COMPUTED_VALUE"""),"六年級")</f>
        <v>六年級</v>
      </c>
      <c r="G897" s="14" t="str">
        <f>IFERROR(__xludf.DUMMYFUNCTION("""COMPUTED_VALUE"""),"●小禮物")</f>
        <v>●小禮物</v>
      </c>
      <c r="H897" s="8"/>
    </row>
    <row r="898">
      <c r="A898" s="18"/>
      <c r="B898" s="14">
        <f>IFERROR(__xludf.DUMMYFUNCTION("""COMPUTED_VALUE"""),1148381.0)</f>
        <v>1148381</v>
      </c>
      <c r="C898" s="14" t="str">
        <f>IFERROR(__xludf.DUMMYFUNCTION("""COMPUTED_VALUE"""),"李丞玄")</f>
        <v>李丞玄</v>
      </c>
      <c r="D898" s="16" t="str">
        <f>IFERROR(__xludf.DUMMYFUNCTION("""COMPUTED_VALUE"""),"fel*****0428@mail.edu.tw")</f>
        <v>fel*****0428@mail.edu.tw</v>
      </c>
      <c r="E898" s="17" t="str">
        <f>IFERROR(__xludf.DUMMYFUNCTION("""COMPUTED_VALUE"""),"宜蘭縣蘇澳鎮蘇澳國民小學")</f>
        <v>宜蘭縣蘇澳鎮蘇澳國民小學</v>
      </c>
      <c r="F898" s="14" t="str">
        <f>IFERROR(__xludf.DUMMYFUNCTION("""COMPUTED_VALUE"""),"三年級")</f>
        <v>三年級</v>
      </c>
      <c r="G898" s="14" t="str">
        <f>IFERROR(__xludf.DUMMYFUNCTION("""COMPUTED_VALUE"""),"獎狀")</f>
        <v>獎狀</v>
      </c>
      <c r="H898" s="8"/>
    </row>
    <row r="899">
      <c r="A899" s="18"/>
      <c r="B899" s="14">
        <f>IFERROR(__xludf.DUMMYFUNCTION("""COMPUTED_VALUE"""),455379.0)</f>
        <v>455379</v>
      </c>
      <c r="C899" s="14" t="str">
        <f>IFERROR(__xludf.DUMMYFUNCTION("""COMPUTED_VALUE"""),"李云瑀")</f>
        <v>李云瑀</v>
      </c>
      <c r="D899" s="16" t="str">
        <f>IFERROR(__xludf.DUMMYFUNCTION("""COMPUTED_VALUE"""),"toc*****103@mail.edu.tw")</f>
        <v>toc*****103@mail.edu.tw</v>
      </c>
      <c r="E899" s="17" t="str">
        <f>IFERROR(__xludf.DUMMYFUNCTION("""COMPUTED_VALUE"""),"宜蘭縣蘇澳鎮蘇澳國民小學")</f>
        <v>宜蘭縣蘇澳鎮蘇澳國民小學</v>
      </c>
      <c r="F899" s="14" t="str">
        <f>IFERROR(__xludf.DUMMYFUNCTION("""COMPUTED_VALUE"""),"五年級")</f>
        <v>五年級</v>
      </c>
      <c r="G899" s="14" t="str">
        <f>IFERROR(__xludf.DUMMYFUNCTION("""COMPUTED_VALUE"""),"獎狀")</f>
        <v>獎狀</v>
      </c>
      <c r="H899" s="8"/>
    </row>
    <row r="900">
      <c r="A900" s="18"/>
      <c r="B900" s="14">
        <f>IFERROR(__xludf.DUMMYFUNCTION("""COMPUTED_VALUE"""),1186877.0)</f>
        <v>1186877</v>
      </c>
      <c r="C900" s="14" t="str">
        <f>IFERROR(__xludf.DUMMYFUNCTION("""COMPUTED_VALUE"""),"王子元")</f>
        <v>王子元</v>
      </c>
      <c r="D900" s="16" t="str">
        <f>IFERROR(__xludf.DUMMYFUNCTION("""COMPUTED_VALUE"""),"uni*****smail.hc.edu.tw")</f>
        <v>uni*****smail.hc.edu.tw</v>
      </c>
      <c r="E900" s="17" t="str">
        <f>IFERROR(__xludf.DUMMYFUNCTION("""COMPUTED_VALUE"""),"新竹市北區北門國民小學")</f>
        <v>新竹市北區北門國民小學</v>
      </c>
      <c r="F900" s="14" t="str">
        <f>IFERROR(__xludf.DUMMYFUNCTION("""COMPUTED_VALUE"""),"四年級")</f>
        <v>四年級</v>
      </c>
      <c r="G900" s="14" t="str">
        <f>IFERROR(__xludf.DUMMYFUNCTION("""COMPUTED_VALUE"""),"獎狀")</f>
        <v>獎狀</v>
      </c>
      <c r="H900" s="8"/>
    </row>
    <row r="901">
      <c r="A901" s="18"/>
      <c r="B901" s="14">
        <f>IFERROR(__xludf.DUMMYFUNCTION("""COMPUTED_VALUE"""),476255.0)</f>
        <v>476255</v>
      </c>
      <c r="C901" s="14" t="str">
        <f>IFERROR(__xludf.DUMMYFUNCTION("""COMPUTED_VALUE"""),"許瀞云")</f>
        <v>許瀞云</v>
      </c>
      <c r="D901" s="16" t="str">
        <f>IFERROR(__xludf.DUMMYFUNCTION("""COMPUTED_VALUE"""),"pud*****345@yahoo.com.tw")</f>
        <v>pud*****345@yahoo.com.tw</v>
      </c>
      <c r="E901" s="17" t="str">
        <f>IFERROR(__xludf.DUMMYFUNCTION("""COMPUTED_VALUE"""),"新竹市北區北門國民小學")</f>
        <v>新竹市北區北門國民小學</v>
      </c>
      <c r="F901" s="14" t="str">
        <f>IFERROR(__xludf.DUMMYFUNCTION("""COMPUTED_VALUE"""),"五年級")</f>
        <v>五年級</v>
      </c>
      <c r="G901" s="14" t="str">
        <f>IFERROR(__xludf.DUMMYFUNCTION("""COMPUTED_VALUE"""),"獎狀")</f>
        <v>獎狀</v>
      </c>
      <c r="H901" s="8"/>
    </row>
    <row r="902">
      <c r="A902" s="18"/>
      <c r="B902" s="14">
        <f>IFERROR(__xludf.DUMMYFUNCTION("""COMPUTED_VALUE"""),950697.0)</f>
        <v>950697</v>
      </c>
      <c r="C902" s="14" t="str">
        <f>IFERROR(__xludf.DUMMYFUNCTION("""COMPUTED_VALUE"""),"陳侑聖")</f>
        <v>陳侑聖</v>
      </c>
      <c r="D902" s="16" t="str">
        <f>IFERROR(__xludf.DUMMYFUNCTION("""COMPUTED_VALUE"""),"rya*****.hc@mail.edu.tw")</f>
        <v>rya*****.hc@mail.edu.tw</v>
      </c>
      <c r="E902" s="17" t="str">
        <f>IFERROR(__xludf.DUMMYFUNCTION("""COMPUTED_VALUE"""),"新竹市北區西門國民小學")</f>
        <v>新竹市北區西門國民小學</v>
      </c>
      <c r="F902" s="14" t="str">
        <f>IFERROR(__xludf.DUMMYFUNCTION("""COMPUTED_VALUE"""),"四年級")</f>
        <v>四年級</v>
      </c>
      <c r="G902" s="14" t="str">
        <f>IFERROR(__xludf.DUMMYFUNCTION("""COMPUTED_VALUE"""),"●小禮物")</f>
        <v>●小禮物</v>
      </c>
      <c r="H902" s="8"/>
    </row>
    <row r="903">
      <c r="A903" s="18"/>
      <c r="B903" s="14">
        <f>IFERROR(__xludf.DUMMYFUNCTION("""COMPUTED_VALUE"""),922999.0)</f>
        <v>922999</v>
      </c>
      <c r="C903" s="14" t="str">
        <f>IFERROR(__xludf.DUMMYFUNCTION("""COMPUTED_VALUE"""),"林庭緁")</f>
        <v>林庭緁</v>
      </c>
      <c r="D903" s="16" t="str">
        <f>IFERROR(__xludf.DUMMYFUNCTION("""COMPUTED_VALUE"""),"jam*****0.hc@mail.edu.tw")</f>
        <v>jam*****0.hc@mail.edu.tw</v>
      </c>
      <c r="E903" s="17" t="str">
        <f>IFERROR(__xludf.DUMMYFUNCTION("""COMPUTED_VALUE"""),"新竹市北區西門國民小學")</f>
        <v>新竹市北區西門國民小學</v>
      </c>
      <c r="F903" s="14" t="str">
        <f>IFERROR(__xludf.DUMMYFUNCTION("""COMPUTED_VALUE"""),"四年級")</f>
        <v>四年級</v>
      </c>
      <c r="G903" s="14" t="str">
        <f>IFERROR(__xludf.DUMMYFUNCTION("""COMPUTED_VALUE"""),"獎狀")</f>
        <v>獎狀</v>
      </c>
      <c r="H903" s="8"/>
    </row>
    <row r="904">
      <c r="A904" s="18"/>
      <c r="B904" s="14">
        <f>IFERROR(__xludf.DUMMYFUNCTION("""COMPUTED_VALUE"""),958751.0)</f>
        <v>958751</v>
      </c>
      <c r="C904" s="14" t="str">
        <f>IFERROR(__xludf.DUMMYFUNCTION("""COMPUTED_VALUE"""),"張鴻翊")</f>
        <v>張鴻翊</v>
      </c>
      <c r="D904" s="16" t="str">
        <f>IFERROR(__xludf.DUMMYFUNCTION("""COMPUTED_VALUE"""),"jef*****923.hc@mail.edu.tw")</f>
        <v>jef*****923.hc@mail.edu.tw</v>
      </c>
      <c r="E904" s="17" t="str">
        <f>IFERROR(__xludf.DUMMYFUNCTION("""COMPUTED_VALUE"""),"新竹市北區西門國民小學")</f>
        <v>新竹市北區西門國民小學</v>
      </c>
      <c r="F904" s="14" t="str">
        <f>IFERROR(__xludf.DUMMYFUNCTION("""COMPUTED_VALUE"""),"五年級")</f>
        <v>五年級</v>
      </c>
      <c r="G904" s="14" t="str">
        <f>IFERROR(__xludf.DUMMYFUNCTION("""COMPUTED_VALUE"""),"★禮券$200")</f>
        <v>★禮券$200</v>
      </c>
      <c r="H904" s="8"/>
    </row>
    <row r="905">
      <c r="A905" s="18"/>
      <c r="B905" s="14">
        <f>IFERROR(__xludf.DUMMYFUNCTION("""COMPUTED_VALUE"""),1177480.0)</f>
        <v>1177480</v>
      </c>
      <c r="C905" s="14" t="str">
        <f>IFERROR(__xludf.DUMMYFUNCTION("""COMPUTED_VALUE"""),"李怡萱")</f>
        <v>李怡萱</v>
      </c>
      <c r="D905" s="16" t="str">
        <f>IFERROR(__xludf.DUMMYFUNCTION("""COMPUTED_VALUE"""),"jun*****0918@mail.edu.tw")</f>
        <v>jun*****0918@mail.edu.tw</v>
      </c>
      <c r="E905" s="17" t="str">
        <f>IFERROR(__xludf.DUMMYFUNCTION("""COMPUTED_VALUE"""),"新竹市北區西門國民小學")</f>
        <v>新竹市北區西門國民小學</v>
      </c>
      <c r="F905" s="14" t="str">
        <f>IFERROR(__xludf.DUMMYFUNCTION("""COMPUTED_VALUE"""),"五年級")</f>
        <v>五年級</v>
      </c>
      <c r="G905" s="14" t="str">
        <f>IFERROR(__xludf.DUMMYFUNCTION("""COMPUTED_VALUE"""),"●小禮物")</f>
        <v>●小禮物</v>
      </c>
      <c r="H905" s="8"/>
    </row>
    <row r="906">
      <c r="A906" s="18"/>
      <c r="B906" s="14">
        <f>IFERROR(__xludf.DUMMYFUNCTION("""COMPUTED_VALUE"""),1023978.0)</f>
        <v>1023978</v>
      </c>
      <c r="C906" s="14" t="str">
        <f>IFERROR(__xludf.DUMMYFUNCTION("""COMPUTED_VALUE"""),"陳柏杉")</f>
        <v>陳柏杉</v>
      </c>
      <c r="D906" s="16" t="str">
        <f>IFERROR(__xludf.DUMMYFUNCTION("""COMPUTED_VALUE"""),"ber*****11.hc@mail.edu.tw")</f>
        <v>ber*****11.hc@mail.edu.tw</v>
      </c>
      <c r="E906" s="17" t="str">
        <f>IFERROR(__xludf.DUMMYFUNCTION("""COMPUTED_VALUE"""),"新竹市北區西門國民小學")</f>
        <v>新竹市北區西門國民小學</v>
      </c>
      <c r="F906" s="14" t="str">
        <f>IFERROR(__xludf.DUMMYFUNCTION("""COMPUTED_VALUE"""),"五年級")</f>
        <v>五年級</v>
      </c>
      <c r="G906" s="14" t="str">
        <f>IFERROR(__xludf.DUMMYFUNCTION("""COMPUTED_VALUE"""),"●小禮物")</f>
        <v>●小禮物</v>
      </c>
      <c r="H906" s="8"/>
    </row>
    <row r="907">
      <c r="A907" s="18"/>
      <c r="B907" s="14">
        <f>IFERROR(__xludf.DUMMYFUNCTION("""COMPUTED_VALUE"""),959640.0)</f>
        <v>959640</v>
      </c>
      <c r="C907" s="14" t="str">
        <f>IFERROR(__xludf.DUMMYFUNCTION("""COMPUTED_VALUE"""),"蕭妤芸")</f>
        <v>蕭妤芸</v>
      </c>
      <c r="D907" s="16" t="str">
        <f>IFERROR(__xludf.DUMMYFUNCTION("""COMPUTED_VALUE"""),"mil*****9.hc@mail.edu.tw")</f>
        <v>mil*****9.hc@mail.edu.tw</v>
      </c>
      <c r="E907" s="17" t="str">
        <f>IFERROR(__xludf.DUMMYFUNCTION("""COMPUTED_VALUE"""),"新竹市北區西門國民小學")</f>
        <v>新竹市北區西門國民小學</v>
      </c>
      <c r="F907" s="14" t="str">
        <f>IFERROR(__xludf.DUMMYFUNCTION("""COMPUTED_VALUE"""),"六年級")</f>
        <v>六年級</v>
      </c>
      <c r="G907" s="14" t="str">
        <f>IFERROR(__xludf.DUMMYFUNCTION("""COMPUTED_VALUE"""),"獎狀")</f>
        <v>獎狀</v>
      </c>
      <c r="H907" s="8"/>
    </row>
    <row r="908">
      <c r="A908" s="18"/>
      <c r="B908" s="14">
        <f>IFERROR(__xludf.DUMMYFUNCTION("""COMPUTED_VALUE"""),1118722.0)</f>
        <v>1118722</v>
      </c>
      <c r="C908" s="14" t="str">
        <f>IFERROR(__xludf.DUMMYFUNCTION("""COMPUTED_VALUE"""),"謝泰一")</f>
        <v>謝泰一</v>
      </c>
      <c r="D908" s="16" t="str">
        <f>IFERROR(__xludf.DUMMYFUNCTION("""COMPUTED_VALUE"""),"1so*****gmail.com")</f>
        <v>1so*****gmail.com</v>
      </c>
      <c r="E908" s="17" t="str">
        <f>IFERROR(__xludf.DUMMYFUNCTION("""COMPUTED_VALUE"""),"國立清華大學附設實驗國民小學")</f>
        <v>國立清華大學附設實驗國民小學</v>
      </c>
      <c r="F908" s="14" t="str">
        <f>IFERROR(__xludf.DUMMYFUNCTION("""COMPUTED_VALUE"""),"三年級")</f>
        <v>三年級</v>
      </c>
      <c r="G908" s="14" t="str">
        <f>IFERROR(__xludf.DUMMYFUNCTION("""COMPUTED_VALUE"""),"獎狀")</f>
        <v>獎狀</v>
      </c>
      <c r="H908" s="8"/>
    </row>
    <row r="909">
      <c r="A909" s="18"/>
      <c r="B909" s="14">
        <f>IFERROR(__xludf.DUMMYFUNCTION("""COMPUTED_VALUE"""),1199153.0)</f>
        <v>1199153</v>
      </c>
      <c r="C909" s="14" t="str">
        <f>IFERROR(__xludf.DUMMYFUNCTION("""COMPUTED_VALUE"""),"張唯甯")</f>
        <v>張唯甯</v>
      </c>
      <c r="D909" s="16" t="str">
        <f>IFERROR(__xludf.DUMMYFUNCTION("""COMPUTED_VALUE"""),"win*****95@smail.hc.edu.tw")</f>
        <v>win*****95@smail.hc.edu.tw</v>
      </c>
      <c r="E909" s="17" t="str">
        <f>IFERROR(__xludf.DUMMYFUNCTION("""COMPUTED_VALUE"""),"新竹市北區載熙國民小學")</f>
        <v>新竹市北區載熙國民小學</v>
      </c>
      <c r="F909" s="14" t="str">
        <f>IFERROR(__xludf.DUMMYFUNCTION("""COMPUTED_VALUE"""),"三年級")</f>
        <v>三年級</v>
      </c>
      <c r="G909" s="14" t="str">
        <f>IFERROR(__xludf.DUMMYFUNCTION("""COMPUTED_VALUE"""),"獎狀")</f>
        <v>獎狀</v>
      </c>
      <c r="H909" s="8"/>
    </row>
    <row r="910">
      <c r="A910" s="18"/>
      <c r="B910" s="14">
        <f>IFERROR(__xludf.DUMMYFUNCTION("""COMPUTED_VALUE"""),1095804.0)</f>
        <v>1095804</v>
      </c>
      <c r="C910" s="14" t="str">
        <f>IFERROR(__xludf.DUMMYFUNCTION("""COMPUTED_VALUE"""),"李欣橙")</f>
        <v>李欣橙</v>
      </c>
      <c r="D910" s="16" t="str">
        <f>IFERROR(__xludf.DUMMYFUNCTION("""COMPUTED_VALUE"""),"kay*****2@smail.hc.edu.tw")</f>
        <v>kay*****2@smail.hc.edu.tw</v>
      </c>
      <c r="E910" s="17" t="str">
        <f>IFERROR(__xludf.DUMMYFUNCTION("""COMPUTED_VALUE"""),"新竹市北區載熙國民小學")</f>
        <v>新竹市北區載熙國民小學</v>
      </c>
      <c r="F910" s="14" t="str">
        <f>IFERROR(__xludf.DUMMYFUNCTION("""COMPUTED_VALUE"""),"三年級")</f>
        <v>三年級</v>
      </c>
      <c r="G910" s="14" t="str">
        <f>IFERROR(__xludf.DUMMYFUNCTION("""COMPUTED_VALUE"""),"獎狀")</f>
        <v>獎狀</v>
      </c>
      <c r="H910" s="8"/>
    </row>
    <row r="911">
      <c r="A911" s="18"/>
      <c r="B911" s="14">
        <f>IFERROR(__xludf.DUMMYFUNCTION("""COMPUTED_VALUE"""),713884.0)</f>
        <v>713884</v>
      </c>
      <c r="C911" s="14" t="str">
        <f>IFERROR(__xludf.DUMMYFUNCTION("""COMPUTED_VALUE"""),"馬時宜")</f>
        <v>馬時宜</v>
      </c>
      <c r="D911" s="16" t="str">
        <f>IFERROR(__xludf.DUMMYFUNCTION("""COMPUTED_VALUE"""),"ari*****6@mail.edu.tw")</f>
        <v>ari*****6@mail.edu.tw</v>
      </c>
      <c r="E911" s="17" t="str">
        <f>IFERROR(__xludf.DUMMYFUNCTION("""COMPUTED_VALUE"""),"新竹市北區載熙國民小學")</f>
        <v>新竹市北區載熙國民小學</v>
      </c>
      <c r="F911" s="14" t="str">
        <f>IFERROR(__xludf.DUMMYFUNCTION("""COMPUTED_VALUE"""),"四年級")</f>
        <v>四年級</v>
      </c>
      <c r="G911" s="14" t="str">
        <f>IFERROR(__xludf.DUMMYFUNCTION("""COMPUTED_VALUE"""),"●小禮物")</f>
        <v>●小禮物</v>
      </c>
      <c r="H911" s="8"/>
    </row>
    <row r="912">
      <c r="A912" s="18"/>
      <c r="B912" s="14">
        <f>IFERROR(__xludf.DUMMYFUNCTION("""COMPUTED_VALUE"""),834995.0)</f>
        <v>834995</v>
      </c>
      <c r="C912" s="14" t="str">
        <f>IFERROR(__xludf.DUMMYFUNCTION("""COMPUTED_VALUE"""),"陳育緯")</f>
        <v>陳育緯</v>
      </c>
      <c r="D912" s="16" t="str">
        <f>IFERROR(__xludf.DUMMYFUNCTION("""COMPUTED_VALUE"""),"and*****.hc@mail.edu.tw")</f>
        <v>and*****.hc@mail.edu.tw</v>
      </c>
      <c r="E912" s="17" t="str">
        <f>IFERROR(__xludf.DUMMYFUNCTION("""COMPUTED_VALUE"""),"新竹市北區載熙國民小學")</f>
        <v>新竹市北區載熙國民小學</v>
      </c>
      <c r="F912" s="14" t="str">
        <f>IFERROR(__xludf.DUMMYFUNCTION("""COMPUTED_VALUE"""),"四年級")</f>
        <v>四年級</v>
      </c>
      <c r="G912" s="14" t="str">
        <f>IFERROR(__xludf.DUMMYFUNCTION("""COMPUTED_VALUE"""),"獎狀")</f>
        <v>獎狀</v>
      </c>
      <c r="H912" s="8"/>
    </row>
    <row r="913">
      <c r="A913" s="18"/>
      <c r="B913" s="14">
        <f>IFERROR(__xludf.DUMMYFUNCTION("""COMPUTED_VALUE"""),870515.0)</f>
        <v>870515</v>
      </c>
      <c r="C913" s="14" t="str">
        <f>IFERROR(__xludf.DUMMYFUNCTION("""COMPUTED_VALUE"""),"曾薇珊")</f>
        <v>曾薇珊</v>
      </c>
      <c r="D913" s="16" t="str">
        <f>IFERROR(__xludf.DUMMYFUNCTION("""COMPUTED_VALUE"""),"san*****itebear@mail.edu.tw")</f>
        <v>san*****itebear@mail.edu.tw</v>
      </c>
      <c r="E913" s="17" t="str">
        <f>IFERROR(__xludf.DUMMYFUNCTION("""COMPUTED_VALUE"""),"新竹市北區載熙國民小學")</f>
        <v>新竹市北區載熙國民小學</v>
      </c>
      <c r="F913" s="14" t="str">
        <f>IFERROR(__xludf.DUMMYFUNCTION("""COMPUTED_VALUE"""),"五年級")</f>
        <v>五年級</v>
      </c>
      <c r="G913" s="14" t="str">
        <f>IFERROR(__xludf.DUMMYFUNCTION("""COMPUTED_VALUE"""),"獎狀")</f>
        <v>獎狀</v>
      </c>
      <c r="H913" s="8"/>
    </row>
    <row r="914">
      <c r="A914" s="18"/>
      <c r="B914" s="14">
        <f>IFERROR(__xludf.DUMMYFUNCTION("""COMPUTED_VALUE"""),466327.0)</f>
        <v>466327</v>
      </c>
      <c r="C914" s="14" t="str">
        <f>IFERROR(__xludf.DUMMYFUNCTION("""COMPUTED_VALUE"""),"劉禹菲")</f>
        <v>劉禹菲</v>
      </c>
      <c r="D914" s="16" t="str">
        <f>IFERROR(__xludf.DUMMYFUNCTION("""COMPUTED_VALUE"""),"fif*****@mail.edu.tw")</f>
        <v>fif*****@mail.edu.tw</v>
      </c>
      <c r="E914" s="17" t="str">
        <f>IFERROR(__xludf.DUMMYFUNCTION("""COMPUTED_VALUE"""),"新竹市北區載熙國民小學")</f>
        <v>新竹市北區載熙國民小學</v>
      </c>
      <c r="F914" s="14" t="str">
        <f>IFERROR(__xludf.DUMMYFUNCTION("""COMPUTED_VALUE"""),"五年級")</f>
        <v>五年級</v>
      </c>
      <c r="G914" s="14" t="str">
        <f>IFERROR(__xludf.DUMMYFUNCTION("""COMPUTED_VALUE"""),"獎狀")</f>
        <v>獎狀</v>
      </c>
      <c r="H914" s="8"/>
    </row>
    <row r="915">
      <c r="A915" s="18"/>
      <c r="B915" s="14">
        <f>IFERROR(__xludf.DUMMYFUNCTION("""COMPUTED_VALUE"""),598430.0)</f>
        <v>598430</v>
      </c>
      <c r="C915" s="14" t="str">
        <f>IFERROR(__xludf.DUMMYFUNCTION("""COMPUTED_VALUE"""),"劉晉瑋")</f>
        <v>劉晉瑋</v>
      </c>
      <c r="D915" s="16" t="str">
        <f>IFERROR(__xludf.DUMMYFUNCTION("""COMPUTED_VALUE"""),"ken*****188@smail.hc.edu.tw")</f>
        <v>ken*****188@smail.hc.edu.tw</v>
      </c>
      <c r="E915" s="17" t="str">
        <f>IFERROR(__xludf.DUMMYFUNCTION("""COMPUTED_VALUE"""),"新竹市北區載熙國民小學")</f>
        <v>新竹市北區載熙國民小學</v>
      </c>
      <c r="F915" s="14" t="str">
        <f>IFERROR(__xludf.DUMMYFUNCTION("""COMPUTED_VALUE"""),"五年級")</f>
        <v>五年級</v>
      </c>
      <c r="G915" s="14" t="str">
        <f>IFERROR(__xludf.DUMMYFUNCTION("""COMPUTED_VALUE"""),"●小禮物")</f>
        <v>●小禮物</v>
      </c>
      <c r="H915" s="8"/>
    </row>
    <row r="916">
      <c r="A916" s="18"/>
      <c r="B916" s="14">
        <f>IFERROR(__xludf.DUMMYFUNCTION("""COMPUTED_VALUE"""),1199125.0)</f>
        <v>1199125</v>
      </c>
      <c r="C916" s="14" t="str">
        <f>IFERROR(__xludf.DUMMYFUNCTION("""COMPUTED_VALUE"""),"張晉瑋")</f>
        <v>張晉瑋</v>
      </c>
      <c r="D916" s="16" t="str">
        <f>IFERROR(__xludf.DUMMYFUNCTION("""COMPUTED_VALUE"""),"dun*****78.hc@mail.edu.tw")</f>
        <v>dun*****78.hc@mail.edu.tw</v>
      </c>
      <c r="E916" s="17" t="str">
        <f>IFERROR(__xludf.DUMMYFUNCTION("""COMPUTED_VALUE"""),"新竹市北區載熙國民小學")</f>
        <v>新竹市北區載熙國民小學</v>
      </c>
      <c r="F916" s="14" t="str">
        <f>IFERROR(__xludf.DUMMYFUNCTION("""COMPUTED_VALUE"""),"五年級")</f>
        <v>五年級</v>
      </c>
      <c r="G916" s="14" t="str">
        <f>IFERROR(__xludf.DUMMYFUNCTION("""COMPUTED_VALUE"""),"獎狀")</f>
        <v>獎狀</v>
      </c>
      <c r="H916" s="8"/>
    </row>
    <row r="917">
      <c r="A917" s="18"/>
      <c r="B917" s="14">
        <f>IFERROR(__xludf.DUMMYFUNCTION("""COMPUTED_VALUE"""),938488.0)</f>
        <v>938488</v>
      </c>
      <c r="C917" s="14" t="str">
        <f>IFERROR(__xludf.DUMMYFUNCTION("""COMPUTED_VALUE"""),"邱子軒")</f>
        <v>邱子軒</v>
      </c>
      <c r="D917" s="16" t="str">
        <f>IFERROR(__xludf.DUMMYFUNCTION("""COMPUTED_VALUE"""),"jas*****9@smail.hc.edu.tw")</f>
        <v>jas*****9@smail.hc.edu.tw</v>
      </c>
      <c r="E917" s="17" t="str">
        <f>IFERROR(__xludf.DUMMYFUNCTION("""COMPUTED_VALUE"""),"新竹市北區載熙國民小學")</f>
        <v>新竹市北區載熙國民小學</v>
      </c>
      <c r="F917" s="14" t="str">
        <f>IFERROR(__xludf.DUMMYFUNCTION("""COMPUTED_VALUE"""),"六年級")</f>
        <v>六年級</v>
      </c>
      <c r="G917" s="14" t="str">
        <f>IFERROR(__xludf.DUMMYFUNCTION("""COMPUTED_VALUE"""),"獎狀")</f>
        <v>獎狀</v>
      </c>
      <c r="H917" s="8"/>
    </row>
    <row r="918">
      <c r="A918" s="18"/>
      <c r="B918" s="14">
        <f>IFERROR(__xludf.DUMMYFUNCTION("""COMPUTED_VALUE"""),427082.0)</f>
        <v>427082</v>
      </c>
      <c r="C918" s="14" t="str">
        <f>IFERROR(__xludf.DUMMYFUNCTION("""COMPUTED_VALUE"""),"唐羽彤")</f>
        <v>唐羽彤</v>
      </c>
      <c r="D918" s="16" t="str">
        <f>IFERROR(__xludf.DUMMYFUNCTION("""COMPUTED_VALUE"""),"o5w*****hoo.com.tw")</f>
        <v>o5w*****hoo.com.tw</v>
      </c>
      <c r="E918" s="17" t="str">
        <f>IFERROR(__xludf.DUMMYFUNCTION("""COMPUTED_VALUE"""),"新竹市北區舊社國民小學")</f>
        <v>新竹市北區舊社國民小學</v>
      </c>
      <c r="F918" s="14" t="str">
        <f>IFERROR(__xludf.DUMMYFUNCTION("""COMPUTED_VALUE"""),"五年級")</f>
        <v>五年級</v>
      </c>
      <c r="G918" s="14" t="str">
        <f>IFERROR(__xludf.DUMMYFUNCTION("""COMPUTED_VALUE"""),"獎狀")</f>
        <v>獎狀</v>
      </c>
      <c r="H918" s="8"/>
    </row>
    <row r="919">
      <c r="A919" s="18"/>
      <c r="B919" s="14">
        <f>IFERROR(__xludf.DUMMYFUNCTION("""COMPUTED_VALUE"""),541314.0)</f>
        <v>541314</v>
      </c>
      <c r="C919" s="14" t="str">
        <f>IFERROR(__xludf.DUMMYFUNCTION("""COMPUTED_VALUE"""),"莊小樂")</f>
        <v>莊小樂</v>
      </c>
      <c r="D919" s="16" t="str">
        <f>IFERROR(__xludf.DUMMYFUNCTION("""COMPUTED_VALUE"""),"mel*****21.hc@mail.edu.tw")</f>
        <v>mel*****21.hc@mail.edu.tw</v>
      </c>
      <c r="E919" s="17" t="str">
        <f>IFERROR(__xludf.DUMMYFUNCTION("""COMPUTED_VALUE"""),"新竹市北區舊社國民小學")</f>
        <v>新竹市北區舊社國民小學</v>
      </c>
      <c r="F919" s="14" t="str">
        <f>IFERROR(__xludf.DUMMYFUNCTION("""COMPUTED_VALUE"""),"五年級")</f>
        <v>五年級</v>
      </c>
      <c r="G919" s="14" t="str">
        <f>IFERROR(__xludf.DUMMYFUNCTION("""COMPUTED_VALUE"""),"獎狀")</f>
        <v>獎狀</v>
      </c>
      <c r="H919" s="8"/>
    </row>
    <row r="920">
      <c r="A920" s="18"/>
      <c r="B920" s="14">
        <f>IFERROR(__xludf.DUMMYFUNCTION("""COMPUTED_VALUE"""),550180.0)</f>
        <v>550180</v>
      </c>
      <c r="C920" s="14" t="str">
        <f>IFERROR(__xludf.DUMMYFUNCTION("""COMPUTED_VALUE"""),"林沛樂")</f>
        <v>林沛樂</v>
      </c>
      <c r="D920" s="16" t="str">
        <f>IFERROR(__xludf.DUMMYFUNCTION("""COMPUTED_VALUE"""),"jts*****ahoo.com.tw")</f>
        <v>jts*****ahoo.com.tw</v>
      </c>
      <c r="E920" s="17" t="str">
        <f>IFERROR(__xludf.DUMMYFUNCTION("""COMPUTED_VALUE"""),"新竹市北區舊社國民小學")</f>
        <v>新竹市北區舊社國民小學</v>
      </c>
      <c r="F920" s="14" t="str">
        <f>IFERROR(__xludf.DUMMYFUNCTION("""COMPUTED_VALUE"""),"五年級")</f>
        <v>五年級</v>
      </c>
      <c r="G920" s="14" t="str">
        <f>IFERROR(__xludf.DUMMYFUNCTION("""COMPUTED_VALUE"""),"●小禮物")</f>
        <v>●小禮物</v>
      </c>
      <c r="H920" s="8"/>
    </row>
    <row r="921">
      <c r="A921" s="18"/>
      <c r="B921" s="14">
        <f>IFERROR(__xludf.DUMMYFUNCTION("""COMPUTED_VALUE"""),1213656.0)</f>
        <v>1213656</v>
      </c>
      <c r="C921" s="14" t="str">
        <f>IFERROR(__xludf.DUMMYFUNCTION("""COMPUTED_VALUE"""),"林在宥")</f>
        <v>林在宥</v>
      </c>
      <c r="D921" s="16" t="str">
        <f>IFERROR(__xludf.DUMMYFUNCTION("""COMPUTED_VALUE"""),"e10*****nehs.hc.edu.tw")</f>
        <v>e10*****nehs.hc.edu.tw</v>
      </c>
      <c r="E921" s="17" t="str">
        <f>IFERROR(__xludf.DUMMYFUNCTION("""COMPUTED_VALUE"""),"國立新竹科學園區實驗高級中等學校附設國小部")</f>
        <v>國立新竹科學園區實驗高級中等學校附設國小部</v>
      </c>
      <c r="F921" s="14" t="str">
        <f>IFERROR(__xludf.DUMMYFUNCTION("""COMPUTED_VALUE"""),"四年級")</f>
        <v>四年級</v>
      </c>
      <c r="G921" s="14" t="str">
        <f>IFERROR(__xludf.DUMMYFUNCTION("""COMPUTED_VALUE"""),"●小禮物")</f>
        <v>●小禮物</v>
      </c>
      <c r="H921" s="8"/>
    </row>
    <row r="922">
      <c r="A922" s="18"/>
      <c r="B922" s="14">
        <f>IFERROR(__xludf.DUMMYFUNCTION("""COMPUTED_VALUE"""),862944.0)</f>
        <v>862944</v>
      </c>
      <c r="C922" s="14" t="str">
        <f>IFERROR(__xludf.DUMMYFUNCTION("""COMPUTED_VALUE"""),"蔡芯語")</f>
        <v>蔡芯語</v>
      </c>
      <c r="D922" s="16" t="str">
        <f>IFERROR(__xludf.DUMMYFUNCTION("""COMPUTED_VALUE"""),"e10*****nehs.hc.edu.tw")</f>
        <v>e10*****nehs.hc.edu.tw</v>
      </c>
      <c r="E922" s="17" t="str">
        <f>IFERROR(__xludf.DUMMYFUNCTION("""COMPUTED_VALUE"""),"國立新竹科學園區實驗高級中等學校附設國小部")</f>
        <v>國立新竹科學園區實驗高級中等學校附設國小部</v>
      </c>
      <c r="F922" s="14" t="str">
        <f>IFERROR(__xludf.DUMMYFUNCTION("""COMPUTED_VALUE"""),"四年級")</f>
        <v>四年級</v>
      </c>
      <c r="G922" s="14" t="str">
        <f>IFERROR(__xludf.DUMMYFUNCTION("""COMPUTED_VALUE"""),"●小禮物")</f>
        <v>●小禮物</v>
      </c>
      <c r="H922" s="8"/>
    </row>
    <row r="923">
      <c r="A923" s="18"/>
      <c r="B923" s="14">
        <f>IFERROR(__xludf.DUMMYFUNCTION("""COMPUTED_VALUE"""),460409.0)</f>
        <v>460409</v>
      </c>
      <c r="C923" s="14" t="str">
        <f>IFERROR(__xludf.DUMMYFUNCTION("""COMPUTED_VALUE"""),"詹允寧")</f>
        <v>詹允寧</v>
      </c>
      <c r="D923" s="16" t="str">
        <f>IFERROR(__xludf.DUMMYFUNCTION("""COMPUTED_VALUE"""),"min*****rn@gmail.com")</f>
        <v>min*****rn@gmail.com</v>
      </c>
      <c r="E923" s="17" t="str">
        <f>IFERROR(__xludf.DUMMYFUNCTION("""COMPUTED_VALUE"""),"國立新竹科學園區實驗高級中等學校附設國小部")</f>
        <v>國立新竹科學園區實驗高級中等學校附設國小部</v>
      </c>
      <c r="F923" s="14" t="str">
        <f>IFERROR(__xludf.DUMMYFUNCTION("""COMPUTED_VALUE"""),"五年級")</f>
        <v>五年級</v>
      </c>
      <c r="G923" s="14" t="str">
        <f>IFERROR(__xludf.DUMMYFUNCTION("""COMPUTED_VALUE"""),"●小禮物")</f>
        <v>●小禮物</v>
      </c>
      <c r="H923" s="8"/>
    </row>
    <row r="924">
      <c r="A924" s="18"/>
      <c r="B924" s="14">
        <f>IFERROR(__xludf.DUMMYFUNCTION("""COMPUTED_VALUE"""),1024108.0)</f>
        <v>1024108</v>
      </c>
      <c r="C924" s="14" t="str">
        <f>IFERROR(__xludf.DUMMYFUNCTION("""COMPUTED_VALUE"""),"蘇冠瑜")</f>
        <v>蘇冠瑜</v>
      </c>
      <c r="D924" s="16" t="str">
        <f>IFERROR(__xludf.DUMMYFUNCTION("""COMPUTED_VALUE"""),"bet*****9@gmail.com")</f>
        <v>bet*****9@gmail.com</v>
      </c>
      <c r="E924" s="17" t="str">
        <f>IFERROR(__xludf.DUMMYFUNCTION("""COMPUTED_VALUE"""),"國立新竹科學園區實驗高級中等學校附設國小部")</f>
        <v>國立新竹科學園區實驗高級中等學校附設國小部</v>
      </c>
      <c r="F924" s="14" t="str">
        <f>IFERROR(__xludf.DUMMYFUNCTION("""COMPUTED_VALUE"""),"五年級")</f>
        <v>五年級</v>
      </c>
      <c r="G924" s="14" t="str">
        <f>IFERROR(__xludf.DUMMYFUNCTION("""COMPUTED_VALUE"""),"獎狀")</f>
        <v>獎狀</v>
      </c>
      <c r="H924" s="8"/>
    </row>
    <row r="925">
      <c r="A925" s="18"/>
      <c r="B925" s="14">
        <f>IFERROR(__xludf.DUMMYFUNCTION("""COMPUTED_VALUE"""),839671.0)</f>
        <v>839671</v>
      </c>
      <c r="C925" s="14" t="str">
        <f>IFERROR(__xludf.DUMMYFUNCTION("""COMPUTED_VALUE"""),"陳泓叡")</f>
        <v>陳泓叡</v>
      </c>
      <c r="D925" s="16" t="str">
        <f>IFERROR(__xludf.DUMMYFUNCTION("""COMPUTED_VALUE"""),"mav*****09@gmail.com")</f>
        <v>mav*****09@gmail.com</v>
      </c>
      <c r="E925" s="17" t="str">
        <f>IFERROR(__xludf.DUMMYFUNCTION("""COMPUTED_VALUE"""),"國立新竹科學園區實驗高級中等學校附設國小部")</f>
        <v>國立新竹科學園區實驗高級中等學校附設國小部</v>
      </c>
      <c r="F925" s="14" t="str">
        <f>IFERROR(__xludf.DUMMYFUNCTION("""COMPUTED_VALUE"""),"五年級")</f>
        <v>五年級</v>
      </c>
      <c r="G925" s="14" t="str">
        <f>IFERROR(__xludf.DUMMYFUNCTION("""COMPUTED_VALUE"""),"●小禮物")</f>
        <v>●小禮物</v>
      </c>
      <c r="H925" s="8"/>
    </row>
    <row r="926">
      <c r="A926" s="18"/>
      <c r="B926" s="14">
        <f>IFERROR(__xludf.DUMMYFUNCTION("""COMPUTED_VALUE"""),811249.0)</f>
        <v>811249</v>
      </c>
      <c r="C926" s="14" t="str">
        <f>IFERROR(__xludf.DUMMYFUNCTION("""COMPUTED_VALUE"""),"高宇陽")</f>
        <v>高宇陽</v>
      </c>
      <c r="D926" s="16" t="str">
        <f>IFERROR(__xludf.DUMMYFUNCTION("""COMPUTED_VALUE"""),"e10*****nehs.hc.edu.tw")</f>
        <v>e10*****nehs.hc.edu.tw</v>
      </c>
      <c r="E926" s="17" t="str">
        <f>IFERROR(__xludf.DUMMYFUNCTION("""COMPUTED_VALUE"""),"國立新竹科學園區實驗高級中等學校附設國小部")</f>
        <v>國立新竹科學園區實驗高級中等學校附設國小部</v>
      </c>
      <c r="F926" s="14" t="str">
        <f>IFERROR(__xludf.DUMMYFUNCTION("""COMPUTED_VALUE"""),"六年級")</f>
        <v>六年級</v>
      </c>
      <c r="G926" s="14" t="str">
        <f>IFERROR(__xludf.DUMMYFUNCTION("""COMPUTED_VALUE"""),"獎狀")</f>
        <v>獎狀</v>
      </c>
      <c r="H926" s="8"/>
    </row>
    <row r="927">
      <c r="A927" s="18"/>
      <c r="B927" s="14">
        <f>IFERROR(__xludf.DUMMYFUNCTION("""COMPUTED_VALUE"""),517338.0)</f>
        <v>517338</v>
      </c>
      <c r="C927" s="14" t="str">
        <f>IFERROR(__xludf.DUMMYFUNCTION("""COMPUTED_VALUE"""),"王彥旻")</f>
        <v>王彥旻</v>
      </c>
      <c r="D927" s="16" t="str">
        <f>IFERROR(__xludf.DUMMYFUNCTION("""COMPUTED_VALUE"""),"e10*****nehs.hc.edu.tw")</f>
        <v>e10*****nehs.hc.edu.tw</v>
      </c>
      <c r="E927" s="17" t="str">
        <f>IFERROR(__xludf.DUMMYFUNCTION("""COMPUTED_VALUE"""),"國立新竹科學園區實驗高級中等學校附設國小部")</f>
        <v>國立新竹科學園區實驗高級中等學校附設國小部</v>
      </c>
      <c r="F927" s="14" t="str">
        <f>IFERROR(__xludf.DUMMYFUNCTION("""COMPUTED_VALUE"""),"六年級")</f>
        <v>六年級</v>
      </c>
      <c r="G927" s="14" t="str">
        <f>IFERROR(__xludf.DUMMYFUNCTION("""COMPUTED_VALUE"""),"獎狀")</f>
        <v>獎狀</v>
      </c>
      <c r="H927" s="8"/>
    </row>
    <row r="928">
      <c r="A928" s="18"/>
      <c r="B928" s="14">
        <f>IFERROR(__xludf.DUMMYFUNCTION("""COMPUTED_VALUE"""),1151563.0)</f>
        <v>1151563</v>
      </c>
      <c r="C928" s="14" t="str">
        <f>IFERROR(__xludf.DUMMYFUNCTION("""COMPUTED_VALUE"""),"邱偊嫣")</f>
        <v>邱偊嫣</v>
      </c>
      <c r="D928" s="16" t="str">
        <f>IFERROR(__xludf.DUMMYFUNCTION("""COMPUTED_VALUE"""),"e10*****nehs.hc.edu.tw")</f>
        <v>e10*****nehs.hc.edu.tw</v>
      </c>
      <c r="E928" s="17" t="str">
        <f>IFERROR(__xludf.DUMMYFUNCTION("""COMPUTED_VALUE"""),"國立新竹科學園區實驗高級中等學校附設國小部")</f>
        <v>國立新竹科學園區實驗高級中等學校附設國小部</v>
      </c>
      <c r="F928" s="14" t="str">
        <f>IFERROR(__xludf.DUMMYFUNCTION("""COMPUTED_VALUE"""),"六年級")</f>
        <v>六年級</v>
      </c>
      <c r="G928" s="14" t="str">
        <f>IFERROR(__xludf.DUMMYFUNCTION("""COMPUTED_VALUE"""),"獎狀")</f>
        <v>獎狀</v>
      </c>
      <c r="H928" s="8"/>
    </row>
    <row r="929">
      <c r="A929" s="18"/>
      <c r="B929" s="14">
        <f>IFERROR(__xludf.DUMMYFUNCTION("""COMPUTED_VALUE"""),364073.0)</f>
        <v>364073</v>
      </c>
      <c r="C929" s="14" t="str">
        <f>IFERROR(__xludf.DUMMYFUNCTION("""COMPUTED_VALUE"""),"洪卉萱")</f>
        <v>洪卉萱</v>
      </c>
      <c r="D929" s="16" t="str">
        <f>IFERROR(__xludf.DUMMYFUNCTION("""COMPUTED_VALUE"""),"e10*****nehs.hc.edu.tw")</f>
        <v>e10*****nehs.hc.edu.tw</v>
      </c>
      <c r="E929" s="17" t="str">
        <f>IFERROR(__xludf.DUMMYFUNCTION("""COMPUTED_VALUE"""),"國立新竹科學園區實驗高級中等學校附設國小部")</f>
        <v>國立新竹科學園區實驗高級中等學校附設國小部</v>
      </c>
      <c r="F929" s="14" t="str">
        <f>IFERROR(__xludf.DUMMYFUNCTION("""COMPUTED_VALUE"""),"六年級")</f>
        <v>六年級</v>
      </c>
      <c r="G929" s="14" t="str">
        <f>IFERROR(__xludf.DUMMYFUNCTION("""COMPUTED_VALUE"""),"獎狀")</f>
        <v>獎狀</v>
      </c>
      <c r="H929" s="8"/>
    </row>
    <row r="930">
      <c r="A930" s="18"/>
      <c r="B930" s="14">
        <f>IFERROR(__xludf.DUMMYFUNCTION("""COMPUTED_VALUE"""),1199470.0)</f>
        <v>1199470</v>
      </c>
      <c r="C930" s="14" t="str">
        <f>IFERROR(__xludf.DUMMYFUNCTION("""COMPUTED_VALUE"""),"鄭宇脩")</f>
        <v>鄭宇脩</v>
      </c>
      <c r="D930" s="16" t="str">
        <f>IFERROR(__xludf.DUMMYFUNCTION("""COMPUTED_VALUE"""),"mat*****20@mail.edu.tw")</f>
        <v>mat*****20@mail.edu.tw</v>
      </c>
      <c r="E930" s="17" t="str">
        <f>IFERROR(__xludf.DUMMYFUNCTION("""COMPUTED_VALUE"""),"新竹市私立曙光國民小學")</f>
        <v>新竹市私立曙光國民小學</v>
      </c>
      <c r="F930" s="14" t="str">
        <f>IFERROR(__xludf.DUMMYFUNCTION("""COMPUTED_VALUE"""),"三年級")</f>
        <v>三年級</v>
      </c>
      <c r="G930" s="14" t="str">
        <f>IFERROR(__xludf.DUMMYFUNCTION("""COMPUTED_VALUE"""),"獎狀")</f>
        <v>獎狀</v>
      </c>
      <c r="H930" s="8"/>
    </row>
    <row r="931">
      <c r="A931" s="18"/>
      <c r="B931" s="14">
        <f>IFERROR(__xludf.DUMMYFUNCTION("""COMPUTED_VALUE"""),1180914.0)</f>
        <v>1180914</v>
      </c>
      <c r="C931" s="14" t="str">
        <f>IFERROR(__xludf.DUMMYFUNCTION("""COMPUTED_VALUE"""),"郭言睿")</f>
        <v>郭言睿</v>
      </c>
      <c r="D931" s="16" t="str">
        <f>IFERROR(__xludf.DUMMYFUNCTION("""COMPUTED_VALUE"""),"ast*****4@mail.edu.tw")</f>
        <v>ast*****4@mail.edu.tw</v>
      </c>
      <c r="E931" s="17" t="str">
        <f>IFERROR(__xludf.DUMMYFUNCTION("""COMPUTED_VALUE"""),"新竹市私立曙光國民小學")</f>
        <v>新竹市私立曙光國民小學</v>
      </c>
      <c r="F931" s="14" t="str">
        <f>IFERROR(__xludf.DUMMYFUNCTION("""COMPUTED_VALUE"""),"四年級")</f>
        <v>四年級</v>
      </c>
      <c r="G931" s="14" t="str">
        <f>IFERROR(__xludf.DUMMYFUNCTION("""COMPUTED_VALUE"""),"●小禮物")</f>
        <v>●小禮物</v>
      </c>
      <c r="H931" s="8"/>
    </row>
    <row r="932">
      <c r="A932" s="18"/>
      <c r="B932" s="14">
        <f>IFERROR(__xludf.DUMMYFUNCTION("""COMPUTED_VALUE"""),1180910.0)</f>
        <v>1180910</v>
      </c>
      <c r="C932" s="14" t="str">
        <f>IFERROR(__xludf.DUMMYFUNCTION("""COMPUTED_VALUE"""),"王昶森")</f>
        <v>王昶森</v>
      </c>
      <c r="D932" s="16" t="str">
        <f>IFERROR(__xludf.DUMMYFUNCTION("""COMPUTED_VALUE"""),"jas*****9.hc@mail.edu.tw")</f>
        <v>jas*****9.hc@mail.edu.tw</v>
      </c>
      <c r="E932" s="17" t="str">
        <f>IFERROR(__xludf.DUMMYFUNCTION("""COMPUTED_VALUE"""),"新竹市私立曙光國民小學")</f>
        <v>新竹市私立曙光國民小學</v>
      </c>
      <c r="F932" s="14" t="str">
        <f>IFERROR(__xludf.DUMMYFUNCTION("""COMPUTED_VALUE"""),"四年級")</f>
        <v>四年級</v>
      </c>
      <c r="G932" s="14" t="str">
        <f>IFERROR(__xludf.DUMMYFUNCTION("""COMPUTED_VALUE"""),"獎狀")</f>
        <v>獎狀</v>
      </c>
      <c r="H932" s="8"/>
    </row>
    <row r="933">
      <c r="A933" s="18"/>
      <c r="B933" s="14">
        <f>IFERROR(__xludf.DUMMYFUNCTION("""COMPUTED_VALUE"""),1180906.0)</f>
        <v>1180906</v>
      </c>
      <c r="C933" s="14" t="str">
        <f>IFERROR(__xludf.DUMMYFUNCTION("""COMPUTED_VALUE"""),"劉語澂")</f>
        <v>劉語澂</v>
      </c>
      <c r="D933" s="16" t="str">
        <f>IFERROR(__xludf.DUMMYFUNCTION("""COMPUTED_VALUE"""),"oti*****.hc@mail.edu.tw")</f>
        <v>oti*****.hc@mail.edu.tw</v>
      </c>
      <c r="E933" s="17" t="str">
        <f>IFERROR(__xludf.DUMMYFUNCTION("""COMPUTED_VALUE"""),"新竹市私立曙光國民小學")</f>
        <v>新竹市私立曙光國民小學</v>
      </c>
      <c r="F933" s="14" t="str">
        <f>IFERROR(__xludf.DUMMYFUNCTION("""COMPUTED_VALUE"""),"四年級")</f>
        <v>四年級</v>
      </c>
      <c r="G933" s="14" t="str">
        <f>IFERROR(__xludf.DUMMYFUNCTION("""COMPUTED_VALUE"""),"獎狀")</f>
        <v>獎狀</v>
      </c>
      <c r="H933" s="8"/>
    </row>
    <row r="934">
      <c r="A934" s="18"/>
      <c r="B934" s="14">
        <f>IFERROR(__xludf.DUMMYFUNCTION("""COMPUTED_VALUE"""),1182487.0)</f>
        <v>1182487</v>
      </c>
      <c r="C934" s="14" t="str">
        <f>IFERROR(__xludf.DUMMYFUNCTION("""COMPUTED_VALUE"""),"周芷安")</f>
        <v>周芷安</v>
      </c>
      <c r="D934" s="16" t="str">
        <f>IFERROR(__xludf.DUMMYFUNCTION("""COMPUTED_VALUE"""),"anc*****@mail.edu.tw")</f>
        <v>anc*****@mail.edu.tw</v>
      </c>
      <c r="E934" s="17" t="str">
        <f>IFERROR(__xludf.DUMMYFUNCTION("""COMPUTED_VALUE"""),"新竹市私立曙光國民小學")</f>
        <v>新竹市私立曙光國民小學</v>
      </c>
      <c r="F934" s="14" t="str">
        <f>IFERROR(__xludf.DUMMYFUNCTION("""COMPUTED_VALUE"""),"四年級")</f>
        <v>四年級</v>
      </c>
      <c r="G934" s="14" t="str">
        <f>IFERROR(__xludf.DUMMYFUNCTION("""COMPUTED_VALUE"""),"獎狀")</f>
        <v>獎狀</v>
      </c>
      <c r="H934" s="8"/>
    </row>
    <row r="935">
      <c r="A935" s="18"/>
      <c r="B935" s="14">
        <f>IFERROR(__xludf.DUMMYFUNCTION("""COMPUTED_VALUE"""),1182493.0)</f>
        <v>1182493</v>
      </c>
      <c r="C935" s="14" t="str">
        <f>IFERROR(__xludf.DUMMYFUNCTION("""COMPUTED_VALUE"""),"黃子洋")</f>
        <v>黃子洋</v>
      </c>
      <c r="D935" s="16" t="str">
        <f>IFERROR(__xludf.DUMMYFUNCTION("""COMPUTED_VALUE"""),"eea*****16.hc@mail.edu.tw")</f>
        <v>eea*****16.hc@mail.edu.tw</v>
      </c>
      <c r="E935" s="17" t="str">
        <f>IFERROR(__xludf.DUMMYFUNCTION("""COMPUTED_VALUE"""),"新竹市私立曙光國民小學")</f>
        <v>新竹市私立曙光國民小學</v>
      </c>
      <c r="F935" s="14" t="str">
        <f>IFERROR(__xludf.DUMMYFUNCTION("""COMPUTED_VALUE"""),"四年級")</f>
        <v>四年級</v>
      </c>
      <c r="G935" s="14" t="str">
        <f>IFERROR(__xludf.DUMMYFUNCTION("""COMPUTED_VALUE"""),"獎狀")</f>
        <v>獎狀</v>
      </c>
      <c r="H935" s="8"/>
    </row>
    <row r="936">
      <c r="A936" s="18"/>
      <c r="B936" s="14">
        <f>IFERROR(__xludf.DUMMYFUNCTION("""COMPUTED_VALUE"""),941199.0)</f>
        <v>941199</v>
      </c>
      <c r="C936" s="14" t="str">
        <f>IFERROR(__xludf.DUMMYFUNCTION("""COMPUTED_VALUE"""),"黃奕祥")</f>
        <v>黃奕祥</v>
      </c>
      <c r="D936" s="16" t="str">
        <f>IFERROR(__xludf.DUMMYFUNCTION("""COMPUTED_VALUE"""),"eas*****8.hc@mail.edu.tw")</f>
        <v>eas*****8.hc@mail.edu.tw</v>
      </c>
      <c r="E936" s="17" t="str">
        <f>IFERROR(__xludf.DUMMYFUNCTION("""COMPUTED_VALUE"""),"新竹市私立曙光國民小學")</f>
        <v>新竹市私立曙光國民小學</v>
      </c>
      <c r="F936" s="14" t="str">
        <f>IFERROR(__xludf.DUMMYFUNCTION("""COMPUTED_VALUE"""),"四年級")</f>
        <v>四年級</v>
      </c>
      <c r="G936" s="14" t="str">
        <f>IFERROR(__xludf.DUMMYFUNCTION("""COMPUTED_VALUE"""),"獎狀")</f>
        <v>獎狀</v>
      </c>
      <c r="H936" s="8"/>
    </row>
    <row r="937">
      <c r="A937" s="18"/>
      <c r="B937" s="14">
        <f>IFERROR(__xludf.DUMMYFUNCTION("""COMPUTED_VALUE"""),1177918.0)</f>
        <v>1177918</v>
      </c>
      <c r="C937" s="14" t="str">
        <f>IFERROR(__xludf.DUMMYFUNCTION("""COMPUTED_VALUE"""),"蔡汶蓉")</f>
        <v>蔡汶蓉</v>
      </c>
      <c r="D937" s="16" t="str">
        <f>IFERROR(__xludf.DUMMYFUNCTION("""COMPUTED_VALUE"""),"bet*****6.hc@mail.edu.tw")</f>
        <v>bet*****6.hc@mail.edu.tw</v>
      </c>
      <c r="E937" s="17" t="str">
        <f>IFERROR(__xludf.DUMMYFUNCTION("""COMPUTED_VALUE"""),"新竹市私立曙光國民小學")</f>
        <v>新竹市私立曙光國民小學</v>
      </c>
      <c r="F937" s="14" t="str">
        <f>IFERROR(__xludf.DUMMYFUNCTION("""COMPUTED_VALUE"""),"四年級")</f>
        <v>四年級</v>
      </c>
      <c r="G937" s="14" t="str">
        <f>IFERROR(__xludf.DUMMYFUNCTION("""COMPUTED_VALUE"""),"●小禮物")</f>
        <v>●小禮物</v>
      </c>
      <c r="H937" s="8"/>
    </row>
    <row r="938">
      <c r="A938" s="18"/>
      <c r="B938" s="14">
        <f>IFERROR(__xludf.DUMMYFUNCTION("""COMPUTED_VALUE"""),1177943.0)</f>
        <v>1177943</v>
      </c>
      <c r="C938" s="14" t="str">
        <f>IFERROR(__xludf.DUMMYFUNCTION("""COMPUTED_VALUE"""),"莊詠晴")</f>
        <v>莊詠晴</v>
      </c>
      <c r="D938" s="16" t="str">
        <f>IFERROR(__xludf.DUMMYFUNCTION("""COMPUTED_VALUE"""),"sop*****11228@mail.edu.tw")</f>
        <v>sop*****11228@mail.edu.tw</v>
      </c>
      <c r="E938" s="17" t="str">
        <f>IFERROR(__xludf.DUMMYFUNCTION("""COMPUTED_VALUE"""),"新竹市私立曙光國民小學")</f>
        <v>新竹市私立曙光國民小學</v>
      </c>
      <c r="F938" s="14" t="str">
        <f>IFERROR(__xludf.DUMMYFUNCTION("""COMPUTED_VALUE"""),"四年級")</f>
        <v>四年級</v>
      </c>
      <c r="G938" s="14" t="str">
        <f>IFERROR(__xludf.DUMMYFUNCTION("""COMPUTED_VALUE"""),"獎狀")</f>
        <v>獎狀</v>
      </c>
      <c r="H938" s="8"/>
    </row>
    <row r="939">
      <c r="A939" s="18"/>
      <c r="B939" s="14">
        <f>IFERROR(__xludf.DUMMYFUNCTION("""COMPUTED_VALUE"""),1177960.0)</f>
        <v>1177960</v>
      </c>
      <c r="C939" s="14" t="str">
        <f>IFERROR(__xludf.DUMMYFUNCTION("""COMPUTED_VALUE"""),"許代昀")</f>
        <v>許代昀</v>
      </c>
      <c r="D939" s="16" t="str">
        <f>IFERROR(__xludf.DUMMYFUNCTION("""COMPUTED_VALUE"""),"amb*****9@mail.edu.tw")</f>
        <v>amb*****9@mail.edu.tw</v>
      </c>
      <c r="E939" s="17" t="str">
        <f>IFERROR(__xludf.DUMMYFUNCTION("""COMPUTED_VALUE"""),"新竹市私立曙光國民小學")</f>
        <v>新竹市私立曙光國民小學</v>
      </c>
      <c r="F939" s="14" t="str">
        <f>IFERROR(__xludf.DUMMYFUNCTION("""COMPUTED_VALUE"""),"四年級")</f>
        <v>四年級</v>
      </c>
      <c r="G939" s="14" t="str">
        <f>IFERROR(__xludf.DUMMYFUNCTION("""COMPUTED_VALUE"""),"獎狀")</f>
        <v>獎狀</v>
      </c>
      <c r="H939" s="8"/>
    </row>
    <row r="940">
      <c r="A940" s="18"/>
      <c r="B940" s="14">
        <f>IFERROR(__xludf.DUMMYFUNCTION("""COMPUTED_VALUE"""),748248.0)</f>
        <v>748248</v>
      </c>
      <c r="C940" s="14" t="str">
        <f>IFERROR(__xludf.DUMMYFUNCTION("""COMPUTED_VALUE"""),"彭瑞祥")</f>
        <v>彭瑞祥</v>
      </c>
      <c r="D940" s="16" t="str">
        <f>IFERROR(__xludf.DUMMYFUNCTION("""COMPUTED_VALUE"""),"ray*****hc@mail.edu.tw")</f>
        <v>ray*****hc@mail.edu.tw</v>
      </c>
      <c r="E940" s="17" t="str">
        <f>IFERROR(__xludf.DUMMYFUNCTION("""COMPUTED_VALUE"""),"新竹市私立曙光國民小學")</f>
        <v>新竹市私立曙光國民小學</v>
      </c>
      <c r="F940" s="14" t="str">
        <f>IFERROR(__xludf.DUMMYFUNCTION("""COMPUTED_VALUE"""),"四年級")</f>
        <v>四年級</v>
      </c>
      <c r="G940" s="14" t="str">
        <f>IFERROR(__xludf.DUMMYFUNCTION("""COMPUTED_VALUE"""),"獎狀")</f>
        <v>獎狀</v>
      </c>
      <c r="H940" s="8"/>
    </row>
    <row r="941">
      <c r="A941" s="18"/>
      <c r="B941" s="14">
        <f>IFERROR(__xludf.DUMMYFUNCTION("""COMPUTED_VALUE"""),711976.0)</f>
        <v>711976</v>
      </c>
      <c r="C941" s="14" t="str">
        <f>IFERROR(__xludf.DUMMYFUNCTION("""COMPUTED_VALUE"""),"高暐翔")</f>
        <v>高暐翔</v>
      </c>
      <c r="D941" s="16" t="str">
        <f>IFERROR(__xludf.DUMMYFUNCTION("""COMPUTED_VALUE"""),"wwi*****303.hc@mail.edu.tw")</f>
        <v>wwi*****303.hc@mail.edu.tw</v>
      </c>
      <c r="E941" s="17" t="str">
        <f>IFERROR(__xludf.DUMMYFUNCTION("""COMPUTED_VALUE"""),"新竹市私立曙光國民小學")</f>
        <v>新竹市私立曙光國民小學</v>
      </c>
      <c r="F941" s="14" t="str">
        <f>IFERROR(__xludf.DUMMYFUNCTION("""COMPUTED_VALUE"""),"五年級")</f>
        <v>五年級</v>
      </c>
      <c r="G941" s="14" t="str">
        <f>IFERROR(__xludf.DUMMYFUNCTION("""COMPUTED_VALUE"""),"獎狀")</f>
        <v>獎狀</v>
      </c>
      <c r="H941" s="8"/>
    </row>
    <row r="942">
      <c r="A942" s="18"/>
      <c r="B942" s="14">
        <f>IFERROR(__xludf.DUMMYFUNCTION("""COMPUTED_VALUE"""),1178878.0)</f>
        <v>1178878</v>
      </c>
      <c r="C942" s="14" t="str">
        <f>IFERROR(__xludf.DUMMYFUNCTION("""COMPUTED_VALUE"""),"張晏綺")</f>
        <v>張晏綺</v>
      </c>
      <c r="D942" s="16" t="str">
        <f>IFERROR(__xludf.DUMMYFUNCTION("""COMPUTED_VALUE"""),"dor*****.hc@mail.edu.tw")</f>
        <v>dor*****.hc@mail.edu.tw</v>
      </c>
      <c r="E942" s="17" t="str">
        <f>IFERROR(__xludf.DUMMYFUNCTION("""COMPUTED_VALUE"""),"新竹市私立曙光國民小學")</f>
        <v>新竹市私立曙光國民小學</v>
      </c>
      <c r="F942" s="14" t="str">
        <f>IFERROR(__xludf.DUMMYFUNCTION("""COMPUTED_VALUE"""),"五年級")</f>
        <v>五年級</v>
      </c>
      <c r="G942" s="14" t="str">
        <f>IFERROR(__xludf.DUMMYFUNCTION("""COMPUTED_VALUE"""),"獎狀")</f>
        <v>獎狀</v>
      </c>
      <c r="H942" s="8"/>
    </row>
    <row r="943">
      <c r="A943" s="18"/>
      <c r="B943" s="14">
        <f>IFERROR(__xludf.DUMMYFUNCTION("""COMPUTED_VALUE"""),1178879.0)</f>
        <v>1178879</v>
      </c>
      <c r="C943" s="14" t="str">
        <f>IFERROR(__xludf.DUMMYFUNCTION("""COMPUTED_VALUE"""),"莊善合")</f>
        <v>莊善合</v>
      </c>
      <c r="D943" s="16" t="str">
        <f>IFERROR(__xludf.DUMMYFUNCTION("""COMPUTED_VALUE"""),"sam*****hc@mail.edu.tw")</f>
        <v>sam*****hc@mail.edu.tw</v>
      </c>
      <c r="E943" s="17" t="str">
        <f>IFERROR(__xludf.DUMMYFUNCTION("""COMPUTED_VALUE"""),"新竹市私立曙光國民小學")</f>
        <v>新竹市私立曙光國民小學</v>
      </c>
      <c r="F943" s="14" t="str">
        <f>IFERROR(__xludf.DUMMYFUNCTION("""COMPUTED_VALUE"""),"五年級")</f>
        <v>五年級</v>
      </c>
      <c r="G943" s="14" t="str">
        <f>IFERROR(__xludf.DUMMYFUNCTION("""COMPUTED_VALUE"""),"獎狀")</f>
        <v>獎狀</v>
      </c>
      <c r="H943" s="8"/>
    </row>
    <row r="944">
      <c r="A944" s="18"/>
      <c r="B944" s="14">
        <f>IFERROR(__xludf.DUMMYFUNCTION("""COMPUTED_VALUE"""),1178889.0)</f>
        <v>1178889</v>
      </c>
      <c r="C944" s="14" t="str">
        <f>IFERROR(__xludf.DUMMYFUNCTION("""COMPUTED_VALUE"""),"郭存睿")</f>
        <v>郭存睿</v>
      </c>
      <c r="D944" s="16" t="str">
        <f>IFERROR(__xludf.DUMMYFUNCTION("""COMPUTED_VALUE"""),"aas*****19.hc@mail.edu.tw")</f>
        <v>aas*****19.hc@mail.edu.tw</v>
      </c>
      <c r="E944" s="17" t="str">
        <f>IFERROR(__xludf.DUMMYFUNCTION("""COMPUTED_VALUE"""),"新竹市私立曙光國民小學")</f>
        <v>新竹市私立曙光國民小學</v>
      </c>
      <c r="F944" s="14" t="str">
        <f>IFERROR(__xludf.DUMMYFUNCTION("""COMPUTED_VALUE"""),"五年級")</f>
        <v>五年級</v>
      </c>
      <c r="G944" s="14" t="str">
        <f>IFERROR(__xludf.DUMMYFUNCTION("""COMPUTED_VALUE"""),"獎狀")</f>
        <v>獎狀</v>
      </c>
      <c r="H944" s="8"/>
    </row>
    <row r="945">
      <c r="A945" s="18"/>
      <c r="B945" s="14">
        <f>IFERROR(__xludf.DUMMYFUNCTION("""COMPUTED_VALUE"""),1178899.0)</f>
        <v>1178899</v>
      </c>
      <c r="C945" s="14" t="str">
        <f>IFERROR(__xludf.DUMMYFUNCTION("""COMPUTED_VALUE"""),"鄭宇程")</f>
        <v>鄭宇程</v>
      </c>
      <c r="D945" s="16" t="str">
        <f>IFERROR(__xludf.DUMMYFUNCTION("""COMPUTED_VALUE"""),"and*****.hc@mail.edu.tw")</f>
        <v>and*****.hc@mail.edu.tw</v>
      </c>
      <c r="E945" s="17" t="str">
        <f>IFERROR(__xludf.DUMMYFUNCTION("""COMPUTED_VALUE"""),"新竹市私立曙光國民小學")</f>
        <v>新竹市私立曙光國民小學</v>
      </c>
      <c r="F945" s="14" t="str">
        <f>IFERROR(__xludf.DUMMYFUNCTION("""COMPUTED_VALUE"""),"五年級")</f>
        <v>五年級</v>
      </c>
      <c r="G945" s="14" t="str">
        <f>IFERROR(__xludf.DUMMYFUNCTION("""COMPUTED_VALUE"""),"獎狀")</f>
        <v>獎狀</v>
      </c>
      <c r="H945" s="8"/>
    </row>
    <row r="946">
      <c r="A946" s="18"/>
      <c r="B946" s="14">
        <f>IFERROR(__xludf.DUMMYFUNCTION("""COMPUTED_VALUE"""),1178910.0)</f>
        <v>1178910</v>
      </c>
      <c r="C946" s="14" t="str">
        <f>IFERROR(__xludf.DUMMYFUNCTION("""COMPUTED_VALUE"""),"韓曜宇")</f>
        <v>韓曜宇</v>
      </c>
      <c r="D946" s="16" t="str">
        <f>IFERROR(__xludf.DUMMYFUNCTION("""COMPUTED_VALUE"""),"eer*****2.hc@mail.edu.tw")</f>
        <v>eer*****2.hc@mail.edu.tw</v>
      </c>
      <c r="E946" s="17" t="str">
        <f>IFERROR(__xludf.DUMMYFUNCTION("""COMPUTED_VALUE"""),"新竹市私立曙光國民小學")</f>
        <v>新竹市私立曙光國民小學</v>
      </c>
      <c r="F946" s="14" t="str">
        <f>IFERROR(__xludf.DUMMYFUNCTION("""COMPUTED_VALUE"""),"五年級")</f>
        <v>五年級</v>
      </c>
      <c r="G946" s="14" t="str">
        <f>IFERROR(__xludf.DUMMYFUNCTION("""COMPUTED_VALUE"""),"獎狀")</f>
        <v>獎狀</v>
      </c>
      <c r="H946" s="8"/>
    </row>
    <row r="947">
      <c r="A947" s="18"/>
      <c r="B947" s="14">
        <f>IFERROR(__xludf.DUMMYFUNCTION("""COMPUTED_VALUE"""),1176407.0)</f>
        <v>1176407</v>
      </c>
      <c r="C947" s="14" t="str">
        <f>IFERROR(__xludf.DUMMYFUNCTION("""COMPUTED_VALUE"""),"何昊陽")</f>
        <v>何昊陽</v>
      </c>
      <c r="D947" s="16" t="str">
        <f>IFERROR(__xludf.DUMMYFUNCTION("""COMPUTED_VALUE"""),"rry*****9.hc@mail.edu.tw")</f>
        <v>rry*****9.hc@mail.edu.tw</v>
      </c>
      <c r="E947" s="17" t="str">
        <f>IFERROR(__xludf.DUMMYFUNCTION("""COMPUTED_VALUE"""),"新竹市私立曙光國民小學")</f>
        <v>新竹市私立曙光國民小學</v>
      </c>
      <c r="F947" s="14" t="str">
        <f>IFERROR(__xludf.DUMMYFUNCTION("""COMPUTED_VALUE"""),"五年級")</f>
        <v>五年級</v>
      </c>
      <c r="G947" s="14" t="str">
        <f>IFERROR(__xludf.DUMMYFUNCTION("""COMPUTED_VALUE"""),"●小禮物")</f>
        <v>●小禮物</v>
      </c>
      <c r="H947" s="8"/>
    </row>
    <row r="948">
      <c r="A948" s="18"/>
      <c r="B948" s="14">
        <f>IFERROR(__xludf.DUMMYFUNCTION("""COMPUTED_VALUE"""),1176379.0)</f>
        <v>1176379</v>
      </c>
      <c r="C948" s="14" t="str">
        <f>IFERROR(__xludf.DUMMYFUNCTION("""COMPUTED_VALUE"""),"戴允徽")</f>
        <v>戴允徽</v>
      </c>
      <c r="D948" s="16" t="str">
        <f>IFERROR(__xludf.DUMMYFUNCTION("""COMPUTED_VALUE"""),"onn*****.hc@mail.edu.tw")</f>
        <v>onn*****.hc@mail.edu.tw</v>
      </c>
      <c r="E948" s="17" t="str">
        <f>IFERROR(__xludf.DUMMYFUNCTION("""COMPUTED_VALUE"""),"新竹市私立曙光國民小學")</f>
        <v>新竹市私立曙光國民小學</v>
      </c>
      <c r="F948" s="14" t="str">
        <f>IFERROR(__xludf.DUMMYFUNCTION("""COMPUTED_VALUE"""),"五年級")</f>
        <v>五年級</v>
      </c>
      <c r="G948" s="14" t="str">
        <f>IFERROR(__xludf.DUMMYFUNCTION("""COMPUTED_VALUE"""),"●小禮物")</f>
        <v>●小禮物</v>
      </c>
      <c r="H948" s="8"/>
    </row>
    <row r="949">
      <c r="A949" s="18"/>
      <c r="B949" s="14">
        <f>IFERROR(__xludf.DUMMYFUNCTION("""COMPUTED_VALUE"""),1176388.0)</f>
        <v>1176388</v>
      </c>
      <c r="C949" s="14" t="str">
        <f>IFERROR(__xludf.DUMMYFUNCTION("""COMPUTED_VALUE"""),"魏名澤")</f>
        <v>魏名澤</v>
      </c>
      <c r="D949" s="16" t="str">
        <f>IFERROR(__xludf.DUMMYFUNCTION("""COMPUTED_VALUE"""),"ray*****hc@mail.edu.tw")</f>
        <v>ray*****hc@mail.edu.tw</v>
      </c>
      <c r="E949" s="17" t="str">
        <f>IFERROR(__xludf.DUMMYFUNCTION("""COMPUTED_VALUE"""),"新竹市私立曙光國民小學")</f>
        <v>新竹市私立曙光國民小學</v>
      </c>
      <c r="F949" s="14" t="str">
        <f>IFERROR(__xludf.DUMMYFUNCTION("""COMPUTED_VALUE"""),"五年級")</f>
        <v>五年級</v>
      </c>
      <c r="G949" s="14" t="str">
        <f>IFERROR(__xludf.DUMMYFUNCTION("""COMPUTED_VALUE"""),"●小禮物")</f>
        <v>●小禮物</v>
      </c>
      <c r="H949" s="8"/>
    </row>
    <row r="950">
      <c r="A950" s="18"/>
      <c r="B950" s="14">
        <f>IFERROR(__xludf.DUMMYFUNCTION("""COMPUTED_VALUE"""),1176376.0)</f>
        <v>1176376</v>
      </c>
      <c r="C950" s="14" t="str">
        <f>IFERROR(__xludf.DUMMYFUNCTION("""COMPUTED_VALUE"""),"王品翰")</f>
        <v>王品翰</v>
      </c>
      <c r="D950" s="16" t="str">
        <f>IFERROR(__xludf.DUMMYFUNCTION("""COMPUTED_VALUE"""),"han*****0302@mail.edu.tw")</f>
        <v>han*****0302@mail.edu.tw</v>
      </c>
      <c r="E950" s="17" t="str">
        <f>IFERROR(__xludf.DUMMYFUNCTION("""COMPUTED_VALUE"""),"新竹市私立曙光國民小學")</f>
        <v>新竹市私立曙光國民小學</v>
      </c>
      <c r="F950" s="14" t="str">
        <f>IFERROR(__xludf.DUMMYFUNCTION("""COMPUTED_VALUE"""),"五年級")</f>
        <v>五年級</v>
      </c>
      <c r="G950" s="14" t="str">
        <f>IFERROR(__xludf.DUMMYFUNCTION("""COMPUTED_VALUE"""),"獎狀")</f>
        <v>獎狀</v>
      </c>
      <c r="H950" s="8"/>
    </row>
    <row r="951">
      <c r="A951" s="18"/>
      <c r="B951" s="14">
        <f>IFERROR(__xludf.DUMMYFUNCTION("""COMPUTED_VALUE"""),1176423.0)</f>
        <v>1176423</v>
      </c>
      <c r="C951" s="14" t="str">
        <f>IFERROR(__xludf.DUMMYFUNCTION("""COMPUTED_VALUE"""),"林明旭")</f>
        <v>林明旭</v>
      </c>
      <c r="D951" s="16" t="str">
        <f>IFERROR(__xludf.DUMMYFUNCTION("""COMPUTED_VALUE"""),"geo*****11.hc@mail.edu.tw")</f>
        <v>geo*****11.hc@mail.edu.tw</v>
      </c>
      <c r="E951" s="17" t="str">
        <f>IFERROR(__xludf.DUMMYFUNCTION("""COMPUTED_VALUE"""),"新竹市私立曙光國民小學")</f>
        <v>新竹市私立曙光國民小學</v>
      </c>
      <c r="F951" s="14" t="str">
        <f>IFERROR(__xludf.DUMMYFUNCTION("""COMPUTED_VALUE"""),"五年級")</f>
        <v>五年級</v>
      </c>
      <c r="G951" s="14" t="str">
        <f>IFERROR(__xludf.DUMMYFUNCTION("""COMPUTED_VALUE"""),"獎狀")</f>
        <v>獎狀</v>
      </c>
      <c r="H951" s="8"/>
    </row>
    <row r="952">
      <c r="A952" s="18"/>
      <c r="B952" s="14">
        <f>IFERROR(__xludf.DUMMYFUNCTION("""COMPUTED_VALUE"""),1176344.0)</f>
        <v>1176344</v>
      </c>
      <c r="C952" s="14" t="str">
        <f>IFERROR(__xludf.DUMMYFUNCTION("""COMPUTED_VALUE"""),"林誼恩")</f>
        <v>林誼恩</v>
      </c>
      <c r="D952" s="16" t="str">
        <f>IFERROR(__xludf.DUMMYFUNCTION("""COMPUTED_VALUE"""),"aan*****2.hc@mail.edu.tw")</f>
        <v>aan*****2.hc@mail.edu.tw</v>
      </c>
      <c r="E952" s="17" t="str">
        <f>IFERROR(__xludf.DUMMYFUNCTION("""COMPUTED_VALUE"""),"新竹市私立曙光國民小學")</f>
        <v>新竹市私立曙光國民小學</v>
      </c>
      <c r="F952" s="14" t="str">
        <f>IFERROR(__xludf.DUMMYFUNCTION("""COMPUTED_VALUE"""),"五年級")</f>
        <v>五年級</v>
      </c>
      <c r="G952" s="14" t="str">
        <f>IFERROR(__xludf.DUMMYFUNCTION("""COMPUTED_VALUE"""),"獎狀")</f>
        <v>獎狀</v>
      </c>
      <c r="H952" s="8"/>
    </row>
    <row r="953">
      <c r="A953" s="18"/>
      <c r="B953" s="14">
        <f>IFERROR(__xludf.DUMMYFUNCTION("""COMPUTED_VALUE"""),1176490.0)</f>
        <v>1176490</v>
      </c>
      <c r="C953" s="14" t="str">
        <f>IFERROR(__xludf.DUMMYFUNCTION("""COMPUTED_VALUE"""),"莊巧琳")</f>
        <v>莊巧琳</v>
      </c>
      <c r="D953" s="16" t="str">
        <f>IFERROR(__xludf.DUMMYFUNCTION("""COMPUTED_VALUE"""),"dor*****5.hc@mail.edu.tw")</f>
        <v>dor*****5.hc@mail.edu.tw</v>
      </c>
      <c r="E953" s="17" t="str">
        <f>IFERROR(__xludf.DUMMYFUNCTION("""COMPUTED_VALUE"""),"新竹市私立曙光國民小學")</f>
        <v>新竹市私立曙光國民小學</v>
      </c>
      <c r="F953" s="14" t="str">
        <f>IFERROR(__xludf.DUMMYFUNCTION("""COMPUTED_VALUE"""),"五年級")</f>
        <v>五年級</v>
      </c>
      <c r="G953" s="14" t="str">
        <f>IFERROR(__xludf.DUMMYFUNCTION("""COMPUTED_VALUE"""),"獎狀")</f>
        <v>獎狀</v>
      </c>
      <c r="H953" s="8"/>
    </row>
    <row r="954">
      <c r="A954" s="18"/>
      <c r="B954" s="14">
        <f>IFERROR(__xludf.DUMMYFUNCTION("""COMPUTED_VALUE"""),1176398.0)</f>
        <v>1176398</v>
      </c>
      <c r="C954" s="14" t="str">
        <f>IFERROR(__xludf.DUMMYFUNCTION("""COMPUTED_VALUE"""),"莊錠宇")</f>
        <v>莊錠宇</v>
      </c>
      <c r="D954" s="16" t="str">
        <f>IFERROR(__xludf.DUMMYFUNCTION("""COMPUTED_VALUE"""),"adi*****hc@mail.edu.tw")</f>
        <v>adi*****hc@mail.edu.tw</v>
      </c>
      <c r="E954" s="17" t="str">
        <f>IFERROR(__xludf.DUMMYFUNCTION("""COMPUTED_VALUE"""),"新竹市私立曙光國民小學")</f>
        <v>新竹市私立曙光國民小學</v>
      </c>
      <c r="F954" s="14" t="str">
        <f>IFERROR(__xludf.DUMMYFUNCTION("""COMPUTED_VALUE"""),"五年級")</f>
        <v>五年級</v>
      </c>
      <c r="G954" s="14" t="str">
        <f>IFERROR(__xludf.DUMMYFUNCTION("""COMPUTED_VALUE"""),"獎狀")</f>
        <v>獎狀</v>
      </c>
      <c r="H954" s="8"/>
    </row>
    <row r="955">
      <c r="A955" s="18"/>
      <c r="B955" s="14">
        <f>IFERROR(__xludf.DUMMYFUNCTION("""COMPUTED_VALUE"""),1176402.0)</f>
        <v>1176402</v>
      </c>
      <c r="C955" s="14" t="str">
        <f>IFERROR(__xludf.DUMMYFUNCTION("""COMPUTED_VALUE"""),"楊芷淇")</f>
        <v>楊芷淇</v>
      </c>
      <c r="D955" s="16" t="str">
        <f>IFERROR(__xludf.DUMMYFUNCTION("""COMPUTED_VALUE"""),"cat*****e0923.hc@mail.edu.tw")</f>
        <v>cat*****e0923.hc@mail.edu.tw</v>
      </c>
      <c r="E955" s="17" t="str">
        <f>IFERROR(__xludf.DUMMYFUNCTION("""COMPUTED_VALUE"""),"新竹市私立曙光國民小學")</f>
        <v>新竹市私立曙光國民小學</v>
      </c>
      <c r="F955" s="14" t="str">
        <f>IFERROR(__xludf.DUMMYFUNCTION("""COMPUTED_VALUE"""),"五年級")</f>
        <v>五年級</v>
      </c>
      <c r="G955" s="14" t="str">
        <f>IFERROR(__xludf.DUMMYFUNCTION("""COMPUTED_VALUE"""),"獎狀")</f>
        <v>獎狀</v>
      </c>
      <c r="H955" s="8"/>
    </row>
    <row r="956">
      <c r="A956" s="18"/>
      <c r="B956" s="14">
        <f>IFERROR(__xludf.DUMMYFUNCTION("""COMPUTED_VALUE"""),1176392.0)</f>
        <v>1176392</v>
      </c>
      <c r="C956" s="14" t="str">
        <f>IFERROR(__xludf.DUMMYFUNCTION("""COMPUTED_VALUE"""),"鐘晨軒")</f>
        <v>鐘晨軒</v>
      </c>
      <c r="D956" s="16" t="str">
        <f>IFERROR(__xludf.DUMMYFUNCTION("""COMPUTED_VALUE"""),"ssh*****29.hc@mail.edu.tw")</f>
        <v>ssh*****29.hc@mail.edu.tw</v>
      </c>
      <c r="E956" s="17" t="str">
        <f>IFERROR(__xludf.DUMMYFUNCTION("""COMPUTED_VALUE"""),"新竹市私立曙光國民小學")</f>
        <v>新竹市私立曙光國民小學</v>
      </c>
      <c r="F956" s="14" t="str">
        <f>IFERROR(__xludf.DUMMYFUNCTION("""COMPUTED_VALUE"""),"五年級")</f>
        <v>五年級</v>
      </c>
      <c r="G956" s="14" t="str">
        <f>IFERROR(__xludf.DUMMYFUNCTION("""COMPUTED_VALUE"""),"獎狀")</f>
        <v>獎狀</v>
      </c>
      <c r="H956" s="8"/>
    </row>
    <row r="957">
      <c r="A957" s="18"/>
      <c r="B957" s="14">
        <f>IFERROR(__xludf.DUMMYFUNCTION("""COMPUTED_VALUE"""),1181060.0)</f>
        <v>1181060</v>
      </c>
      <c r="C957" s="14" t="str">
        <f>IFERROR(__xludf.DUMMYFUNCTION("""COMPUTED_VALUE"""),"張睿恩")</f>
        <v>張睿恩</v>
      </c>
      <c r="D957" s="16" t="str">
        <f>IFERROR(__xludf.DUMMYFUNCTION("""COMPUTED_VALUE"""),"rry*****8.hc@mail.edu.tw")</f>
        <v>rry*****8.hc@mail.edu.tw</v>
      </c>
      <c r="E957" s="17" t="str">
        <f>IFERROR(__xludf.DUMMYFUNCTION("""COMPUTED_VALUE"""),"新竹市私立曙光國民小學")</f>
        <v>新竹市私立曙光國民小學</v>
      </c>
      <c r="F957" s="14" t="str">
        <f>IFERROR(__xludf.DUMMYFUNCTION("""COMPUTED_VALUE"""),"五年級")</f>
        <v>五年級</v>
      </c>
      <c r="G957" s="14" t="str">
        <f>IFERROR(__xludf.DUMMYFUNCTION("""COMPUTED_VALUE"""),"●小禮物")</f>
        <v>●小禮物</v>
      </c>
      <c r="H957" s="8"/>
    </row>
    <row r="958">
      <c r="A958" s="18"/>
      <c r="B958" s="14">
        <f>IFERROR(__xludf.DUMMYFUNCTION("""COMPUTED_VALUE"""),615021.0)</f>
        <v>615021</v>
      </c>
      <c r="C958" s="14" t="str">
        <f>IFERROR(__xludf.DUMMYFUNCTION("""COMPUTED_VALUE"""),"梁皓倫")</f>
        <v>梁皓倫</v>
      </c>
      <c r="D958" s="16" t="str">
        <f>IFERROR(__xludf.DUMMYFUNCTION("""COMPUTED_VALUE"""),"aal*****5.hc@mail.edu.tw")</f>
        <v>aal*****5.hc@mail.edu.tw</v>
      </c>
      <c r="E958" s="17" t="str">
        <f>IFERROR(__xludf.DUMMYFUNCTION("""COMPUTED_VALUE"""),"新竹市私立曙光國民小學")</f>
        <v>新竹市私立曙光國民小學</v>
      </c>
      <c r="F958" s="14" t="str">
        <f>IFERROR(__xludf.DUMMYFUNCTION("""COMPUTED_VALUE"""),"五年級")</f>
        <v>五年級</v>
      </c>
      <c r="G958" s="14" t="str">
        <f>IFERROR(__xludf.DUMMYFUNCTION("""COMPUTED_VALUE"""),"●小禮物")</f>
        <v>●小禮物</v>
      </c>
      <c r="H958" s="8"/>
    </row>
    <row r="959">
      <c r="A959" s="18"/>
      <c r="B959" s="14">
        <f>IFERROR(__xludf.DUMMYFUNCTION("""COMPUTED_VALUE"""),1181061.0)</f>
        <v>1181061</v>
      </c>
      <c r="C959" s="14" t="str">
        <f>IFERROR(__xludf.DUMMYFUNCTION("""COMPUTED_VALUE"""),"鄭鈺霏")</f>
        <v>鄭鈺霏</v>
      </c>
      <c r="D959" s="16" t="str">
        <f>IFERROR(__xludf.DUMMYFUNCTION("""COMPUTED_VALUE"""),"fif*****.hc@mail.edu.tw")</f>
        <v>fif*****.hc@mail.edu.tw</v>
      </c>
      <c r="E959" s="17" t="str">
        <f>IFERROR(__xludf.DUMMYFUNCTION("""COMPUTED_VALUE"""),"新竹市私立曙光國民小學")</f>
        <v>新竹市私立曙光國民小學</v>
      </c>
      <c r="F959" s="14" t="str">
        <f>IFERROR(__xludf.DUMMYFUNCTION("""COMPUTED_VALUE"""),"五年級")</f>
        <v>五年級</v>
      </c>
      <c r="G959" s="14" t="str">
        <f>IFERROR(__xludf.DUMMYFUNCTION("""COMPUTED_VALUE"""),"●小禮物")</f>
        <v>●小禮物</v>
      </c>
      <c r="H959" s="8"/>
    </row>
    <row r="960">
      <c r="A960" s="18"/>
      <c r="B960" s="14">
        <f>IFERROR(__xludf.DUMMYFUNCTION("""COMPUTED_VALUE"""),1181054.0)</f>
        <v>1181054</v>
      </c>
      <c r="C960" s="14" t="str">
        <f>IFERROR(__xludf.DUMMYFUNCTION("""COMPUTED_VALUE"""),"王芮芸")</f>
        <v>王芮芸</v>
      </c>
      <c r="D960" s="16" t="str">
        <f>IFERROR(__xludf.DUMMYFUNCTION("""COMPUTED_VALUE"""),"tti*****7.hc@mail.edu.tw")</f>
        <v>tti*****7.hc@mail.edu.tw</v>
      </c>
      <c r="E960" s="17" t="str">
        <f>IFERROR(__xludf.DUMMYFUNCTION("""COMPUTED_VALUE"""),"新竹市私立曙光國民小學")</f>
        <v>新竹市私立曙光國民小學</v>
      </c>
      <c r="F960" s="14" t="str">
        <f>IFERROR(__xludf.DUMMYFUNCTION("""COMPUTED_VALUE"""),"五年級")</f>
        <v>五年級</v>
      </c>
      <c r="G960" s="14" t="str">
        <f>IFERROR(__xludf.DUMMYFUNCTION("""COMPUTED_VALUE"""),"獎狀")</f>
        <v>獎狀</v>
      </c>
      <c r="H960" s="8"/>
    </row>
    <row r="961">
      <c r="A961" s="18"/>
      <c r="B961" s="14">
        <f>IFERROR(__xludf.DUMMYFUNCTION("""COMPUTED_VALUE"""),1181065.0)</f>
        <v>1181065</v>
      </c>
      <c r="C961" s="14" t="str">
        <f>IFERROR(__xludf.DUMMYFUNCTION("""COMPUTED_VALUE"""),"葉妍禧")</f>
        <v>葉妍禧</v>
      </c>
      <c r="D961" s="16" t="str">
        <f>IFERROR(__xludf.DUMMYFUNCTION("""COMPUTED_VALUE"""),"cle*****ne0702.hc@mail.edu.tw")</f>
        <v>cle*****ne0702.hc@mail.edu.tw</v>
      </c>
      <c r="E961" s="17" t="str">
        <f>IFERROR(__xludf.DUMMYFUNCTION("""COMPUTED_VALUE"""),"新竹市私立曙光國民小學")</f>
        <v>新竹市私立曙光國民小學</v>
      </c>
      <c r="F961" s="14" t="str">
        <f>IFERROR(__xludf.DUMMYFUNCTION("""COMPUTED_VALUE"""),"五年級")</f>
        <v>五年級</v>
      </c>
      <c r="G961" s="14" t="str">
        <f>IFERROR(__xludf.DUMMYFUNCTION("""COMPUTED_VALUE"""),"獎狀")</f>
        <v>獎狀</v>
      </c>
      <c r="H961" s="8"/>
    </row>
    <row r="962">
      <c r="A962" s="18"/>
      <c r="B962" s="14">
        <f>IFERROR(__xludf.DUMMYFUNCTION("""COMPUTED_VALUE"""),1181093.0)</f>
        <v>1181093</v>
      </c>
      <c r="C962" s="14" t="str">
        <f>IFERROR(__xludf.DUMMYFUNCTION("""COMPUTED_VALUE"""),"蔡宥威")</f>
        <v>蔡宥威</v>
      </c>
      <c r="D962" s="16" t="str">
        <f>IFERROR(__xludf.DUMMYFUNCTION("""COMPUTED_VALUE"""),"ale*****.hc@mail.edu.tw")</f>
        <v>ale*****.hc@mail.edu.tw</v>
      </c>
      <c r="E962" s="17" t="str">
        <f>IFERROR(__xludf.DUMMYFUNCTION("""COMPUTED_VALUE"""),"新竹市私立曙光國民小學")</f>
        <v>新竹市私立曙光國民小學</v>
      </c>
      <c r="F962" s="14" t="str">
        <f>IFERROR(__xludf.DUMMYFUNCTION("""COMPUTED_VALUE"""),"五年級")</f>
        <v>五年級</v>
      </c>
      <c r="G962" s="14" t="str">
        <f>IFERROR(__xludf.DUMMYFUNCTION("""COMPUTED_VALUE"""),"獎狀")</f>
        <v>獎狀</v>
      </c>
      <c r="H962" s="8"/>
    </row>
    <row r="963">
      <c r="A963" s="18"/>
      <c r="B963" s="14">
        <f>IFERROR(__xludf.DUMMYFUNCTION("""COMPUTED_VALUE"""),1181075.0)</f>
        <v>1181075</v>
      </c>
      <c r="C963" s="14" t="str">
        <f>IFERROR(__xludf.DUMMYFUNCTION("""COMPUTED_VALUE"""),"顏若熙")</f>
        <v>顏若熙</v>
      </c>
      <c r="D963" s="16" t="str">
        <f>IFERROR(__xludf.DUMMYFUNCTION("""COMPUTED_VALUE"""),"bel*****8.hc@mail.edu.tw")</f>
        <v>bel*****8.hc@mail.edu.tw</v>
      </c>
      <c r="E963" s="17" t="str">
        <f>IFERROR(__xludf.DUMMYFUNCTION("""COMPUTED_VALUE"""),"新竹市私立曙光國民小學")</f>
        <v>新竹市私立曙光國民小學</v>
      </c>
      <c r="F963" s="14" t="str">
        <f>IFERROR(__xludf.DUMMYFUNCTION("""COMPUTED_VALUE"""),"五年級")</f>
        <v>五年級</v>
      </c>
      <c r="G963" s="14" t="str">
        <f>IFERROR(__xludf.DUMMYFUNCTION("""COMPUTED_VALUE"""),"獎狀")</f>
        <v>獎狀</v>
      </c>
      <c r="H963" s="8"/>
    </row>
    <row r="964">
      <c r="A964" s="18"/>
      <c r="B964" s="14">
        <f>IFERROR(__xludf.DUMMYFUNCTION("""COMPUTED_VALUE"""),1184610.0)</f>
        <v>1184610</v>
      </c>
      <c r="C964" s="14" t="str">
        <f>IFERROR(__xludf.DUMMYFUNCTION("""COMPUTED_VALUE"""),"邱心恩")</f>
        <v>邱心恩</v>
      </c>
      <c r="D964" s="16" t="str">
        <f>IFERROR(__xludf.DUMMYFUNCTION("""COMPUTED_VALUE"""),"emi*****9.hc@mail.edu.tw")</f>
        <v>emi*****9.hc@mail.edu.tw</v>
      </c>
      <c r="E964" s="17" t="str">
        <f>IFERROR(__xludf.DUMMYFUNCTION("""COMPUTED_VALUE"""),"新竹市私立曙光國民小學")</f>
        <v>新竹市私立曙光國民小學</v>
      </c>
      <c r="F964" s="14" t="str">
        <f>IFERROR(__xludf.DUMMYFUNCTION("""COMPUTED_VALUE"""),"六年級")</f>
        <v>六年級</v>
      </c>
      <c r="G964" s="14" t="str">
        <f>IFERROR(__xludf.DUMMYFUNCTION("""COMPUTED_VALUE"""),"●小禮物")</f>
        <v>●小禮物</v>
      </c>
      <c r="H964" s="8"/>
    </row>
    <row r="965">
      <c r="A965" s="18"/>
      <c r="B965" s="14">
        <f>IFERROR(__xludf.DUMMYFUNCTION("""COMPUTED_VALUE"""),1184635.0)</f>
        <v>1184635</v>
      </c>
      <c r="C965" s="14" t="str">
        <f>IFERROR(__xludf.DUMMYFUNCTION("""COMPUTED_VALUE"""),"賈孟軒")</f>
        <v>賈孟軒</v>
      </c>
      <c r="D965" s="16" t="str">
        <f>IFERROR(__xludf.DUMMYFUNCTION("""COMPUTED_VALUE"""),"all*****0.hc@mail.edu.tw")</f>
        <v>all*****0.hc@mail.edu.tw</v>
      </c>
      <c r="E965" s="17" t="str">
        <f>IFERROR(__xludf.DUMMYFUNCTION("""COMPUTED_VALUE"""),"新竹市私立曙光國民小學")</f>
        <v>新竹市私立曙光國民小學</v>
      </c>
      <c r="F965" s="14" t="str">
        <f>IFERROR(__xludf.DUMMYFUNCTION("""COMPUTED_VALUE"""),"六年級")</f>
        <v>六年級</v>
      </c>
      <c r="G965" s="14" t="str">
        <f>IFERROR(__xludf.DUMMYFUNCTION("""COMPUTED_VALUE"""),"●小禮物")</f>
        <v>●小禮物</v>
      </c>
      <c r="H965" s="8"/>
    </row>
    <row r="966">
      <c r="A966" s="18"/>
      <c r="B966" s="14">
        <f>IFERROR(__xludf.DUMMYFUNCTION("""COMPUTED_VALUE"""),1184616.0)</f>
        <v>1184616</v>
      </c>
      <c r="C966" s="14" t="str">
        <f>IFERROR(__xludf.DUMMYFUNCTION("""COMPUTED_VALUE"""),"張孝盈")</f>
        <v>張孝盈</v>
      </c>
      <c r="D966" s="16" t="str">
        <f>IFERROR(__xludf.DUMMYFUNCTION("""COMPUTED_VALUE"""),"viv*****.hc@mail.edu.tw")</f>
        <v>viv*****.hc@mail.edu.tw</v>
      </c>
      <c r="E966" s="17" t="str">
        <f>IFERROR(__xludf.DUMMYFUNCTION("""COMPUTED_VALUE"""),"新竹市私立曙光國民小學")</f>
        <v>新竹市私立曙光國民小學</v>
      </c>
      <c r="F966" s="14" t="str">
        <f>IFERROR(__xludf.DUMMYFUNCTION("""COMPUTED_VALUE"""),"六年級")</f>
        <v>六年級</v>
      </c>
      <c r="G966" s="14" t="str">
        <f>IFERROR(__xludf.DUMMYFUNCTION("""COMPUTED_VALUE"""),"★禮券$200")</f>
        <v>★禮券$200</v>
      </c>
      <c r="H966" s="8"/>
    </row>
    <row r="967">
      <c r="A967" s="18"/>
      <c r="B967" s="14">
        <f>IFERROR(__xludf.DUMMYFUNCTION("""COMPUTED_VALUE"""),1184622.0)</f>
        <v>1184622</v>
      </c>
      <c r="C967" s="14" t="str">
        <f>IFERROR(__xludf.DUMMYFUNCTION("""COMPUTED_VALUE"""),"曾上愷")</f>
        <v>曾上愷</v>
      </c>
      <c r="D967" s="16" t="str">
        <f>IFERROR(__xludf.DUMMYFUNCTION("""COMPUTED_VALUE"""),"kyl*****.hc@mail.edu.tw")</f>
        <v>kyl*****.hc@mail.edu.tw</v>
      </c>
      <c r="E967" s="17" t="str">
        <f>IFERROR(__xludf.DUMMYFUNCTION("""COMPUTED_VALUE"""),"新竹市私立曙光國民小學")</f>
        <v>新竹市私立曙光國民小學</v>
      </c>
      <c r="F967" s="14" t="str">
        <f>IFERROR(__xludf.DUMMYFUNCTION("""COMPUTED_VALUE"""),"六年級")</f>
        <v>六年級</v>
      </c>
      <c r="G967" s="14" t="str">
        <f>IFERROR(__xludf.DUMMYFUNCTION("""COMPUTED_VALUE"""),"獎狀")</f>
        <v>獎狀</v>
      </c>
      <c r="H967" s="8"/>
    </row>
    <row r="968">
      <c r="A968" s="18"/>
      <c r="B968" s="14">
        <f>IFERROR(__xludf.DUMMYFUNCTION("""COMPUTED_VALUE"""),1184625.0)</f>
        <v>1184625</v>
      </c>
      <c r="C968" s="14" t="str">
        <f>IFERROR(__xludf.DUMMYFUNCTION("""COMPUTED_VALUE"""),"曾子瑄")</f>
        <v>曾子瑄</v>
      </c>
      <c r="D968" s="16" t="str">
        <f>IFERROR(__xludf.DUMMYFUNCTION("""COMPUTED_VALUE"""),"mir*****06.hc@mail.edu.tw")</f>
        <v>mir*****06.hc@mail.edu.tw</v>
      </c>
      <c r="E968" s="17" t="str">
        <f>IFERROR(__xludf.DUMMYFUNCTION("""COMPUTED_VALUE"""),"新竹市私立曙光國民小學")</f>
        <v>新竹市私立曙光國民小學</v>
      </c>
      <c r="F968" s="14" t="str">
        <f>IFERROR(__xludf.DUMMYFUNCTION("""COMPUTED_VALUE"""),"六年級")</f>
        <v>六年級</v>
      </c>
      <c r="G968" s="14" t="str">
        <f>IFERROR(__xludf.DUMMYFUNCTION("""COMPUTED_VALUE"""),"獎狀")</f>
        <v>獎狀</v>
      </c>
      <c r="H968" s="8"/>
    </row>
    <row r="969">
      <c r="A969" s="18"/>
      <c r="B969" s="14">
        <f>IFERROR(__xludf.DUMMYFUNCTION("""COMPUTED_VALUE"""),1184606.0)</f>
        <v>1184606</v>
      </c>
      <c r="C969" s="14" t="str">
        <f>IFERROR(__xludf.DUMMYFUNCTION("""COMPUTED_VALUE"""),"蔡沂岑")</f>
        <v>蔡沂岑</v>
      </c>
      <c r="D969" s="16" t="str">
        <f>IFERROR(__xludf.DUMMYFUNCTION("""COMPUTED_VALUE"""),"win*****25.hc@mail.edu.tw")</f>
        <v>win*****25.hc@mail.edu.tw</v>
      </c>
      <c r="E969" s="17" t="str">
        <f>IFERROR(__xludf.DUMMYFUNCTION("""COMPUTED_VALUE"""),"新竹市私立曙光國民小學")</f>
        <v>新竹市私立曙光國民小學</v>
      </c>
      <c r="F969" s="14" t="str">
        <f>IFERROR(__xludf.DUMMYFUNCTION("""COMPUTED_VALUE"""),"六年級")</f>
        <v>六年級</v>
      </c>
      <c r="G969" s="14" t="str">
        <f>IFERROR(__xludf.DUMMYFUNCTION("""COMPUTED_VALUE"""),"獎狀")</f>
        <v>獎狀</v>
      </c>
      <c r="H969" s="8"/>
    </row>
    <row r="970">
      <c r="A970" s="18"/>
      <c r="B970" s="14">
        <f>IFERROR(__xludf.DUMMYFUNCTION("""COMPUTED_VALUE"""),1184621.0)</f>
        <v>1184621</v>
      </c>
      <c r="C970" s="14" t="str">
        <f>IFERROR(__xludf.DUMMYFUNCTION("""COMPUTED_VALUE"""),"鄭宇芹")</f>
        <v>鄭宇芹</v>
      </c>
      <c r="D970" s="16" t="str">
        <f>IFERROR(__xludf.DUMMYFUNCTION("""COMPUTED_VALUE"""),"kim*****1222.hc@mail.edu.tw")</f>
        <v>kim*****1222.hc@mail.edu.tw</v>
      </c>
      <c r="E970" s="17" t="str">
        <f>IFERROR(__xludf.DUMMYFUNCTION("""COMPUTED_VALUE"""),"新竹市私立曙光國民小學")</f>
        <v>新竹市私立曙光國民小學</v>
      </c>
      <c r="F970" s="14" t="str">
        <f>IFERROR(__xludf.DUMMYFUNCTION("""COMPUTED_VALUE"""),"六年級")</f>
        <v>六年級</v>
      </c>
      <c r="G970" s="14" t="str">
        <f>IFERROR(__xludf.DUMMYFUNCTION("""COMPUTED_VALUE"""),"獎狀")</f>
        <v>獎狀</v>
      </c>
      <c r="H970" s="8"/>
    </row>
    <row r="971">
      <c r="A971" s="18"/>
      <c r="B971" s="14">
        <f>IFERROR(__xludf.DUMMYFUNCTION("""COMPUTED_VALUE"""),444836.0)</f>
        <v>444836</v>
      </c>
      <c r="C971" s="14" t="str">
        <f>IFERROR(__xludf.DUMMYFUNCTION("""COMPUTED_VALUE"""),"謝安玧")</f>
        <v>謝安玧</v>
      </c>
      <c r="D971" s="16" t="str">
        <f>IFERROR(__xludf.DUMMYFUNCTION("""COMPUTED_VALUE"""),"joa*****22.hc@mail.edu.tw")</f>
        <v>joa*****22.hc@mail.edu.tw</v>
      </c>
      <c r="E971" s="17" t="str">
        <f>IFERROR(__xludf.DUMMYFUNCTION("""COMPUTED_VALUE"""),"新竹市私立曙光國民小學")</f>
        <v>新竹市私立曙光國民小學</v>
      </c>
      <c r="F971" s="14" t="str">
        <f>IFERROR(__xludf.DUMMYFUNCTION("""COMPUTED_VALUE"""),"六年級")</f>
        <v>六年級</v>
      </c>
      <c r="G971" s="14" t="str">
        <f>IFERROR(__xludf.DUMMYFUNCTION("""COMPUTED_VALUE"""),"獎狀")</f>
        <v>獎狀</v>
      </c>
      <c r="H971" s="8"/>
    </row>
    <row r="972">
      <c r="A972" s="18"/>
      <c r="B972" s="14">
        <f>IFERROR(__xludf.DUMMYFUNCTION("""COMPUTED_VALUE"""),1184596.0)</f>
        <v>1184596</v>
      </c>
      <c r="C972" s="14" t="str">
        <f>IFERROR(__xludf.DUMMYFUNCTION("""COMPUTED_VALUE"""),"謝雅甯")</f>
        <v>謝雅甯</v>
      </c>
      <c r="D972" s="16" t="str">
        <f>IFERROR(__xludf.DUMMYFUNCTION("""COMPUTED_VALUE"""),"lil*****04.hc@mail.edu.tw")</f>
        <v>lil*****04.hc@mail.edu.tw</v>
      </c>
      <c r="E972" s="17" t="str">
        <f>IFERROR(__xludf.DUMMYFUNCTION("""COMPUTED_VALUE"""),"新竹市私立曙光國民小學")</f>
        <v>新竹市私立曙光國民小學</v>
      </c>
      <c r="F972" s="14" t="str">
        <f>IFERROR(__xludf.DUMMYFUNCTION("""COMPUTED_VALUE"""),"六年級")</f>
        <v>六年級</v>
      </c>
      <c r="G972" s="14" t="str">
        <f>IFERROR(__xludf.DUMMYFUNCTION("""COMPUTED_VALUE"""),"獎狀")</f>
        <v>獎狀</v>
      </c>
      <c r="H972" s="8"/>
    </row>
    <row r="973">
      <c r="A973" s="18"/>
      <c r="B973" s="14">
        <f>IFERROR(__xludf.DUMMYFUNCTION("""COMPUTED_VALUE"""),1185083.0)</f>
        <v>1185083</v>
      </c>
      <c r="C973" s="14" t="str">
        <f>IFERROR(__xludf.DUMMYFUNCTION("""COMPUTED_VALUE"""),"莊奇維")</f>
        <v>莊奇維</v>
      </c>
      <c r="D973" s="16" t="str">
        <f>IFERROR(__xludf.DUMMYFUNCTION("""COMPUTED_VALUE"""),"dar*****17.hc@mail.edu.tw")</f>
        <v>dar*****17.hc@mail.edu.tw</v>
      </c>
      <c r="E973" s="17" t="str">
        <f>IFERROR(__xludf.DUMMYFUNCTION("""COMPUTED_VALUE"""),"新竹市私立曙光國民小學")</f>
        <v>新竹市私立曙光國民小學</v>
      </c>
      <c r="F973" s="14" t="str">
        <f>IFERROR(__xludf.DUMMYFUNCTION("""COMPUTED_VALUE"""),"六年級")</f>
        <v>六年級</v>
      </c>
      <c r="G973" s="14" t="str">
        <f>IFERROR(__xludf.DUMMYFUNCTION("""COMPUTED_VALUE"""),"●小禮物")</f>
        <v>●小禮物</v>
      </c>
      <c r="H973" s="8"/>
    </row>
    <row r="974">
      <c r="A974" s="18"/>
      <c r="B974" s="14">
        <f>IFERROR(__xludf.DUMMYFUNCTION("""COMPUTED_VALUE"""),1185091.0)</f>
        <v>1185091</v>
      </c>
      <c r="C974" s="14" t="str">
        <f>IFERROR(__xludf.DUMMYFUNCTION("""COMPUTED_VALUE"""),"許彩虹")</f>
        <v>許彩虹</v>
      </c>
      <c r="D974" s="16" t="str">
        <f>IFERROR(__xludf.DUMMYFUNCTION("""COMPUTED_VALUE"""),"rai*****214.hc@mail.edu.tw")</f>
        <v>rai*****214.hc@mail.edu.tw</v>
      </c>
      <c r="E974" s="17" t="str">
        <f>IFERROR(__xludf.DUMMYFUNCTION("""COMPUTED_VALUE"""),"新竹市私立曙光國民小學")</f>
        <v>新竹市私立曙光國民小學</v>
      </c>
      <c r="F974" s="14" t="str">
        <f>IFERROR(__xludf.DUMMYFUNCTION("""COMPUTED_VALUE"""),"六年級")</f>
        <v>六年級</v>
      </c>
      <c r="G974" s="14" t="str">
        <f>IFERROR(__xludf.DUMMYFUNCTION("""COMPUTED_VALUE"""),"●小禮物")</f>
        <v>●小禮物</v>
      </c>
      <c r="H974" s="8"/>
    </row>
    <row r="975">
      <c r="A975" s="18"/>
      <c r="B975" s="14">
        <f>IFERROR(__xludf.DUMMYFUNCTION("""COMPUTED_VALUE"""),1185117.0)</f>
        <v>1185117</v>
      </c>
      <c r="C975" s="14" t="str">
        <f>IFERROR(__xludf.DUMMYFUNCTION("""COMPUTED_VALUE"""),"許詠淇")</f>
        <v>許詠淇</v>
      </c>
      <c r="D975" s="16" t="str">
        <f>IFERROR(__xludf.DUMMYFUNCTION("""COMPUTED_VALUE"""),"yuk*****.hc@mail.edu.tw")</f>
        <v>yuk*****.hc@mail.edu.tw</v>
      </c>
      <c r="E975" s="17" t="str">
        <f>IFERROR(__xludf.DUMMYFUNCTION("""COMPUTED_VALUE"""),"新竹市私立曙光國民小學")</f>
        <v>新竹市私立曙光國民小學</v>
      </c>
      <c r="F975" s="14" t="str">
        <f>IFERROR(__xludf.DUMMYFUNCTION("""COMPUTED_VALUE"""),"六年級")</f>
        <v>六年級</v>
      </c>
      <c r="G975" s="14" t="str">
        <f>IFERROR(__xludf.DUMMYFUNCTION("""COMPUTED_VALUE"""),"●小禮物")</f>
        <v>●小禮物</v>
      </c>
      <c r="H975" s="8"/>
    </row>
    <row r="976">
      <c r="A976" s="18"/>
      <c r="B976" s="14">
        <f>IFERROR(__xludf.DUMMYFUNCTION("""COMPUTED_VALUE"""),968397.0)</f>
        <v>968397</v>
      </c>
      <c r="C976" s="14" t="str">
        <f>IFERROR(__xludf.DUMMYFUNCTION("""COMPUTED_VALUE"""),"黃若雯")</f>
        <v>黃若雯</v>
      </c>
      <c r="D976" s="16" t="str">
        <f>IFERROR(__xludf.DUMMYFUNCTION("""COMPUTED_VALUE"""),"rae*****14.hc@mail.edu.tw")</f>
        <v>rae*****14.hc@mail.edu.tw</v>
      </c>
      <c r="E976" s="17" t="str">
        <f>IFERROR(__xludf.DUMMYFUNCTION("""COMPUTED_VALUE"""),"新竹市私立曙光國民小學")</f>
        <v>新竹市私立曙光國民小學</v>
      </c>
      <c r="F976" s="14" t="str">
        <f>IFERROR(__xludf.DUMMYFUNCTION("""COMPUTED_VALUE"""),"六年級")</f>
        <v>六年級</v>
      </c>
      <c r="G976" s="14" t="str">
        <f>IFERROR(__xludf.DUMMYFUNCTION("""COMPUTED_VALUE"""),"●小禮物")</f>
        <v>●小禮物</v>
      </c>
      <c r="H976" s="8"/>
    </row>
    <row r="977">
      <c r="A977" s="18"/>
      <c r="B977" s="14">
        <f>IFERROR(__xludf.DUMMYFUNCTION("""COMPUTED_VALUE"""),1185121.0)</f>
        <v>1185121</v>
      </c>
      <c r="C977" s="14" t="str">
        <f>IFERROR(__xludf.DUMMYFUNCTION("""COMPUTED_VALUE"""),"詹祐程")</f>
        <v>詹祐程</v>
      </c>
      <c r="D977" s="16" t="str">
        <f>IFERROR(__xludf.DUMMYFUNCTION("""COMPUTED_VALUE"""),"lle*****.hc@mail.edu.tw")</f>
        <v>lle*****.hc@mail.edu.tw</v>
      </c>
      <c r="E977" s="17" t="str">
        <f>IFERROR(__xludf.DUMMYFUNCTION("""COMPUTED_VALUE"""),"新竹市私立曙光國民小學")</f>
        <v>新竹市私立曙光國民小學</v>
      </c>
      <c r="F977" s="14" t="str">
        <f>IFERROR(__xludf.DUMMYFUNCTION("""COMPUTED_VALUE"""),"六年級")</f>
        <v>六年級</v>
      </c>
      <c r="G977" s="14" t="str">
        <f>IFERROR(__xludf.DUMMYFUNCTION("""COMPUTED_VALUE"""),"●小禮物")</f>
        <v>●小禮物</v>
      </c>
      <c r="H977" s="8"/>
    </row>
    <row r="978">
      <c r="A978" s="18"/>
      <c r="B978" s="14">
        <f>IFERROR(__xludf.DUMMYFUNCTION("""COMPUTED_VALUE"""),612844.0)</f>
        <v>612844</v>
      </c>
      <c r="C978" s="14" t="str">
        <f>IFERROR(__xludf.DUMMYFUNCTION("""COMPUTED_VALUE"""),"鄭臣軒")</f>
        <v>鄭臣軒</v>
      </c>
      <c r="D978" s="16" t="str">
        <f>IFERROR(__xludf.DUMMYFUNCTION("""COMPUTED_VALUE"""),"ans*****1.hc@mail.edu.tw")</f>
        <v>ans*****1.hc@mail.edu.tw</v>
      </c>
      <c r="E978" s="17" t="str">
        <f>IFERROR(__xludf.DUMMYFUNCTION("""COMPUTED_VALUE"""),"新竹市私立曙光國民小學")</f>
        <v>新竹市私立曙光國民小學</v>
      </c>
      <c r="F978" s="14" t="str">
        <f>IFERROR(__xludf.DUMMYFUNCTION("""COMPUTED_VALUE"""),"六年級")</f>
        <v>六年級</v>
      </c>
      <c r="G978" s="14" t="str">
        <f>IFERROR(__xludf.DUMMYFUNCTION("""COMPUTED_VALUE"""),"●小禮物")</f>
        <v>●小禮物</v>
      </c>
      <c r="H978" s="8"/>
    </row>
    <row r="979">
      <c r="A979" s="18"/>
      <c r="B979" s="14">
        <f>IFERROR(__xludf.DUMMYFUNCTION("""COMPUTED_VALUE"""),1185097.0)</f>
        <v>1185097</v>
      </c>
      <c r="C979" s="14" t="str">
        <f>IFERROR(__xludf.DUMMYFUNCTION("""COMPUTED_VALUE"""),"王思涵")</f>
        <v>王思涵</v>
      </c>
      <c r="D979" s="16" t="str">
        <f>IFERROR(__xludf.DUMMYFUNCTION("""COMPUTED_VALUE"""),"kik*****.hc@mail.edu.tw")</f>
        <v>kik*****.hc@mail.edu.tw</v>
      </c>
      <c r="E979" s="17" t="str">
        <f>IFERROR(__xludf.DUMMYFUNCTION("""COMPUTED_VALUE"""),"新竹市私立曙光國民小學")</f>
        <v>新竹市私立曙光國民小學</v>
      </c>
      <c r="F979" s="14" t="str">
        <f>IFERROR(__xludf.DUMMYFUNCTION("""COMPUTED_VALUE"""),"六年級")</f>
        <v>六年級</v>
      </c>
      <c r="G979" s="14" t="str">
        <f>IFERROR(__xludf.DUMMYFUNCTION("""COMPUTED_VALUE"""),"獎狀")</f>
        <v>獎狀</v>
      </c>
      <c r="H979" s="8"/>
    </row>
    <row r="980">
      <c r="A980" s="18"/>
      <c r="B980" s="14">
        <f>IFERROR(__xludf.DUMMYFUNCTION("""COMPUTED_VALUE"""),1185096.0)</f>
        <v>1185096</v>
      </c>
      <c r="C980" s="14" t="str">
        <f>IFERROR(__xludf.DUMMYFUNCTION("""COMPUTED_VALUE"""),"張孝豫")</f>
        <v>張孝豫</v>
      </c>
      <c r="D980" s="16" t="str">
        <f>IFERROR(__xludf.DUMMYFUNCTION("""COMPUTED_VALUE"""),"vic*****.hc@mail.edu.tw")</f>
        <v>vic*****.hc@mail.edu.tw</v>
      </c>
      <c r="E980" s="17" t="str">
        <f>IFERROR(__xludf.DUMMYFUNCTION("""COMPUTED_VALUE"""),"新竹市私立曙光國民小學")</f>
        <v>新竹市私立曙光國民小學</v>
      </c>
      <c r="F980" s="14" t="str">
        <f>IFERROR(__xludf.DUMMYFUNCTION("""COMPUTED_VALUE"""),"六年級")</f>
        <v>六年級</v>
      </c>
      <c r="G980" s="14" t="str">
        <f>IFERROR(__xludf.DUMMYFUNCTION("""COMPUTED_VALUE"""),"獎狀")</f>
        <v>獎狀</v>
      </c>
      <c r="H980" s="8"/>
    </row>
    <row r="981">
      <c r="A981" s="18"/>
      <c r="B981" s="14">
        <f>IFERROR(__xludf.DUMMYFUNCTION("""COMPUTED_VALUE"""),1185101.0)</f>
        <v>1185101</v>
      </c>
      <c r="C981" s="14" t="str">
        <f>IFERROR(__xludf.DUMMYFUNCTION("""COMPUTED_VALUE"""),"陳佾暘")</f>
        <v>陳佾暘</v>
      </c>
      <c r="D981" s="16" t="str">
        <f>IFERROR(__xludf.DUMMYFUNCTION("""COMPUTED_VALUE"""),"jac*****1.hc@mail.edu.tw")</f>
        <v>jac*****1.hc@mail.edu.tw</v>
      </c>
      <c r="E981" s="17" t="str">
        <f>IFERROR(__xludf.DUMMYFUNCTION("""COMPUTED_VALUE"""),"新竹市私立曙光國民小學")</f>
        <v>新竹市私立曙光國民小學</v>
      </c>
      <c r="F981" s="14" t="str">
        <f>IFERROR(__xludf.DUMMYFUNCTION("""COMPUTED_VALUE"""),"六年級")</f>
        <v>六年級</v>
      </c>
      <c r="G981" s="14" t="str">
        <f>IFERROR(__xludf.DUMMYFUNCTION("""COMPUTED_VALUE"""),"獎狀")</f>
        <v>獎狀</v>
      </c>
      <c r="H981" s="8"/>
    </row>
    <row r="982">
      <c r="A982" s="18"/>
      <c r="B982" s="14">
        <f>IFERROR(__xludf.DUMMYFUNCTION("""COMPUTED_VALUE"""),1185092.0)</f>
        <v>1185092</v>
      </c>
      <c r="C982" s="14" t="str">
        <f>IFERROR(__xludf.DUMMYFUNCTION("""COMPUTED_VALUE"""),"黃愉恩")</f>
        <v>黃愉恩</v>
      </c>
      <c r="D982" s="16" t="str">
        <f>IFERROR(__xludf.DUMMYFUNCTION("""COMPUTED_VALUE"""),"viv*****06.hc@mail.edu.tw")</f>
        <v>viv*****06.hc@mail.edu.tw</v>
      </c>
      <c r="E982" s="17" t="str">
        <f>IFERROR(__xludf.DUMMYFUNCTION("""COMPUTED_VALUE"""),"新竹市私立曙光國民小學")</f>
        <v>新竹市私立曙光國民小學</v>
      </c>
      <c r="F982" s="14" t="str">
        <f>IFERROR(__xludf.DUMMYFUNCTION("""COMPUTED_VALUE"""),"六年級")</f>
        <v>六年級</v>
      </c>
      <c r="G982" s="14" t="str">
        <f>IFERROR(__xludf.DUMMYFUNCTION("""COMPUTED_VALUE"""),"獎狀")</f>
        <v>獎狀</v>
      </c>
      <c r="H982" s="8"/>
    </row>
    <row r="983">
      <c r="A983" s="18"/>
      <c r="B983" s="14">
        <f>IFERROR(__xludf.DUMMYFUNCTION("""COMPUTED_VALUE"""),1184306.0)</f>
        <v>1184306</v>
      </c>
      <c r="C983" s="14" t="str">
        <f>IFERROR(__xludf.DUMMYFUNCTION("""COMPUTED_VALUE"""),"黃元浚")</f>
        <v>黃元浚</v>
      </c>
      <c r="D983" s="16" t="str">
        <f>IFERROR(__xludf.DUMMYFUNCTION("""COMPUTED_VALUE"""),"bra*****108.hc@mail.edu.tw")</f>
        <v>bra*****108.hc@mail.edu.tw</v>
      </c>
      <c r="E983" s="17" t="str">
        <f>IFERROR(__xludf.DUMMYFUNCTION("""COMPUTED_VALUE"""),"新竹市私立曙光國民小學")</f>
        <v>新竹市私立曙光國民小學</v>
      </c>
      <c r="F983" s="14" t="str">
        <f>IFERROR(__xludf.DUMMYFUNCTION("""COMPUTED_VALUE"""),"六年級")</f>
        <v>六年級</v>
      </c>
      <c r="G983" s="14" t="str">
        <f>IFERROR(__xludf.DUMMYFUNCTION("""COMPUTED_VALUE"""),"●小禮物")</f>
        <v>●小禮物</v>
      </c>
      <c r="H983" s="8"/>
    </row>
    <row r="984">
      <c r="A984" s="18"/>
      <c r="B984" s="14">
        <f>IFERROR(__xludf.DUMMYFUNCTION("""COMPUTED_VALUE"""),1184283.0)</f>
        <v>1184283</v>
      </c>
      <c r="C984" s="14" t="str">
        <f>IFERROR(__xludf.DUMMYFUNCTION("""COMPUTED_VALUE"""),"蔡莘亞")</f>
        <v>蔡莘亞</v>
      </c>
      <c r="D984" s="16" t="str">
        <f>IFERROR(__xludf.DUMMYFUNCTION("""COMPUTED_VALUE"""),"mel*****12.hc@mail.edu.tw")</f>
        <v>mel*****12.hc@mail.edu.tw</v>
      </c>
      <c r="E984" s="17" t="str">
        <f>IFERROR(__xludf.DUMMYFUNCTION("""COMPUTED_VALUE"""),"新竹市私立曙光國民小學")</f>
        <v>新竹市私立曙光國民小學</v>
      </c>
      <c r="F984" s="14" t="str">
        <f>IFERROR(__xludf.DUMMYFUNCTION("""COMPUTED_VALUE"""),"六年級")</f>
        <v>六年級</v>
      </c>
      <c r="G984" s="14" t="str">
        <f>IFERROR(__xludf.DUMMYFUNCTION("""COMPUTED_VALUE"""),"●小禮物")</f>
        <v>●小禮物</v>
      </c>
      <c r="H984" s="8"/>
    </row>
    <row r="985">
      <c r="A985" s="18"/>
      <c r="B985" s="14">
        <f>IFERROR(__xludf.DUMMYFUNCTION("""COMPUTED_VALUE"""),1184300.0)</f>
        <v>1184300</v>
      </c>
      <c r="C985" s="14" t="str">
        <f>IFERROR(__xludf.DUMMYFUNCTION("""COMPUTED_VALUE"""),"李昱萱")</f>
        <v>李昱萱</v>
      </c>
      <c r="D985" s="16" t="str">
        <f>IFERROR(__xludf.DUMMYFUNCTION("""COMPUTED_VALUE"""),"kik*****.hc@mail.edu.tw")</f>
        <v>kik*****.hc@mail.edu.tw</v>
      </c>
      <c r="E985" s="17" t="str">
        <f>IFERROR(__xludf.DUMMYFUNCTION("""COMPUTED_VALUE"""),"新竹市私立曙光國民小學")</f>
        <v>新竹市私立曙光國民小學</v>
      </c>
      <c r="F985" s="14" t="str">
        <f>IFERROR(__xludf.DUMMYFUNCTION("""COMPUTED_VALUE"""),"六年級")</f>
        <v>六年級</v>
      </c>
      <c r="G985" s="14" t="str">
        <f>IFERROR(__xludf.DUMMYFUNCTION("""COMPUTED_VALUE"""),"獎狀")</f>
        <v>獎狀</v>
      </c>
      <c r="H985" s="8"/>
    </row>
    <row r="986">
      <c r="A986" s="18"/>
      <c r="B986" s="14">
        <f>IFERROR(__xludf.DUMMYFUNCTION("""COMPUTED_VALUE"""),1184301.0)</f>
        <v>1184301</v>
      </c>
      <c r="C986" s="14" t="str">
        <f>IFERROR(__xludf.DUMMYFUNCTION("""COMPUTED_VALUE"""),"邱威滕")</f>
        <v>邱威滕</v>
      </c>
      <c r="D986" s="16" t="str">
        <f>IFERROR(__xludf.DUMMYFUNCTION("""COMPUTED_VALUE"""),"vic*****29.hc@mail.edu.tw")</f>
        <v>vic*****29.hc@mail.edu.tw</v>
      </c>
      <c r="E986" s="17" t="str">
        <f>IFERROR(__xludf.DUMMYFUNCTION("""COMPUTED_VALUE"""),"新竹市私立曙光國民小學")</f>
        <v>新竹市私立曙光國民小學</v>
      </c>
      <c r="F986" s="14" t="str">
        <f>IFERROR(__xludf.DUMMYFUNCTION("""COMPUTED_VALUE"""),"六年級")</f>
        <v>六年級</v>
      </c>
      <c r="G986" s="14" t="str">
        <f>IFERROR(__xludf.DUMMYFUNCTION("""COMPUTED_VALUE"""),"獎狀")</f>
        <v>獎狀</v>
      </c>
      <c r="H986" s="8"/>
    </row>
    <row r="987">
      <c r="A987" s="18"/>
      <c r="B987" s="14">
        <f>IFERROR(__xludf.DUMMYFUNCTION("""COMPUTED_VALUE"""),1184299.0)</f>
        <v>1184299</v>
      </c>
      <c r="C987" s="14" t="str">
        <f>IFERROR(__xludf.DUMMYFUNCTION("""COMPUTED_VALUE"""),"徐芷璇")</f>
        <v>徐芷璇</v>
      </c>
      <c r="D987" s="16" t="str">
        <f>IFERROR(__xludf.DUMMYFUNCTION("""COMPUTED_VALUE"""),"cha*****11.hc@mail.edu.tw")</f>
        <v>cha*****11.hc@mail.edu.tw</v>
      </c>
      <c r="E987" s="17" t="str">
        <f>IFERROR(__xludf.DUMMYFUNCTION("""COMPUTED_VALUE"""),"新竹市私立曙光國民小學")</f>
        <v>新竹市私立曙光國民小學</v>
      </c>
      <c r="F987" s="14" t="str">
        <f>IFERROR(__xludf.DUMMYFUNCTION("""COMPUTED_VALUE"""),"六年級")</f>
        <v>六年級</v>
      </c>
      <c r="G987" s="14" t="str">
        <f>IFERROR(__xludf.DUMMYFUNCTION("""COMPUTED_VALUE"""),"獎狀")</f>
        <v>獎狀</v>
      </c>
      <c r="H987" s="8"/>
    </row>
    <row r="988">
      <c r="A988" s="18"/>
      <c r="B988" s="14">
        <f>IFERROR(__xludf.DUMMYFUNCTION("""COMPUTED_VALUE"""),347735.0)</f>
        <v>347735</v>
      </c>
      <c r="C988" s="14" t="str">
        <f>IFERROR(__xludf.DUMMYFUNCTION("""COMPUTED_VALUE"""),"張華庭")</f>
        <v>張華庭</v>
      </c>
      <c r="D988" s="16" t="str">
        <f>IFERROR(__xludf.DUMMYFUNCTION("""COMPUTED_VALUE"""),"dor*****0.hc@mail.edu.tw")</f>
        <v>dor*****0.hc@mail.edu.tw</v>
      </c>
      <c r="E988" s="17" t="str">
        <f>IFERROR(__xludf.DUMMYFUNCTION("""COMPUTED_VALUE"""),"新竹市私立曙光國民小學")</f>
        <v>新竹市私立曙光國民小學</v>
      </c>
      <c r="F988" s="14" t="str">
        <f>IFERROR(__xludf.DUMMYFUNCTION("""COMPUTED_VALUE"""),"六年級")</f>
        <v>六年級</v>
      </c>
      <c r="G988" s="14" t="str">
        <f>IFERROR(__xludf.DUMMYFUNCTION("""COMPUTED_VALUE"""),"獎狀")</f>
        <v>獎狀</v>
      </c>
      <c r="H988" s="8"/>
    </row>
    <row r="989">
      <c r="A989" s="18"/>
      <c r="B989" s="14">
        <f>IFERROR(__xludf.DUMMYFUNCTION("""COMPUTED_VALUE"""),1184280.0)</f>
        <v>1184280</v>
      </c>
      <c r="C989" s="14" t="str">
        <f>IFERROR(__xludf.DUMMYFUNCTION("""COMPUTED_VALUE"""),"張睿峰")</f>
        <v>張睿峰</v>
      </c>
      <c r="D989" s="16" t="str">
        <f>IFERROR(__xludf.DUMMYFUNCTION("""COMPUTED_VALUE"""),"kke*****15.hc@mail.edu.tw")</f>
        <v>kke*****15.hc@mail.edu.tw</v>
      </c>
      <c r="E989" s="17" t="str">
        <f>IFERROR(__xludf.DUMMYFUNCTION("""COMPUTED_VALUE"""),"新竹市私立曙光國民小學")</f>
        <v>新竹市私立曙光國民小學</v>
      </c>
      <c r="F989" s="14" t="str">
        <f>IFERROR(__xludf.DUMMYFUNCTION("""COMPUTED_VALUE"""),"六年級")</f>
        <v>六年級</v>
      </c>
      <c r="G989" s="14" t="str">
        <f>IFERROR(__xludf.DUMMYFUNCTION("""COMPUTED_VALUE"""),"獎狀")</f>
        <v>獎狀</v>
      </c>
      <c r="H989" s="8"/>
    </row>
    <row r="990">
      <c r="A990" s="18"/>
      <c r="B990" s="14">
        <f>IFERROR(__xludf.DUMMYFUNCTION("""COMPUTED_VALUE"""),937594.0)</f>
        <v>937594</v>
      </c>
      <c r="C990" s="14" t="str">
        <f>IFERROR(__xludf.DUMMYFUNCTION("""COMPUTED_VALUE"""),"陳琦茜")</f>
        <v>陳琦茜</v>
      </c>
      <c r="D990" s="16" t="str">
        <f>IFERROR(__xludf.DUMMYFUNCTION("""COMPUTED_VALUE"""),"jes*****040.hc@mail.edu.tw")</f>
        <v>jes*****040.hc@mail.edu.tw</v>
      </c>
      <c r="E990" s="17" t="str">
        <f>IFERROR(__xludf.DUMMYFUNCTION("""COMPUTED_VALUE"""),"新竹市私立曙光國民小學")</f>
        <v>新竹市私立曙光國民小學</v>
      </c>
      <c r="F990" s="14" t="str">
        <f>IFERROR(__xludf.DUMMYFUNCTION("""COMPUTED_VALUE"""),"六年級")</f>
        <v>六年級</v>
      </c>
      <c r="G990" s="14" t="str">
        <f>IFERROR(__xludf.DUMMYFUNCTION("""COMPUTED_VALUE"""),"獎狀")</f>
        <v>獎狀</v>
      </c>
      <c r="H990" s="8"/>
    </row>
    <row r="991">
      <c r="A991" s="18"/>
      <c r="B991" s="14">
        <f>IFERROR(__xludf.DUMMYFUNCTION("""COMPUTED_VALUE"""),937352.0)</f>
        <v>937352</v>
      </c>
      <c r="C991" s="14" t="str">
        <f>IFERROR(__xludf.DUMMYFUNCTION("""COMPUTED_VALUE"""),"陳琦絢")</f>
        <v>陳琦絢</v>
      </c>
      <c r="D991" s="16" t="str">
        <f>IFERROR(__xludf.DUMMYFUNCTION("""COMPUTED_VALUE"""),"reb*****704@mail.edu.tw")</f>
        <v>reb*****704@mail.edu.tw</v>
      </c>
      <c r="E991" s="17" t="str">
        <f>IFERROR(__xludf.DUMMYFUNCTION("""COMPUTED_VALUE"""),"新竹市私立曙光國民小學")</f>
        <v>新竹市私立曙光國民小學</v>
      </c>
      <c r="F991" s="14" t="str">
        <f>IFERROR(__xludf.DUMMYFUNCTION("""COMPUTED_VALUE"""),"六年級")</f>
        <v>六年級</v>
      </c>
      <c r="G991" s="14" t="str">
        <f>IFERROR(__xludf.DUMMYFUNCTION("""COMPUTED_VALUE"""),"獎狀")</f>
        <v>獎狀</v>
      </c>
      <c r="H991" s="8"/>
    </row>
    <row r="992">
      <c r="A992" s="18"/>
      <c r="B992" s="14">
        <f>IFERROR(__xludf.DUMMYFUNCTION("""COMPUTED_VALUE"""),1184286.0)</f>
        <v>1184286</v>
      </c>
      <c r="C992" s="14" t="str">
        <f>IFERROR(__xludf.DUMMYFUNCTION("""COMPUTED_VALUE"""),"戴愷賢")</f>
        <v>戴愷賢</v>
      </c>
      <c r="D992" s="16" t="str">
        <f>IFERROR(__xludf.DUMMYFUNCTION("""COMPUTED_VALUE"""),"sam*****hc@mail.edu.tw")</f>
        <v>sam*****hc@mail.edu.tw</v>
      </c>
      <c r="E992" s="17" t="str">
        <f>IFERROR(__xludf.DUMMYFUNCTION("""COMPUTED_VALUE"""),"新竹市私立曙光國民小學")</f>
        <v>新竹市私立曙光國民小學</v>
      </c>
      <c r="F992" s="14" t="str">
        <f>IFERROR(__xludf.DUMMYFUNCTION("""COMPUTED_VALUE"""),"六年級")</f>
        <v>六年級</v>
      </c>
      <c r="G992" s="14" t="str">
        <f>IFERROR(__xludf.DUMMYFUNCTION("""COMPUTED_VALUE"""),"獎狀")</f>
        <v>獎狀</v>
      </c>
      <c r="H992" s="8"/>
    </row>
    <row r="993">
      <c r="A993" s="18"/>
      <c r="B993" s="14">
        <f>IFERROR(__xludf.DUMMYFUNCTION("""COMPUTED_VALUE"""),1175820.0)</f>
        <v>1175820</v>
      </c>
      <c r="C993" s="14" t="str">
        <f>IFERROR(__xludf.DUMMYFUNCTION("""COMPUTED_VALUE"""),"李泓毅")</f>
        <v>李泓毅</v>
      </c>
      <c r="D993" s="16" t="str">
        <f>IFERROR(__xludf.DUMMYFUNCTION("""COMPUTED_VALUE"""),"eri*****1029@smail.hc.edu.tw")</f>
        <v>eri*****1029@smail.hc.edu.tw</v>
      </c>
      <c r="E993" s="17" t="str">
        <f>IFERROR(__xludf.DUMMYFUNCTION("""COMPUTED_VALUE"""),"新竹市東區東門國民小學")</f>
        <v>新竹市東區東門國民小學</v>
      </c>
      <c r="F993" s="14" t="str">
        <f>IFERROR(__xludf.DUMMYFUNCTION("""COMPUTED_VALUE"""),"三年級")</f>
        <v>三年級</v>
      </c>
      <c r="G993" s="14" t="str">
        <f>IFERROR(__xludf.DUMMYFUNCTION("""COMPUTED_VALUE"""),"●小禮物")</f>
        <v>●小禮物</v>
      </c>
      <c r="H993" s="8"/>
    </row>
    <row r="994">
      <c r="A994" s="18"/>
      <c r="B994" s="14">
        <f>IFERROR(__xludf.DUMMYFUNCTION("""COMPUTED_VALUE"""),714505.0)</f>
        <v>714505</v>
      </c>
      <c r="C994" s="14" t="str">
        <f>IFERROR(__xludf.DUMMYFUNCTION("""COMPUTED_VALUE"""),"楊佩蓉")</f>
        <v>楊佩蓉</v>
      </c>
      <c r="D994" s="16" t="str">
        <f>IFERROR(__xludf.DUMMYFUNCTION("""COMPUTED_VALUE"""),"pep*****ng2021@gmail.com")</f>
        <v>pep*****ng2021@gmail.com</v>
      </c>
      <c r="E994" s="17" t="str">
        <f>IFERROR(__xludf.DUMMYFUNCTION("""COMPUTED_VALUE"""),"新竹市東區東門國民小學")</f>
        <v>新竹市東區東門國民小學</v>
      </c>
      <c r="F994" s="14" t="str">
        <f>IFERROR(__xludf.DUMMYFUNCTION("""COMPUTED_VALUE"""),"四年級")</f>
        <v>四年級</v>
      </c>
      <c r="G994" s="14" t="str">
        <f>IFERROR(__xludf.DUMMYFUNCTION("""COMPUTED_VALUE"""),"●小禮物")</f>
        <v>●小禮物</v>
      </c>
      <c r="H994" s="8"/>
    </row>
    <row r="995">
      <c r="A995" s="18"/>
      <c r="B995" s="14">
        <f>IFERROR(__xludf.DUMMYFUNCTION("""COMPUTED_VALUE"""),1194553.0)</f>
        <v>1194553</v>
      </c>
      <c r="C995" s="14" t="str">
        <f>IFERROR(__xludf.DUMMYFUNCTION("""COMPUTED_VALUE"""),"蔡昱德")</f>
        <v>蔡昱德</v>
      </c>
      <c r="D995" s="16" t="str">
        <f>IFERROR(__xludf.DUMMYFUNCTION("""COMPUTED_VALUE"""),"aro*****0107@smail.hc.edu.tw")</f>
        <v>aro*****0107@smail.hc.edu.tw</v>
      </c>
      <c r="E995" s="17" t="str">
        <f>IFERROR(__xludf.DUMMYFUNCTION("""COMPUTED_VALUE"""),"新竹市東區東門國民小學")</f>
        <v>新竹市東區東門國民小學</v>
      </c>
      <c r="F995" s="14" t="str">
        <f>IFERROR(__xludf.DUMMYFUNCTION("""COMPUTED_VALUE"""),"四年級")</f>
        <v>四年級</v>
      </c>
      <c r="G995" s="14" t="str">
        <f>IFERROR(__xludf.DUMMYFUNCTION("""COMPUTED_VALUE"""),"獎狀")</f>
        <v>獎狀</v>
      </c>
      <c r="H995" s="8"/>
    </row>
    <row r="996">
      <c r="A996" s="18"/>
      <c r="B996" s="14">
        <f>IFERROR(__xludf.DUMMYFUNCTION("""COMPUTED_VALUE"""),1186488.0)</f>
        <v>1186488</v>
      </c>
      <c r="C996" s="14" t="str">
        <f>IFERROR(__xludf.DUMMYFUNCTION("""COMPUTED_VALUE"""),"姚昀希")</f>
        <v>姚昀希</v>
      </c>
      <c r="D996" s="16" t="str">
        <f>IFERROR(__xludf.DUMMYFUNCTION("""COMPUTED_VALUE"""),"l75*****gmail.com")</f>
        <v>l75*****gmail.com</v>
      </c>
      <c r="E996" s="17" t="str">
        <f>IFERROR(__xludf.DUMMYFUNCTION("""COMPUTED_VALUE"""),"新竹市東區東門國民小學")</f>
        <v>新竹市東區東門國民小學</v>
      </c>
      <c r="F996" s="14" t="str">
        <f>IFERROR(__xludf.DUMMYFUNCTION("""COMPUTED_VALUE"""),"五年級")</f>
        <v>五年級</v>
      </c>
      <c r="G996" s="14" t="str">
        <f>IFERROR(__xludf.DUMMYFUNCTION("""COMPUTED_VALUE"""),"獎狀")</f>
        <v>獎狀</v>
      </c>
      <c r="H996" s="8"/>
    </row>
    <row r="997">
      <c r="A997" s="18"/>
      <c r="B997" s="14">
        <f>IFERROR(__xludf.DUMMYFUNCTION("""COMPUTED_VALUE"""),1219555.0)</f>
        <v>1219555</v>
      </c>
      <c r="C997" s="14" t="str">
        <f>IFERROR(__xludf.DUMMYFUNCTION("""COMPUTED_VALUE"""),"潘彥榕")</f>
        <v>潘彥榕</v>
      </c>
      <c r="D997" s="16" t="str">
        <f>IFERROR(__xludf.DUMMYFUNCTION("""COMPUTED_VALUE"""),"ala*****.hc@mail.edu.tw")</f>
        <v>ala*****.hc@mail.edu.tw</v>
      </c>
      <c r="E997" s="17" t="str">
        <f>IFERROR(__xludf.DUMMYFUNCTION("""COMPUTED_VALUE"""),"新竹市東區東門國民小學")</f>
        <v>新竹市東區東門國民小學</v>
      </c>
      <c r="F997" s="14" t="str">
        <f>IFERROR(__xludf.DUMMYFUNCTION("""COMPUTED_VALUE"""),"五年級")</f>
        <v>五年級</v>
      </c>
      <c r="G997" s="14" t="str">
        <f>IFERROR(__xludf.DUMMYFUNCTION("""COMPUTED_VALUE"""),"獎狀")</f>
        <v>獎狀</v>
      </c>
      <c r="H997" s="8"/>
    </row>
    <row r="998">
      <c r="A998" s="18"/>
      <c r="B998" s="14">
        <f>IFERROR(__xludf.DUMMYFUNCTION("""COMPUTED_VALUE"""),873338.0)</f>
        <v>873338</v>
      </c>
      <c r="C998" s="14" t="str">
        <f>IFERROR(__xludf.DUMMYFUNCTION("""COMPUTED_VALUE"""),"戴均祐")</f>
        <v>戴均祐</v>
      </c>
      <c r="D998" s="16" t="str">
        <f>IFERROR(__xludf.DUMMYFUNCTION("""COMPUTED_VALUE"""),"yoy*****719@mail.edu.tw")</f>
        <v>yoy*****719@mail.edu.tw</v>
      </c>
      <c r="E998" s="17" t="str">
        <f>IFERROR(__xludf.DUMMYFUNCTION("""COMPUTED_VALUE"""),"新竹市東區東門國民小學")</f>
        <v>新竹市東區東門國民小學</v>
      </c>
      <c r="F998" s="14" t="str">
        <f>IFERROR(__xludf.DUMMYFUNCTION("""COMPUTED_VALUE"""),"五年級")</f>
        <v>五年級</v>
      </c>
      <c r="G998" s="14" t="str">
        <f>IFERROR(__xludf.DUMMYFUNCTION("""COMPUTED_VALUE"""),"獎狀")</f>
        <v>獎狀</v>
      </c>
      <c r="H998" s="8"/>
    </row>
    <row r="999">
      <c r="A999" s="18"/>
      <c r="B999" s="14">
        <f>IFERROR(__xludf.DUMMYFUNCTION("""COMPUTED_VALUE"""),1186752.0)</f>
        <v>1186752</v>
      </c>
      <c r="C999" s="14" t="str">
        <f>IFERROR(__xludf.DUMMYFUNCTION("""COMPUTED_VALUE"""),"賴永翰")</f>
        <v>賴永翰</v>
      </c>
      <c r="D999" s="16" t="str">
        <f>IFERROR(__xludf.DUMMYFUNCTION("""COMPUTED_VALUE"""),"geo*****40.hc@mail.edu.tw")</f>
        <v>geo*****40.hc@mail.edu.tw</v>
      </c>
      <c r="E999" s="17" t="str">
        <f>IFERROR(__xludf.DUMMYFUNCTION("""COMPUTED_VALUE"""),"新竹市東區東門國民小學")</f>
        <v>新竹市東區東門國民小學</v>
      </c>
      <c r="F999" s="14" t="str">
        <f>IFERROR(__xludf.DUMMYFUNCTION("""COMPUTED_VALUE"""),"五年級")</f>
        <v>五年級</v>
      </c>
      <c r="G999" s="14" t="str">
        <f>IFERROR(__xludf.DUMMYFUNCTION("""COMPUTED_VALUE"""),"●小禮物")</f>
        <v>●小禮物</v>
      </c>
      <c r="H999" s="8"/>
    </row>
    <row r="1000">
      <c r="A1000" s="18"/>
      <c r="B1000" s="14">
        <f>IFERROR(__xludf.DUMMYFUNCTION("""COMPUTED_VALUE"""),364241.0)</f>
        <v>364241</v>
      </c>
      <c r="C1000" s="14" t="str">
        <f>IFERROR(__xludf.DUMMYFUNCTION("""COMPUTED_VALUE"""),"侯紀騰")</f>
        <v>侯紀騰</v>
      </c>
      <c r="D1000" s="16" t="str">
        <f>IFERROR(__xludf.DUMMYFUNCTION("""COMPUTED_VALUE"""),"cas*****@mail.edu.tw")</f>
        <v>cas*****@mail.edu.tw</v>
      </c>
      <c r="E1000" s="17" t="str">
        <f>IFERROR(__xludf.DUMMYFUNCTION("""COMPUTED_VALUE"""),"新竹市東區東門國民小學")</f>
        <v>新竹市東區東門國民小學</v>
      </c>
      <c r="F1000" s="14" t="str">
        <f>IFERROR(__xludf.DUMMYFUNCTION("""COMPUTED_VALUE"""),"六年級")</f>
        <v>六年級</v>
      </c>
      <c r="G1000" s="14" t="str">
        <f>IFERROR(__xludf.DUMMYFUNCTION("""COMPUTED_VALUE"""),"獎狀")</f>
        <v>獎狀</v>
      </c>
      <c r="H1000" s="8"/>
    </row>
    <row r="1001">
      <c r="A1001" s="18"/>
      <c r="B1001" s="14">
        <f>IFERROR(__xludf.DUMMYFUNCTION("""COMPUTED_VALUE"""),960022.0)</f>
        <v>960022</v>
      </c>
      <c r="C1001" s="14" t="str">
        <f>IFERROR(__xludf.DUMMYFUNCTION("""COMPUTED_VALUE"""),"伍詠暄")</f>
        <v>伍詠暄</v>
      </c>
      <c r="D1001" s="16" t="str">
        <f>IFERROR(__xludf.DUMMYFUNCTION("""COMPUTED_VALUE"""),"ver*****@smail.hc.edu.tw")</f>
        <v>ver*****@smail.hc.edu.tw</v>
      </c>
      <c r="E1001" s="17" t="str">
        <f>IFERROR(__xludf.DUMMYFUNCTION("""COMPUTED_VALUE"""),"新竹市東區龍山國民小學")</f>
        <v>新竹市東區龍山國民小學</v>
      </c>
      <c r="F1001" s="14" t="str">
        <f>IFERROR(__xludf.DUMMYFUNCTION("""COMPUTED_VALUE"""),"五年級")</f>
        <v>五年級</v>
      </c>
      <c r="G1001" s="14" t="str">
        <f>IFERROR(__xludf.DUMMYFUNCTION("""COMPUTED_VALUE"""),"獎狀")</f>
        <v>獎狀</v>
      </c>
      <c r="H1001" s="8"/>
    </row>
    <row r="1002">
      <c r="A1002" s="18"/>
      <c r="B1002" s="14">
        <f>IFERROR(__xludf.DUMMYFUNCTION("""COMPUTED_VALUE"""),308658.0)</f>
        <v>308658</v>
      </c>
      <c r="C1002" s="14" t="str">
        <f>IFERROR(__xludf.DUMMYFUNCTION("""COMPUTED_VALUE"""),"黃宣頤")</f>
        <v>黃宣頤</v>
      </c>
      <c r="D1002" s="16" t="str">
        <f>IFERROR(__xludf.DUMMYFUNCTION("""COMPUTED_VALUE"""),"isa*****@gmail.com")</f>
        <v>isa*****@gmail.com</v>
      </c>
      <c r="E1002" s="17" t="str">
        <f>IFERROR(__xludf.DUMMYFUNCTION("""COMPUTED_VALUE"""),"新竹市東區龍山國民小學")</f>
        <v>新竹市東區龍山國民小學</v>
      </c>
      <c r="F1002" s="14" t="str">
        <f>IFERROR(__xludf.DUMMYFUNCTION("""COMPUTED_VALUE"""),"六年級")</f>
        <v>六年級</v>
      </c>
      <c r="G1002" s="14" t="str">
        <f>IFERROR(__xludf.DUMMYFUNCTION("""COMPUTED_VALUE"""),"●小禮物")</f>
        <v>●小禮物</v>
      </c>
      <c r="H1002" s="8"/>
    </row>
    <row r="1003">
      <c r="A1003" s="18"/>
      <c r="B1003" s="14">
        <f>IFERROR(__xludf.DUMMYFUNCTION("""COMPUTED_VALUE"""),934306.0)</f>
        <v>934306</v>
      </c>
      <c r="C1003" s="14" t="str">
        <f>IFERROR(__xludf.DUMMYFUNCTION("""COMPUTED_VALUE"""),"林子喬")</f>
        <v>林子喬</v>
      </c>
      <c r="D1003" s="16" t="str">
        <f>IFERROR(__xludf.DUMMYFUNCTION("""COMPUTED_VALUE"""),"jer*****0107.hc@mail.edu.tw")</f>
        <v>jer*****0107.hc@mail.edu.tw</v>
      </c>
      <c r="E1003" s="17" t="str">
        <f>IFERROR(__xludf.DUMMYFUNCTION("""COMPUTED_VALUE"""),"新竹市東區龍山國民小學")</f>
        <v>新竹市東區龍山國民小學</v>
      </c>
      <c r="F1003" s="14" t="str">
        <f>IFERROR(__xludf.DUMMYFUNCTION("""COMPUTED_VALUE"""),"六年級")</f>
        <v>六年級</v>
      </c>
      <c r="G1003" s="14" t="str">
        <f>IFERROR(__xludf.DUMMYFUNCTION("""COMPUTED_VALUE"""),"獎狀")</f>
        <v>獎狀</v>
      </c>
      <c r="H1003" s="8"/>
    </row>
    <row r="1004">
      <c r="A1004" s="18"/>
      <c r="B1004" s="14">
        <f>IFERROR(__xludf.DUMMYFUNCTION("""COMPUTED_VALUE"""),883618.0)</f>
        <v>883618</v>
      </c>
      <c r="C1004" s="14" t="str">
        <f>IFERROR(__xludf.DUMMYFUNCTION("""COMPUTED_VALUE"""),"鄭至涵")</f>
        <v>鄭至涵</v>
      </c>
      <c r="D1004" s="16" t="str">
        <f>IFERROR(__xludf.DUMMYFUNCTION("""COMPUTED_VALUE"""),"dor*****cheng@gmail.com")</f>
        <v>dor*****cheng@gmail.com</v>
      </c>
      <c r="E1004" s="17" t="str">
        <f>IFERROR(__xludf.DUMMYFUNCTION("""COMPUTED_VALUE"""),"新竹市東區龍山國民小學")</f>
        <v>新竹市東區龍山國民小學</v>
      </c>
      <c r="F1004" s="14" t="str">
        <f>IFERROR(__xludf.DUMMYFUNCTION("""COMPUTED_VALUE"""),"六年級")</f>
        <v>六年級</v>
      </c>
      <c r="G1004" s="14" t="str">
        <f>IFERROR(__xludf.DUMMYFUNCTION("""COMPUTED_VALUE"""),"獎狀")</f>
        <v>獎狀</v>
      </c>
      <c r="H1004" s="8"/>
    </row>
    <row r="1005">
      <c r="A1005" s="18"/>
      <c r="B1005" s="14">
        <f>IFERROR(__xludf.DUMMYFUNCTION("""COMPUTED_VALUE"""),758763.0)</f>
        <v>758763</v>
      </c>
      <c r="C1005" s="14" t="str">
        <f>IFERROR(__xludf.DUMMYFUNCTION("""COMPUTED_VALUE"""),"張簡季庭")</f>
        <v>張簡季庭</v>
      </c>
      <c r="D1005" s="16" t="str">
        <f>IFERROR(__xludf.DUMMYFUNCTION("""COMPUTED_VALUE"""),"chl*****9.hc@mail.edu.tw")</f>
        <v>chl*****9.hc@mail.edu.tw</v>
      </c>
      <c r="E1005" s="17" t="str">
        <f>IFERROR(__xludf.DUMMYFUNCTION("""COMPUTED_VALUE"""),"新竹市東區三民國民小學")</f>
        <v>新竹市東區三民國民小學</v>
      </c>
      <c r="F1005" s="14" t="str">
        <f>IFERROR(__xludf.DUMMYFUNCTION("""COMPUTED_VALUE"""),"五年級")</f>
        <v>五年級</v>
      </c>
      <c r="G1005" s="14" t="str">
        <f>IFERROR(__xludf.DUMMYFUNCTION("""COMPUTED_VALUE"""),"●小禮物")</f>
        <v>●小禮物</v>
      </c>
      <c r="H1005" s="8"/>
    </row>
    <row r="1006">
      <c r="A1006" s="18"/>
      <c r="B1006" s="14">
        <f>IFERROR(__xludf.DUMMYFUNCTION("""COMPUTED_VALUE"""),525729.0)</f>
        <v>525729</v>
      </c>
      <c r="C1006" s="14" t="str">
        <f>IFERROR(__xludf.DUMMYFUNCTION("""COMPUTED_VALUE"""),"蔡承儒")</f>
        <v>蔡承儒</v>
      </c>
      <c r="D1006" s="16" t="str">
        <f>IFERROR(__xludf.DUMMYFUNCTION("""COMPUTED_VALUE"""),"ray*****824.hc@mail.edu.tw")</f>
        <v>ray*****824.hc@mail.edu.tw</v>
      </c>
      <c r="E1006" s="17" t="str">
        <f>IFERROR(__xludf.DUMMYFUNCTION("""COMPUTED_VALUE"""),"新竹市東區三民國民小學")</f>
        <v>新竹市東區三民國民小學</v>
      </c>
      <c r="F1006" s="14" t="str">
        <f>IFERROR(__xludf.DUMMYFUNCTION("""COMPUTED_VALUE"""),"五年級")</f>
        <v>五年級</v>
      </c>
      <c r="G1006" s="14" t="str">
        <f>IFERROR(__xludf.DUMMYFUNCTION("""COMPUTED_VALUE"""),"獎狀")</f>
        <v>獎狀</v>
      </c>
      <c r="H1006" s="8"/>
    </row>
    <row r="1007">
      <c r="A1007" s="18"/>
      <c r="B1007" s="14">
        <f>IFERROR(__xludf.DUMMYFUNCTION("""COMPUTED_VALUE"""),697449.0)</f>
        <v>697449</v>
      </c>
      <c r="C1007" s="14" t="str">
        <f>IFERROR(__xludf.DUMMYFUNCTION("""COMPUTED_VALUE"""),"黃巧恩")</f>
        <v>黃巧恩</v>
      </c>
      <c r="D1007" s="16" t="str">
        <f>IFERROR(__xludf.DUMMYFUNCTION("""COMPUTED_VALUE"""),"mel*****15.hc@mail.edu.tw")</f>
        <v>mel*****15.hc@mail.edu.tw</v>
      </c>
      <c r="E1007" s="17" t="str">
        <f>IFERROR(__xludf.DUMMYFUNCTION("""COMPUTED_VALUE"""),"新竹市東區三民國民小學")</f>
        <v>新竹市東區三民國民小學</v>
      </c>
      <c r="F1007" s="14" t="str">
        <f>IFERROR(__xludf.DUMMYFUNCTION("""COMPUTED_VALUE"""),"五年級")</f>
        <v>五年級</v>
      </c>
      <c r="G1007" s="14" t="str">
        <f>IFERROR(__xludf.DUMMYFUNCTION("""COMPUTED_VALUE"""),"●小禮物")</f>
        <v>●小禮物</v>
      </c>
      <c r="H1007" s="8"/>
    </row>
    <row r="1008">
      <c r="A1008" s="18"/>
      <c r="B1008" s="14">
        <f>IFERROR(__xludf.DUMMYFUNCTION("""COMPUTED_VALUE"""),1087974.0)</f>
        <v>1087974</v>
      </c>
      <c r="C1008" s="14" t="str">
        <f>IFERROR(__xludf.DUMMYFUNCTION("""COMPUTED_VALUE"""),"曾奕宸")</f>
        <v>曾奕宸</v>
      </c>
      <c r="D1008" s="16" t="str">
        <f>IFERROR(__xludf.DUMMYFUNCTION("""COMPUTED_VALUE"""),"eas*****0420@mail.edu.tw")</f>
        <v>eas*****0420@mail.edu.tw</v>
      </c>
      <c r="E1008" s="17" t="str">
        <f>IFERROR(__xludf.DUMMYFUNCTION("""COMPUTED_VALUE"""),"新竹市東區三民國民小學")</f>
        <v>新竹市東區三民國民小學</v>
      </c>
      <c r="F1008" s="14" t="str">
        <f>IFERROR(__xludf.DUMMYFUNCTION("""COMPUTED_VALUE"""),"五年級")</f>
        <v>五年級</v>
      </c>
      <c r="G1008" s="14" t="str">
        <f>IFERROR(__xludf.DUMMYFUNCTION("""COMPUTED_VALUE"""),"獎狀")</f>
        <v>獎狀</v>
      </c>
      <c r="H1008" s="8"/>
    </row>
    <row r="1009">
      <c r="A1009" s="18"/>
      <c r="B1009" s="14">
        <f>IFERROR(__xludf.DUMMYFUNCTION("""COMPUTED_VALUE"""),473204.0)</f>
        <v>473204</v>
      </c>
      <c r="C1009" s="14" t="str">
        <f>IFERROR(__xludf.DUMMYFUNCTION("""COMPUTED_VALUE"""),"林佑昕")</f>
        <v>林佑昕</v>
      </c>
      <c r="D1009" s="16" t="str">
        <f>IFERROR(__xludf.DUMMYFUNCTION("""COMPUTED_VALUE"""),"sop*****en168@gmail.com")</f>
        <v>sop*****en168@gmail.com</v>
      </c>
      <c r="E1009" s="17" t="str">
        <f>IFERROR(__xludf.DUMMYFUNCTION("""COMPUTED_VALUE"""),"新竹市東區陽光國民小學")</f>
        <v>新竹市東區陽光國民小學</v>
      </c>
      <c r="F1009" s="14" t="str">
        <f>IFERROR(__xludf.DUMMYFUNCTION("""COMPUTED_VALUE"""),"六年級")</f>
        <v>六年級</v>
      </c>
      <c r="G1009" s="14" t="str">
        <f>IFERROR(__xludf.DUMMYFUNCTION("""COMPUTED_VALUE"""),"●小禮物")</f>
        <v>●小禮物</v>
      </c>
      <c r="H1009" s="8"/>
    </row>
    <row r="1010">
      <c r="A1010" s="18"/>
      <c r="B1010" s="14">
        <f>IFERROR(__xludf.DUMMYFUNCTION("""COMPUTED_VALUE"""),1179459.0)</f>
        <v>1179459</v>
      </c>
      <c r="C1010" s="14" t="str">
        <f>IFERROR(__xludf.DUMMYFUNCTION("""COMPUTED_VALUE"""),"楊昊勳")</f>
        <v>楊昊勳</v>
      </c>
      <c r="D1010" s="16" t="str">
        <f>IFERROR(__xludf.DUMMYFUNCTION("""COMPUTED_VALUE"""),"cba*****smail.hc.edu.tw")</f>
        <v>cba*****smail.hc.edu.tw</v>
      </c>
      <c r="E1010" s="17" t="str">
        <f>IFERROR(__xludf.DUMMYFUNCTION("""COMPUTED_VALUE"""),"新竹市東區建功國民小學")</f>
        <v>新竹市東區建功國民小學</v>
      </c>
      <c r="F1010" s="14" t="str">
        <f>IFERROR(__xludf.DUMMYFUNCTION("""COMPUTED_VALUE"""),"四年級")</f>
        <v>四年級</v>
      </c>
      <c r="G1010" s="14" t="str">
        <f>IFERROR(__xludf.DUMMYFUNCTION("""COMPUTED_VALUE"""),"獎狀")</f>
        <v>獎狀</v>
      </c>
      <c r="H1010" s="8"/>
    </row>
    <row r="1011">
      <c r="A1011" s="18"/>
      <c r="B1011" s="14">
        <f>IFERROR(__xludf.DUMMYFUNCTION("""COMPUTED_VALUE"""),247763.0)</f>
        <v>247763</v>
      </c>
      <c r="C1011" s="14" t="str">
        <f>IFERROR(__xludf.DUMMYFUNCTION("""COMPUTED_VALUE"""),"廖浚哲")</f>
        <v>廖浚哲</v>
      </c>
      <c r="D1011" s="16" t="str">
        <f>IFERROR(__xludf.DUMMYFUNCTION("""COMPUTED_VALUE"""),"mey*****09.gmail.com")</f>
        <v>mey*****09.gmail.com</v>
      </c>
      <c r="E1011" s="17" t="str">
        <f>IFERROR(__xludf.DUMMYFUNCTION("""COMPUTED_VALUE"""),"新竹市東區建功國民小學")</f>
        <v>新竹市東區建功國民小學</v>
      </c>
      <c r="F1011" s="14" t="str">
        <f>IFERROR(__xludf.DUMMYFUNCTION("""COMPUTED_VALUE"""),"六年級")</f>
        <v>六年級</v>
      </c>
      <c r="G1011" s="14" t="str">
        <f>IFERROR(__xludf.DUMMYFUNCTION("""COMPUTED_VALUE"""),"獎狀")</f>
        <v>獎狀</v>
      </c>
      <c r="H1011" s="8"/>
    </row>
    <row r="1012">
      <c r="A1012" s="18"/>
      <c r="B1012" s="14">
        <f>IFERROR(__xludf.DUMMYFUNCTION("""COMPUTED_VALUE"""),883198.0)</f>
        <v>883198</v>
      </c>
      <c r="C1012" s="14" t="str">
        <f>IFERROR(__xludf.DUMMYFUNCTION("""COMPUTED_VALUE"""),"饒墨林")</f>
        <v>饒墨林</v>
      </c>
      <c r="D1012" s="16" t="str">
        <f>IFERROR(__xludf.DUMMYFUNCTION("""COMPUTED_VALUE"""),"mer*****88@mail.edu.tw")</f>
        <v>mer*****88@mail.edu.tw</v>
      </c>
      <c r="E1012" s="17" t="str">
        <f>IFERROR(__xludf.DUMMYFUNCTION("""COMPUTED_VALUE"""),"國立清華大學附設實驗國民小學T.O.S.校區")</f>
        <v>國立清華大學附設實驗國民小學T.O.S.校區</v>
      </c>
      <c r="F1012" s="14" t="str">
        <f>IFERROR(__xludf.DUMMYFUNCTION("""COMPUTED_VALUE"""),"四年級")</f>
        <v>四年級</v>
      </c>
      <c r="G1012" s="14" t="str">
        <f>IFERROR(__xludf.DUMMYFUNCTION("""COMPUTED_VALUE"""),"獎狀")</f>
        <v>獎狀</v>
      </c>
      <c r="H1012" s="8"/>
    </row>
    <row r="1013">
      <c r="A1013" s="18"/>
      <c r="B1013" s="14">
        <f>IFERROR(__xludf.DUMMYFUNCTION("""COMPUTED_VALUE"""),355868.0)</f>
        <v>355868</v>
      </c>
      <c r="C1013" s="14" t="str">
        <f>IFERROR(__xludf.DUMMYFUNCTION("""COMPUTED_VALUE"""),"潘品寰")</f>
        <v>潘品寰</v>
      </c>
      <c r="D1013" s="16" t="str">
        <f>IFERROR(__xludf.DUMMYFUNCTION("""COMPUTED_VALUE"""),"sof*****9@mail.edu.tw")</f>
        <v>sof*****9@mail.edu.tw</v>
      </c>
      <c r="E1013" s="17" t="str">
        <f>IFERROR(__xludf.DUMMYFUNCTION("""COMPUTED_VALUE"""),"新竹市東區科園國民小學")</f>
        <v>新竹市東區科園國民小學</v>
      </c>
      <c r="F1013" s="14" t="str">
        <f>IFERROR(__xludf.DUMMYFUNCTION("""COMPUTED_VALUE"""),"五年級")</f>
        <v>五年級</v>
      </c>
      <c r="G1013" s="14" t="str">
        <f>IFERROR(__xludf.DUMMYFUNCTION("""COMPUTED_VALUE"""),"獎狀")</f>
        <v>獎狀</v>
      </c>
      <c r="H1013" s="8"/>
    </row>
    <row r="1014">
      <c r="A1014" s="18"/>
      <c r="B1014" s="14">
        <f>IFERROR(__xludf.DUMMYFUNCTION("""COMPUTED_VALUE"""),552989.0)</f>
        <v>552989</v>
      </c>
      <c r="C1014" s="14" t="str">
        <f>IFERROR(__xludf.DUMMYFUNCTION("""COMPUTED_VALUE"""),"白庭萱")</f>
        <v>白庭萱</v>
      </c>
      <c r="D1014" s="16" t="str">
        <f>IFERROR(__xludf.DUMMYFUNCTION("""COMPUTED_VALUE"""),"sha*****i@gmail.com")</f>
        <v>sha*****i@gmail.com</v>
      </c>
      <c r="E1014" s="17" t="str">
        <f>IFERROR(__xludf.DUMMYFUNCTION("""COMPUTED_VALUE"""),"新竹市東區竹蓮國民小學")</f>
        <v>新竹市東區竹蓮國民小學</v>
      </c>
      <c r="F1014" s="14" t="str">
        <f>IFERROR(__xludf.DUMMYFUNCTION("""COMPUTED_VALUE"""),"五年級")</f>
        <v>五年級</v>
      </c>
      <c r="G1014" s="14" t="str">
        <f>IFERROR(__xludf.DUMMYFUNCTION("""COMPUTED_VALUE"""),"●小禮物")</f>
        <v>●小禮物</v>
      </c>
      <c r="H1014" s="8"/>
    </row>
    <row r="1015">
      <c r="A1015" s="18"/>
      <c r="B1015" s="14">
        <f>IFERROR(__xludf.DUMMYFUNCTION("""COMPUTED_VALUE"""),1096008.0)</f>
        <v>1096008</v>
      </c>
      <c r="C1015" s="14" t="str">
        <f>IFERROR(__xludf.DUMMYFUNCTION("""COMPUTED_VALUE"""),"陳心之")</f>
        <v>陳心之</v>
      </c>
      <c r="D1015" s="16" t="str">
        <f>IFERROR(__xludf.DUMMYFUNCTION("""COMPUTED_VALUE"""),"hsi*****1113.hc@mail.edu.tw")</f>
        <v>hsi*****1113.hc@mail.edu.tw</v>
      </c>
      <c r="E1015" s="17" t="str">
        <f>IFERROR(__xludf.DUMMYFUNCTION("""COMPUTED_VALUE"""),"新竹市東區高峰國民小學")</f>
        <v>新竹市東區高峰國民小學</v>
      </c>
      <c r="F1015" s="14" t="str">
        <f>IFERROR(__xludf.DUMMYFUNCTION("""COMPUTED_VALUE"""),"三年級")</f>
        <v>三年級</v>
      </c>
      <c r="G1015" s="14" t="str">
        <f>IFERROR(__xludf.DUMMYFUNCTION("""COMPUTED_VALUE"""),"獎狀")</f>
        <v>獎狀</v>
      </c>
      <c r="H1015" s="8"/>
    </row>
    <row r="1016">
      <c r="A1016" s="18"/>
      <c r="B1016" s="14">
        <f>IFERROR(__xludf.DUMMYFUNCTION("""COMPUTED_VALUE"""),826690.0)</f>
        <v>826690</v>
      </c>
      <c r="C1016" s="14" t="str">
        <f>IFERROR(__xludf.DUMMYFUNCTION("""COMPUTED_VALUE"""),"陳心禾")</f>
        <v>陳心禾</v>
      </c>
      <c r="D1016" s="16" t="str">
        <f>IFERROR(__xludf.DUMMYFUNCTION("""COMPUTED_VALUE"""),"hsi*****17@mail.edu.tw")</f>
        <v>hsi*****17@mail.edu.tw</v>
      </c>
      <c r="E1016" s="17" t="str">
        <f>IFERROR(__xludf.DUMMYFUNCTION("""COMPUTED_VALUE"""),"新竹市東區高峰國民小學")</f>
        <v>新竹市東區高峰國民小學</v>
      </c>
      <c r="F1016" s="14" t="str">
        <f>IFERROR(__xludf.DUMMYFUNCTION("""COMPUTED_VALUE"""),"五年級")</f>
        <v>五年級</v>
      </c>
      <c r="G1016" s="14" t="str">
        <f>IFERROR(__xludf.DUMMYFUNCTION("""COMPUTED_VALUE"""),"獎狀")</f>
        <v>獎狀</v>
      </c>
      <c r="H1016" s="8"/>
    </row>
    <row r="1017">
      <c r="A1017" s="18"/>
      <c r="B1017" s="14">
        <f>IFERROR(__xludf.DUMMYFUNCTION("""COMPUTED_VALUE"""),1189945.0)</f>
        <v>1189945</v>
      </c>
      <c r="C1017" s="14" t="str">
        <f>IFERROR(__xludf.DUMMYFUNCTION("""COMPUTED_VALUE"""),"游秉橙")</f>
        <v>游秉橙</v>
      </c>
      <c r="D1017" s="16" t="str">
        <f>IFERROR(__xludf.DUMMYFUNCTION("""COMPUTED_VALUE"""),"osc*****514@gmail.com")</f>
        <v>osc*****514@gmail.com</v>
      </c>
      <c r="E1017" s="17" t="str">
        <f>IFERROR(__xludf.DUMMYFUNCTION("""COMPUTED_VALUE"""),"新竹市東區東園國民小學")</f>
        <v>新竹市東區東園國民小學</v>
      </c>
      <c r="F1017" s="14" t="str">
        <f>IFERROR(__xludf.DUMMYFUNCTION("""COMPUTED_VALUE"""),"三年級")</f>
        <v>三年級</v>
      </c>
      <c r="G1017" s="14" t="str">
        <f>IFERROR(__xludf.DUMMYFUNCTION("""COMPUTED_VALUE"""),"獎狀")</f>
        <v>獎狀</v>
      </c>
      <c r="H1017" s="8"/>
    </row>
    <row r="1018">
      <c r="A1018" s="18"/>
      <c r="B1018" s="14">
        <f>IFERROR(__xludf.DUMMYFUNCTION("""COMPUTED_VALUE"""),1165161.0)</f>
        <v>1165161</v>
      </c>
      <c r="C1018" s="14" t="str">
        <f>IFERROR(__xludf.DUMMYFUNCTION("""COMPUTED_VALUE"""),"徐珮宸")</f>
        <v>徐珮宸</v>
      </c>
      <c r="D1018" s="16" t="str">
        <f>IFERROR(__xludf.DUMMYFUNCTION("""COMPUTED_VALUE"""),"hyc*****an@gmail.com")</f>
        <v>hyc*****an@gmail.com</v>
      </c>
      <c r="E1018" s="17" t="str">
        <f>IFERROR(__xludf.DUMMYFUNCTION("""COMPUTED_VALUE"""),"新竹市東區東園國民小學")</f>
        <v>新竹市東區東園國民小學</v>
      </c>
      <c r="F1018" s="14" t="str">
        <f>IFERROR(__xludf.DUMMYFUNCTION("""COMPUTED_VALUE"""),"三年級")</f>
        <v>三年級</v>
      </c>
      <c r="G1018" s="14" t="str">
        <f>IFERROR(__xludf.DUMMYFUNCTION("""COMPUTED_VALUE"""),"●小禮物")</f>
        <v>●小禮物</v>
      </c>
      <c r="H1018" s="8"/>
    </row>
    <row r="1019">
      <c r="A1019" s="18"/>
      <c r="B1019" s="14">
        <f>IFERROR(__xludf.DUMMYFUNCTION("""COMPUTED_VALUE"""),907128.0)</f>
        <v>907128</v>
      </c>
      <c r="C1019" s="14" t="str">
        <f>IFERROR(__xludf.DUMMYFUNCTION("""COMPUTED_VALUE"""),"黃予彤")</f>
        <v>黃予彤</v>
      </c>
      <c r="D1019" s="16" t="str">
        <f>IFERROR(__xludf.DUMMYFUNCTION("""COMPUTED_VALUE"""),"yut*****08.hc@mail.edu.tw")</f>
        <v>yut*****08.hc@mail.edu.tw</v>
      </c>
      <c r="E1019" s="17" t="str">
        <f>IFERROR(__xludf.DUMMYFUNCTION("""COMPUTED_VALUE"""),"新竹市東區東園國民小學")</f>
        <v>新竹市東區東園國民小學</v>
      </c>
      <c r="F1019" s="14" t="str">
        <f>IFERROR(__xludf.DUMMYFUNCTION("""COMPUTED_VALUE"""),"四年級")</f>
        <v>四年級</v>
      </c>
      <c r="G1019" s="14" t="str">
        <f>IFERROR(__xludf.DUMMYFUNCTION("""COMPUTED_VALUE"""),"●小禮物")</f>
        <v>●小禮物</v>
      </c>
      <c r="H1019" s="8"/>
    </row>
    <row r="1020">
      <c r="A1020" s="18"/>
      <c r="B1020" s="14">
        <f>IFERROR(__xludf.DUMMYFUNCTION("""COMPUTED_VALUE"""),798487.0)</f>
        <v>798487</v>
      </c>
      <c r="C1020" s="14" t="str">
        <f>IFERROR(__xludf.DUMMYFUNCTION("""COMPUTED_VALUE"""),"何唯瑄")</f>
        <v>何唯瑄</v>
      </c>
      <c r="D1020" s="16" t="str">
        <f>IFERROR(__xludf.DUMMYFUNCTION("""COMPUTED_VALUE"""),"bon*****mail.com")</f>
        <v>bon*****mail.com</v>
      </c>
      <c r="E1020" s="17" t="str">
        <f>IFERROR(__xludf.DUMMYFUNCTION("""COMPUTED_VALUE"""),"新竹市東區東園國民小學")</f>
        <v>新竹市東區東園國民小學</v>
      </c>
      <c r="F1020" s="14" t="str">
        <f>IFERROR(__xludf.DUMMYFUNCTION("""COMPUTED_VALUE"""),"四年級")</f>
        <v>四年級</v>
      </c>
      <c r="G1020" s="14" t="str">
        <f>IFERROR(__xludf.DUMMYFUNCTION("""COMPUTED_VALUE"""),"獎狀")</f>
        <v>獎狀</v>
      </c>
      <c r="H1020" s="8"/>
    </row>
    <row r="1021">
      <c r="A1021" s="18"/>
      <c r="B1021" s="14">
        <f>IFERROR(__xludf.DUMMYFUNCTION("""COMPUTED_VALUE"""),1038664.0)</f>
        <v>1038664</v>
      </c>
      <c r="C1021" s="14" t="str">
        <f>IFERROR(__xludf.DUMMYFUNCTION("""COMPUTED_VALUE"""),"黃宥凝")</f>
        <v>黃宥凝</v>
      </c>
      <c r="D1021" s="16" t="str">
        <f>IFERROR(__xludf.DUMMYFUNCTION("""COMPUTED_VALUE"""),"sof*****ng0810@mail.edu.tw")</f>
        <v>sof*****ng0810@mail.edu.tw</v>
      </c>
      <c r="E1021" s="17" t="str">
        <f>IFERROR(__xludf.DUMMYFUNCTION("""COMPUTED_VALUE"""),"新竹市東區東園國民小學")</f>
        <v>新竹市東區東園國民小學</v>
      </c>
      <c r="F1021" s="14" t="str">
        <f>IFERROR(__xludf.DUMMYFUNCTION("""COMPUTED_VALUE"""),"四年級")</f>
        <v>四年級</v>
      </c>
      <c r="G1021" s="14" t="str">
        <f>IFERROR(__xludf.DUMMYFUNCTION("""COMPUTED_VALUE"""),"●小禮物")</f>
        <v>●小禮物</v>
      </c>
      <c r="H1021" s="8"/>
    </row>
    <row r="1022">
      <c r="A1022" s="18"/>
      <c r="B1022" s="14">
        <f>IFERROR(__xludf.DUMMYFUNCTION("""COMPUTED_VALUE"""),897544.0)</f>
        <v>897544</v>
      </c>
      <c r="C1022" s="14" t="str">
        <f>IFERROR(__xludf.DUMMYFUNCTION("""COMPUTED_VALUE"""),"許雯淇")</f>
        <v>許雯淇</v>
      </c>
      <c r="D1022" s="16" t="str">
        <f>IFERROR(__xludf.DUMMYFUNCTION("""COMPUTED_VALUE"""),"kik*****u0512@gmail.com")</f>
        <v>kik*****u0512@gmail.com</v>
      </c>
      <c r="E1022" s="17" t="str">
        <f>IFERROR(__xludf.DUMMYFUNCTION("""COMPUTED_VALUE"""),"新竹市東區東園國民小學")</f>
        <v>新竹市東區東園國民小學</v>
      </c>
      <c r="F1022" s="14" t="str">
        <f>IFERROR(__xludf.DUMMYFUNCTION("""COMPUTED_VALUE"""),"四年級")</f>
        <v>四年級</v>
      </c>
      <c r="G1022" s="14" t="str">
        <f>IFERROR(__xludf.DUMMYFUNCTION("""COMPUTED_VALUE"""),"獎狀")</f>
        <v>獎狀</v>
      </c>
      <c r="H1022" s="8"/>
    </row>
    <row r="1023">
      <c r="A1023" s="18"/>
      <c r="B1023" s="14">
        <f>IFERROR(__xludf.DUMMYFUNCTION("""COMPUTED_VALUE"""),539844.0)</f>
        <v>539844</v>
      </c>
      <c r="C1023" s="14" t="str">
        <f>IFERROR(__xludf.DUMMYFUNCTION("""COMPUTED_VALUE"""),"陳律丞")</f>
        <v>陳律丞</v>
      </c>
      <c r="D1023" s="16" t="str">
        <f>IFERROR(__xludf.DUMMYFUNCTION("""COMPUTED_VALUE"""),"sup*****tweb.tw")</f>
        <v>sup*****tweb.tw</v>
      </c>
      <c r="E1023" s="17" t="str">
        <f>IFERROR(__xludf.DUMMYFUNCTION("""COMPUTED_VALUE"""),"新竹市東區東園國民小學")</f>
        <v>新竹市東區東園國民小學</v>
      </c>
      <c r="F1023" s="14" t="str">
        <f>IFERROR(__xludf.DUMMYFUNCTION("""COMPUTED_VALUE"""),"五年級")</f>
        <v>五年級</v>
      </c>
      <c r="G1023" s="14" t="str">
        <f>IFERROR(__xludf.DUMMYFUNCTION("""COMPUTED_VALUE"""),"●小禮物")</f>
        <v>●小禮物</v>
      </c>
      <c r="H1023" s="8"/>
    </row>
    <row r="1024">
      <c r="A1024" s="18"/>
      <c r="B1024" s="14">
        <f>IFERROR(__xludf.DUMMYFUNCTION("""COMPUTED_VALUE"""),708469.0)</f>
        <v>708469</v>
      </c>
      <c r="C1024" s="14" t="str">
        <f>IFERROR(__xludf.DUMMYFUNCTION("""COMPUTED_VALUE"""),"蔡安庭")</f>
        <v>蔡安庭</v>
      </c>
      <c r="D1024" s="16" t="str">
        <f>IFERROR(__xludf.DUMMYFUNCTION("""COMPUTED_VALUE"""),"ant*****aiat@gmail.com")</f>
        <v>ant*****aiat@gmail.com</v>
      </c>
      <c r="E1024" s="17" t="str">
        <f>IFERROR(__xludf.DUMMYFUNCTION("""COMPUTED_VALUE"""),"新竹市東區東園國民小學")</f>
        <v>新竹市東區東園國民小學</v>
      </c>
      <c r="F1024" s="14" t="str">
        <f>IFERROR(__xludf.DUMMYFUNCTION("""COMPUTED_VALUE"""),"五年級")</f>
        <v>五年級</v>
      </c>
      <c r="G1024" s="14" t="str">
        <f>IFERROR(__xludf.DUMMYFUNCTION("""COMPUTED_VALUE"""),"獎狀")</f>
        <v>獎狀</v>
      </c>
      <c r="H1024" s="8"/>
    </row>
    <row r="1025">
      <c r="A1025" s="18"/>
      <c r="B1025" s="14">
        <f>IFERROR(__xludf.DUMMYFUNCTION("""COMPUTED_VALUE"""),488055.0)</f>
        <v>488055</v>
      </c>
      <c r="C1025" s="14" t="str">
        <f>IFERROR(__xludf.DUMMYFUNCTION("""COMPUTED_VALUE"""),"陸亮穎")</f>
        <v>陸亮穎</v>
      </c>
      <c r="D1025" s="16" t="str">
        <f>IFERROR(__xludf.DUMMYFUNCTION("""COMPUTED_VALUE"""),"sop*****23.hc@mail.edu.tw")</f>
        <v>sop*****23.hc@mail.edu.tw</v>
      </c>
      <c r="E1025" s="17" t="str">
        <f>IFERROR(__xludf.DUMMYFUNCTION("""COMPUTED_VALUE"""),"新竹市東區東園國民小學")</f>
        <v>新竹市東區東園國民小學</v>
      </c>
      <c r="F1025" s="14" t="str">
        <f>IFERROR(__xludf.DUMMYFUNCTION("""COMPUTED_VALUE"""),"六年級")</f>
        <v>六年級</v>
      </c>
      <c r="G1025" s="14" t="str">
        <f>IFERROR(__xludf.DUMMYFUNCTION("""COMPUTED_VALUE"""),"獎狀")</f>
        <v>獎狀</v>
      </c>
      <c r="H1025" s="8"/>
    </row>
    <row r="1026">
      <c r="A1026" s="18"/>
      <c r="B1026" s="14">
        <f>IFERROR(__xludf.DUMMYFUNCTION("""COMPUTED_VALUE"""),1130976.0)</f>
        <v>1130976</v>
      </c>
      <c r="C1026" s="14" t="str">
        <f>IFERROR(__xludf.DUMMYFUNCTION("""COMPUTED_VALUE"""),"尤品媛")</f>
        <v>尤品媛</v>
      </c>
      <c r="D1026" s="16" t="str">
        <f>IFERROR(__xludf.DUMMYFUNCTION("""COMPUTED_VALUE"""),"sar*****5.hc@mail.edu.tw")</f>
        <v>sar*****5.hc@mail.edu.tw</v>
      </c>
      <c r="E1026" s="17" t="str">
        <f>IFERROR(__xludf.DUMMYFUNCTION("""COMPUTED_VALUE"""),"新竹市東區東園國民小學")</f>
        <v>新竹市東區東園國民小學</v>
      </c>
      <c r="F1026" s="14" t="str">
        <f>IFERROR(__xludf.DUMMYFUNCTION("""COMPUTED_VALUE"""),"六年級")</f>
        <v>六年級</v>
      </c>
      <c r="G1026" s="14" t="str">
        <f>IFERROR(__xludf.DUMMYFUNCTION("""COMPUTED_VALUE"""),"獎狀")</f>
        <v>獎狀</v>
      </c>
      <c r="H1026" s="8"/>
    </row>
    <row r="1027">
      <c r="A1027" s="18"/>
      <c r="B1027" s="14">
        <f>IFERROR(__xludf.DUMMYFUNCTION("""COMPUTED_VALUE"""),1091170.0)</f>
        <v>1091170</v>
      </c>
      <c r="C1027" s="14" t="str">
        <f>IFERROR(__xludf.DUMMYFUNCTION("""COMPUTED_VALUE"""),"陳羿安")</f>
        <v>陳羿安</v>
      </c>
      <c r="D1027" s="16" t="str">
        <f>IFERROR(__xludf.DUMMYFUNCTION("""COMPUTED_VALUE"""),"ian*****999@mail.edu.tw")</f>
        <v>ian*****999@mail.edu.tw</v>
      </c>
      <c r="E1027" s="17" t="str">
        <f>IFERROR(__xludf.DUMMYFUNCTION("""COMPUTED_VALUE"""),"新竹市東區關埔國民小學")</f>
        <v>新竹市東區關埔國民小學</v>
      </c>
      <c r="F1027" s="14" t="str">
        <f>IFERROR(__xludf.DUMMYFUNCTION("""COMPUTED_VALUE"""),"三年級")</f>
        <v>三年級</v>
      </c>
      <c r="G1027" s="14" t="str">
        <f>IFERROR(__xludf.DUMMYFUNCTION("""COMPUTED_VALUE"""),"●小禮物")</f>
        <v>●小禮物</v>
      </c>
      <c r="H1027" s="8"/>
    </row>
    <row r="1028">
      <c r="A1028" s="18"/>
      <c r="B1028" s="14">
        <f>IFERROR(__xludf.DUMMYFUNCTION("""COMPUTED_VALUE"""),700357.0)</f>
        <v>700357</v>
      </c>
      <c r="C1028" s="14" t="str">
        <f>IFERROR(__xludf.DUMMYFUNCTION("""COMPUTED_VALUE"""),"王顥翔")</f>
        <v>王顥翔</v>
      </c>
      <c r="D1028" s="16" t="str">
        <f>IFERROR(__xludf.DUMMYFUNCTION("""COMPUTED_VALUE"""),"tob*****@mail.edu.tw")</f>
        <v>tob*****@mail.edu.tw</v>
      </c>
      <c r="E1028" s="17" t="str">
        <f>IFERROR(__xludf.DUMMYFUNCTION("""COMPUTED_VALUE"""),"新竹市東區關埔國民小學")</f>
        <v>新竹市東區關埔國民小學</v>
      </c>
      <c r="F1028" s="14" t="str">
        <f>IFERROR(__xludf.DUMMYFUNCTION("""COMPUTED_VALUE"""),"三年級")</f>
        <v>三年級</v>
      </c>
      <c r="G1028" s="14" t="str">
        <f>IFERROR(__xludf.DUMMYFUNCTION("""COMPUTED_VALUE"""),"獎狀")</f>
        <v>獎狀</v>
      </c>
      <c r="H1028" s="8"/>
    </row>
    <row r="1029">
      <c r="A1029" s="18"/>
      <c r="B1029" s="14">
        <f>IFERROR(__xludf.DUMMYFUNCTION("""COMPUTED_VALUE"""),848622.0)</f>
        <v>848622</v>
      </c>
      <c r="C1029" s="14" t="str">
        <f>IFERROR(__xludf.DUMMYFUNCTION("""COMPUTED_VALUE"""),"范翀寧")</f>
        <v>范翀寧</v>
      </c>
      <c r="D1029" s="16" t="str">
        <f>IFERROR(__xludf.DUMMYFUNCTION("""COMPUTED_VALUE"""),"ton*****.hc@mail.edu.tw")</f>
        <v>ton*****.hc@mail.edu.tw</v>
      </c>
      <c r="E1029" s="17" t="str">
        <f>IFERROR(__xludf.DUMMYFUNCTION("""COMPUTED_VALUE"""),"新竹市東區關埔國民小學")</f>
        <v>新竹市東區關埔國民小學</v>
      </c>
      <c r="F1029" s="14" t="str">
        <f>IFERROR(__xludf.DUMMYFUNCTION("""COMPUTED_VALUE"""),"四年級")</f>
        <v>四年級</v>
      </c>
      <c r="G1029" s="14" t="str">
        <f>IFERROR(__xludf.DUMMYFUNCTION("""COMPUTED_VALUE"""),"獎狀")</f>
        <v>獎狀</v>
      </c>
      <c r="H1029" s="8"/>
    </row>
    <row r="1030">
      <c r="A1030" s="18"/>
      <c r="B1030" s="14">
        <f>IFERROR(__xludf.DUMMYFUNCTION("""COMPUTED_VALUE"""),619724.0)</f>
        <v>619724</v>
      </c>
      <c r="C1030" s="14" t="str">
        <f>IFERROR(__xludf.DUMMYFUNCTION("""COMPUTED_VALUE"""),"林楷軒")</f>
        <v>林楷軒</v>
      </c>
      <c r="D1030" s="16" t="str">
        <f>IFERROR(__xludf.DUMMYFUNCTION("""COMPUTED_VALUE"""),"kay*****13@smail.hc.edu.tw")</f>
        <v>kay*****13@smail.hc.edu.tw</v>
      </c>
      <c r="E1030" s="17" t="str">
        <f>IFERROR(__xludf.DUMMYFUNCTION("""COMPUTED_VALUE"""),"新竹市東區關埔國民小學")</f>
        <v>新竹市東區關埔國民小學</v>
      </c>
      <c r="F1030" s="14" t="str">
        <f>IFERROR(__xludf.DUMMYFUNCTION("""COMPUTED_VALUE"""),"五年級")</f>
        <v>五年級</v>
      </c>
      <c r="G1030" s="14" t="str">
        <f>IFERROR(__xludf.DUMMYFUNCTION("""COMPUTED_VALUE"""),"獎狀")</f>
        <v>獎狀</v>
      </c>
      <c r="H1030" s="8"/>
    </row>
    <row r="1031">
      <c r="A1031" s="18"/>
      <c r="B1031" s="14">
        <f>IFERROR(__xludf.DUMMYFUNCTION("""COMPUTED_VALUE"""),864363.0)</f>
        <v>864363</v>
      </c>
      <c r="C1031" s="14" t="str">
        <f>IFERROR(__xludf.DUMMYFUNCTION("""COMPUTED_VALUE"""),"傅室善")</f>
        <v>傅室善</v>
      </c>
      <c r="D1031" s="16" t="str">
        <f>IFERROR(__xludf.DUMMYFUNCTION("""COMPUTED_VALUE"""),"raf*****8.hc@mail.edu.tw")</f>
        <v>raf*****8.hc@mail.edu.tw</v>
      </c>
      <c r="E1031" s="17" t="str">
        <f>IFERROR(__xludf.DUMMYFUNCTION("""COMPUTED_VALUE"""),"新竹市東區關埔國民小學")</f>
        <v>新竹市東區關埔國民小學</v>
      </c>
      <c r="F1031" s="14" t="str">
        <f>IFERROR(__xludf.DUMMYFUNCTION("""COMPUTED_VALUE"""),"五年級")</f>
        <v>五年級</v>
      </c>
      <c r="G1031" s="14" t="str">
        <f>IFERROR(__xludf.DUMMYFUNCTION("""COMPUTED_VALUE"""),"獎狀")</f>
        <v>獎狀</v>
      </c>
      <c r="H1031" s="8"/>
    </row>
    <row r="1032">
      <c r="A1032" s="18"/>
      <c r="B1032" s="14">
        <f>IFERROR(__xludf.DUMMYFUNCTION("""COMPUTED_VALUE"""),327216.0)</f>
        <v>327216</v>
      </c>
      <c r="C1032" s="14" t="str">
        <f>IFERROR(__xludf.DUMMYFUNCTION("""COMPUTED_VALUE"""),"王顥學")</f>
        <v>王顥學</v>
      </c>
      <c r="D1032" s="16" t="str">
        <f>IFERROR(__xludf.DUMMYFUNCTION("""COMPUTED_VALUE"""),"mil*****@mail.edu.tw")</f>
        <v>mil*****@mail.edu.tw</v>
      </c>
      <c r="E1032" s="17" t="str">
        <f>IFERROR(__xludf.DUMMYFUNCTION("""COMPUTED_VALUE"""),"新竹市東區關埔國民小學")</f>
        <v>新竹市東區關埔國民小學</v>
      </c>
      <c r="F1032" s="14" t="str">
        <f>IFERROR(__xludf.DUMMYFUNCTION("""COMPUTED_VALUE"""),"五年級")</f>
        <v>五年級</v>
      </c>
      <c r="G1032" s="14" t="str">
        <f>IFERROR(__xludf.DUMMYFUNCTION("""COMPUTED_VALUE"""),"獎狀")</f>
        <v>獎狀</v>
      </c>
      <c r="H1032" s="8"/>
    </row>
    <row r="1033">
      <c r="A1033" s="18"/>
      <c r="B1033" s="14">
        <f>IFERROR(__xludf.DUMMYFUNCTION("""COMPUTED_VALUE"""),970711.0)</f>
        <v>970711</v>
      </c>
      <c r="C1033" s="14" t="str">
        <f>IFERROR(__xludf.DUMMYFUNCTION("""COMPUTED_VALUE"""),"顏鈺碩")</f>
        <v>顏鈺碩</v>
      </c>
      <c r="D1033" s="16" t="str">
        <f>IFERROR(__xludf.DUMMYFUNCTION("""COMPUTED_VALUE"""),"ton*****.hc@mail.edu.tw")</f>
        <v>ton*****.hc@mail.edu.tw</v>
      </c>
      <c r="E1033" s="17" t="str">
        <f>IFERROR(__xludf.DUMMYFUNCTION("""COMPUTED_VALUE"""),"新竹市東區關埔國民小學")</f>
        <v>新竹市東區關埔國民小學</v>
      </c>
      <c r="F1033" s="14" t="str">
        <f>IFERROR(__xludf.DUMMYFUNCTION("""COMPUTED_VALUE"""),"五年級")</f>
        <v>五年級</v>
      </c>
      <c r="G1033" s="14" t="str">
        <f>IFERROR(__xludf.DUMMYFUNCTION("""COMPUTED_VALUE"""),"獎狀")</f>
        <v>獎狀</v>
      </c>
      <c r="H1033" s="8"/>
    </row>
    <row r="1034">
      <c r="A1034" s="18"/>
      <c r="B1034" s="14">
        <f>IFERROR(__xludf.DUMMYFUNCTION("""COMPUTED_VALUE"""),653467.0)</f>
        <v>653467</v>
      </c>
      <c r="C1034" s="14" t="str">
        <f>IFERROR(__xludf.DUMMYFUNCTION("""COMPUTED_VALUE"""),"陳琮和")</f>
        <v>陳琮和</v>
      </c>
      <c r="D1034" s="16" t="str">
        <f>IFERROR(__xludf.DUMMYFUNCTION("""COMPUTED_VALUE"""),"thc*****99@mail.edu.tw")</f>
        <v>thc*****99@mail.edu.tw</v>
      </c>
      <c r="E1034" s="17" t="str">
        <f>IFERROR(__xludf.DUMMYFUNCTION("""COMPUTED_VALUE"""),"新竹市東區關埔國民小學")</f>
        <v>新竹市東區關埔國民小學</v>
      </c>
      <c r="F1034" s="14" t="str">
        <f>IFERROR(__xludf.DUMMYFUNCTION("""COMPUTED_VALUE"""),"五年級")</f>
        <v>五年級</v>
      </c>
      <c r="G1034" s="14" t="str">
        <f>IFERROR(__xludf.DUMMYFUNCTION("""COMPUTED_VALUE"""),"●小禮物")</f>
        <v>●小禮物</v>
      </c>
      <c r="H1034" s="8"/>
    </row>
    <row r="1035">
      <c r="A1035" s="18"/>
      <c r="B1035" s="14">
        <f>IFERROR(__xludf.DUMMYFUNCTION("""COMPUTED_VALUE"""),1187250.0)</f>
        <v>1187250</v>
      </c>
      <c r="C1035" s="14" t="str">
        <f>IFERROR(__xludf.DUMMYFUNCTION("""COMPUTED_VALUE"""),"李恩宇")</f>
        <v>李恩宇</v>
      </c>
      <c r="D1035" s="16" t="str">
        <f>IFERROR(__xludf.DUMMYFUNCTION("""COMPUTED_VALUE"""),"lmi*****1.hc@mail.edu.tw")</f>
        <v>lmi*****1.hc@mail.edu.tw</v>
      </c>
      <c r="E1035" s="17" t="str">
        <f>IFERROR(__xludf.DUMMYFUNCTION("""COMPUTED_VALUE"""),"新竹市東區關東國民小學")</f>
        <v>新竹市東區關東國民小學</v>
      </c>
      <c r="F1035" s="14" t="str">
        <f>IFERROR(__xludf.DUMMYFUNCTION("""COMPUTED_VALUE"""),"三年級")</f>
        <v>三年級</v>
      </c>
      <c r="G1035" s="14" t="str">
        <f>IFERROR(__xludf.DUMMYFUNCTION("""COMPUTED_VALUE"""),"獎狀")</f>
        <v>獎狀</v>
      </c>
      <c r="H1035" s="8"/>
    </row>
    <row r="1036">
      <c r="A1036" s="18"/>
      <c r="B1036" s="14">
        <f>IFERROR(__xludf.DUMMYFUNCTION("""COMPUTED_VALUE"""),951620.0)</f>
        <v>951620</v>
      </c>
      <c r="C1036" s="14" t="str">
        <f>IFERROR(__xludf.DUMMYFUNCTION("""COMPUTED_VALUE"""),"陳湘嵐")</f>
        <v>陳湘嵐</v>
      </c>
      <c r="D1036" s="16" t="str">
        <f>IFERROR(__xludf.DUMMYFUNCTION("""COMPUTED_VALUE"""),"che*****.hc@mail.edu.tw")</f>
        <v>che*****.hc@mail.edu.tw</v>
      </c>
      <c r="E1036" s="17" t="str">
        <f>IFERROR(__xludf.DUMMYFUNCTION("""COMPUTED_VALUE"""),"新竹市東區關東國民小學")</f>
        <v>新竹市東區關東國民小學</v>
      </c>
      <c r="F1036" s="14" t="str">
        <f>IFERROR(__xludf.DUMMYFUNCTION("""COMPUTED_VALUE"""),"四年級")</f>
        <v>四年級</v>
      </c>
      <c r="G1036" s="14" t="str">
        <f>IFERROR(__xludf.DUMMYFUNCTION("""COMPUTED_VALUE"""),"●小禮物")</f>
        <v>●小禮物</v>
      </c>
      <c r="H1036" s="8"/>
    </row>
    <row r="1037">
      <c r="A1037" s="18"/>
      <c r="B1037" s="14">
        <f>IFERROR(__xludf.DUMMYFUNCTION("""COMPUTED_VALUE"""),838932.0)</f>
        <v>838932</v>
      </c>
      <c r="C1037" s="14" t="str">
        <f>IFERROR(__xludf.DUMMYFUNCTION("""COMPUTED_VALUE"""),"盧禹臻")</f>
        <v>盧禹臻</v>
      </c>
      <c r="D1037" s="16" t="str">
        <f>IFERROR(__xludf.DUMMYFUNCTION("""COMPUTED_VALUE"""),"jan*****.hc@mail.edu.tw")</f>
        <v>jan*****.hc@mail.edu.tw</v>
      </c>
      <c r="E1037" s="17" t="str">
        <f>IFERROR(__xludf.DUMMYFUNCTION("""COMPUTED_VALUE"""),"新竹市東區關東國民小學")</f>
        <v>新竹市東區關東國民小學</v>
      </c>
      <c r="F1037" s="14" t="str">
        <f>IFERROR(__xludf.DUMMYFUNCTION("""COMPUTED_VALUE"""),"四年級")</f>
        <v>四年級</v>
      </c>
      <c r="G1037" s="14" t="str">
        <f>IFERROR(__xludf.DUMMYFUNCTION("""COMPUTED_VALUE"""),"獎狀")</f>
        <v>獎狀</v>
      </c>
      <c r="H1037" s="8"/>
    </row>
    <row r="1038">
      <c r="A1038" s="18"/>
      <c r="B1038" s="14">
        <f>IFERROR(__xludf.DUMMYFUNCTION("""COMPUTED_VALUE"""),951602.0)</f>
        <v>951602</v>
      </c>
      <c r="C1038" s="14" t="str">
        <f>IFERROR(__xludf.DUMMYFUNCTION("""COMPUTED_VALUE"""),"陳湘云")</f>
        <v>陳湘云</v>
      </c>
      <c r="D1038" s="16" t="str">
        <f>IFERROR(__xludf.DUMMYFUNCTION("""COMPUTED_VALUE"""),"jen*****1.hc@mail.edu.tw")</f>
        <v>jen*****1.hc@mail.edu.tw</v>
      </c>
      <c r="E1038" s="17" t="str">
        <f>IFERROR(__xludf.DUMMYFUNCTION("""COMPUTED_VALUE"""),"新竹市東區關東國民小學")</f>
        <v>新竹市東區關東國民小學</v>
      </c>
      <c r="F1038" s="14" t="str">
        <f>IFERROR(__xludf.DUMMYFUNCTION("""COMPUTED_VALUE"""),"五年級")</f>
        <v>五年級</v>
      </c>
      <c r="G1038" s="14" t="str">
        <f>IFERROR(__xludf.DUMMYFUNCTION("""COMPUTED_VALUE"""),"獎狀")</f>
        <v>獎狀</v>
      </c>
      <c r="H1038" s="8"/>
    </row>
    <row r="1039">
      <c r="A1039" s="18"/>
      <c r="B1039" s="14">
        <f>IFERROR(__xludf.DUMMYFUNCTION("""COMPUTED_VALUE"""),517630.0)</f>
        <v>517630</v>
      </c>
      <c r="C1039" s="14" t="str">
        <f>IFERROR(__xludf.DUMMYFUNCTION("""COMPUTED_VALUE"""),"李彥岑")</f>
        <v>李彥岑</v>
      </c>
      <c r="D1039" s="16" t="str">
        <f>IFERROR(__xludf.DUMMYFUNCTION("""COMPUTED_VALUE"""),"lum*****.hc@mail.edu.tw")</f>
        <v>lum*****.hc@mail.edu.tw</v>
      </c>
      <c r="E1039" s="17" t="str">
        <f>IFERROR(__xludf.DUMMYFUNCTION("""COMPUTED_VALUE"""),"新竹市東區關東國民小學")</f>
        <v>新竹市東區關東國民小學</v>
      </c>
      <c r="F1039" s="14" t="str">
        <f>IFERROR(__xludf.DUMMYFUNCTION("""COMPUTED_VALUE"""),"五年級")</f>
        <v>五年級</v>
      </c>
      <c r="G1039" s="14" t="str">
        <f>IFERROR(__xludf.DUMMYFUNCTION("""COMPUTED_VALUE"""),"獎狀")</f>
        <v>獎狀</v>
      </c>
      <c r="H1039" s="8"/>
    </row>
    <row r="1040">
      <c r="A1040" s="18"/>
      <c r="B1040" s="14">
        <f>IFERROR(__xludf.DUMMYFUNCTION("""COMPUTED_VALUE"""),531317.0)</f>
        <v>531317</v>
      </c>
      <c r="C1040" s="14" t="str">
        <f>IFERROR(__xludf.DUMMYFUNCTION("""COMPUTED_VALUE"""),"陳詠涵")</f>
        <v>陳詠涵</v>
      </c>
      <c r="D1040" s="16" t="str">
        <f>IFERROR(__xludf.DUMMYFUNCTION("""COMPUTED_VALUE"""),"kei*****0.hc@mail.edu.tw")</f>
        <v>kei*****0.hc@mail.edu.tw</v>
      </c>
      <c r="E1040" s="17" t="str">
        <f>IFERROR(__xludf.DUMMYFUNCTION("""COMPUTED_VALUE"""),"新竹市東區關東國民小學")</f>
        <v>新竹市東區關東國民小學</v>
      </c>
      <c r="F1040" s="14" t="str">
        <f>IFERROR(__xludf.DUMMYFUNCTION("""COMPUTED_VALUE"""),"五年級")</f>
        <v>五年級</v>
      </c>
      <c r="G1040" s="14" t="str">
        <f>IFERROR(__xludf.DUMMYFUNCTION("""COMPUTED_VALUE"""),"獎狀")</f>
        <v>獎狀</v>
      </c>
      <c r="H1040" s="8"/>
    </row>
    <row r="1041">
      <c r="A1041" s="18"/>
      <c r="B1041" s="14">
        <f>IFERROR(__xludf.DUMMYFUNCTION("""COMPUTED_VALUE"""),824554.0)</f>
        <v>824554</v>
      </c>
      <c r="C1041" s="14" t="str">
        <f>IFERROR(__xludf.DUMMYFUNCTION("""COMPUTED_VALUE"""),"簡丞彥")</f>
        <v>簡丞彥</v>
      </c>
      <c r="D1041" s="16" t="str">
        <f>IFERROR(__xludf.DUMMYFUNCTION("""COMPUTED_VALUE"""),"eks*****2.hc@mail.edu.tw")</f>
        <v>eks*****2.hc@mail.edu.tw</v>
      </c>
      <c r="E1041" s="17" t="str">
        <f>IFERROR(__xludf.DUMMYFUNCTION("""COMPUTED_VALUE"""),"新竹市東區關東國民小學")</f>
        <v>新竹市東區關東國民小學</v>
      </c>
      <c r="F1041" s="14" t="str">
        <f>IFERROR(__xludf.DUMMYFUNCTION("""COMPUTED_VALUE"""),"五年級")</f>
        <v>五年級</v>
      </c>
      <c r="G1041" s="14" t="str">
        <f>IFERROR(__xludf.DUMMYFUNCTION("""COMPUTED_VALUE"""),"獎狀")</f>
        <v>獎狀</v>
      </c>
      <c r="H1041" s="8"/>
    </row>
    <row r="1042">
      <c r="A1042" s="18"/>
      <c r="B1042" s="14">
        <f>IFERROR(__xludf.DUMMYFUNCTION("""COMPUTED_VALUE"""),873238.0)</f>
        <v>873238</v>
      </c>
      <c r="C1042" s="14" t="str">
        <f>IFERROR(__xludf.DUMMYFUNCTION("""COMPUTED_VALUE"""),"莊媛鈞")</f>
        <v>莊媛鈞</v>
      </c>
      <c r="D1042" s="16" t="str">
        <f>IFERROR(__xludf.DUMMYFUNCTION("""COMPUTED_VALUE"""),"ell*****@smail.hc.edu.tw")</f>
        <v>ell*****@smail.hc.edu.tw</v>
      </c>
      <c r="E1042" s="17" t="str">
        <f>IFERROR(__xludf.DUMMYFUNCTION("""COMPUTED_VALUE"""),"新竹市東區關東國民小學")</f>
        <v>新竹市東區關東國民小學</v>
      </c>
      <c r="F1042" s="14" t="str">
        <f>IFERROR(__xludf.DUMMYFUNCTION("""COMPUTED_VALUE"""),"五年級")</f>
        <v>五年級</v>
      </c>
      <c r="G1042" s="14" t="str">
        <f>IFERROR(__xludf.DUMMYFUNCTION("""COMPUTED_VALUE"""),"★禮券$200")</f>
        <v>★禮券$200</v>
      </c>
      <c r="H1042" s="8"/>
    </row>
    <row r="1043">
      <c r="A1043" s="18"/>
      <c r="B1043" s="14">
        <f>IFERROR(__xludf.DUMMYFUNCTION("""COMPUTED_VALUE"""),515565.0)</f>
        <v>515565</v>
      </c>
      <c r="C1043" s="14" t="str">
        <f>IFERROR(__xludf.DUMMYFUNCTION("""COMPUTED_VALUE"""),"邱善琳")</f>
        <v>邱善琳</v>
      </c>
      <c r="D1043" s="16" t="str">
        <f>IFERROR(__xludf.DUMMYFUNCTION("""COMPUTED_VALUE"""),"nin*****.hc@mail.edu.tw")</f>
        <v>nin*****.hc@mail.edu.tw</v>
      </c>
      <c r="E1043" s="17" t="str">
        <f>IFERROR(__xludf.DUMMYFUNCTION("""COMPUTED_VALUE"""),"新竹市東區關東國民小學")</f>
        <v>新竹市東區關東國民小學</v>
      </c>
      <c r="F1043" s="14" t="str">
        <f>IFERROR(__xludf.DUMMYFUNCTION("""COMPUTED_VALUE"""),"五年級")</f>
        <v>五年級</v>
      </c>
      <c r="G1043" s="14" t="str">
        <f>IFERROR(__xludf.DUMMYFUNCTION("""COMPUTED_VALUE"""),"獎狀")</f>
        <v>獎狀</v>
      </c>
      <c r="H1043" s="8"/>
    </row>
    <row r="1044">
      <c r="A1044" s="18"/>
      <c r="B1044" s="14">
        <f>IFERROR(__xludf.DUMMYFUNCTION("""COMPUTED_VALUE"""),527865.0)</f>
        <v>527865</v>
      </c>
      <c r="C1044" s="14" t="str">
        <f>IFERROR(__xludf.DUMMYFUNCTION("""COMPUTED_VALUE"""),"胡祐欣")</f>
        <v>胡祐欣</v>
      </c>
      <c r="D1044" s="16" t="str">
        <f>IFERROR(__xludf.DUMMYFUNCTION("""COMPUTED_VALUE"""),"ktp*****240@mail.edu.tw")</f>
        <v>ktp*****240@mail.edu.tw</v>
      </c>
      <c r="E1044" s="17" t="str">
        <f>IFERROR(__xludf.DUMMYFUNCTION("""COMPUTED_VALUE"""),"新竹市東區關東國民小學")</f>
        <v>新竹市東區關東國民小學</v>
      </c>
      <c r="F1044" s="14" t="str">
        <f>IFERROR(__xludf.DUMMYFUNCTION("""COMPUTED_VALUE"""),"六年級")</f>
        <v>六年級</v>
      </c>
      <c r="G1044" s="14" t="str">
        <f>IFERROR(__xludf.DUMMYFUNCTION("""COMPUTED_VALUE"""),"●小禮物")</f>
        <v>●小禮物</v>
      </c>
      <c r="H1044" s="8"/>
    </row>
    <row r="1045">
      <c r="A1045" s="18"/>
      <c r="B1045" s="14">
        <f>IFERROR(__xludf.DUMMYFUNCTION("""COMPUTED_VALUE"""),1114663.0)</f>
        <v>1114663</v>
      </c>
      <c r="C1045" s="14" t="str">
        <f>IFERROR(__xludf.DUMMYFUNCTION("""COMPUTED_VALUE"""),"林禾易")</f>
        <v>林禾易</v>
      </c>
      <c r="D1045" s="16" t="str">
        <f>IFERROR(__xludf.DUMMYFUNCTION("""COMPUTED_VALUE"""),"hen*****2.hc@mail.edu.tw")</f>
        <v>hen*****2.hc@mail.edu.tw</v>
      </c>
      <c r="E1045" s="17" t="str">
        <f>IFERROR(__xludf.DUMMYFUNCTION("""COMPUTED_VALUE"""),"新竹市香山區香山國民小學")</f>
        <v>新竹市香山區香山國民小學</v>
      </c>
      <c r="F1045" s="14" t="str">
        <f>IFERROR(__xludf.DUMMYFUNCTION("""COMPUTED_VALUE"""),"三年級")</f>
        <v>三年級</v>
      </c>
      <c r="G1045" s="14" t="str">
        <f>IFERROR(__xludf.DUMMYFUNCTION("""COMPUTED_VALUE"""),"●小禮物")</f>
        <v>●小禮物</v>
      </c>
      <c r="H1045" s="8"/>
    </row>
    <row r="1046">
      <c r="A1046" s="18"/>
      <c r="B1046" s="14">
        <f>IFERROR(__xludf.DUMMYFUNCTION("""COMPUTED_VALUE"""),710888.0)</f>
        <v>710888</v>
      </c>
      <c r="C1046" s="14" t="str">
        <f>IFERROR(__xludf.DUMMYFUNCTION("""COMPUTED_VALUE"""),"林苡晴")</f>
        <v>林苡晴</v>
      </c>
      <c r="D1046" s="16" t="str">
        <f>IFERROR(__xludf.DUMMYFUNCTION("""COMPUTED_VALUE"""),"ari*****4@mail.edu.tw")</f>
        <v>ari*****4@mail.edu.tw</v>
      </c>
      <c r="E1046" s="17" t="str">
        <f>IFERROR(__xludf.DUMMYFUNCTION("""COMPUTED_VALUE"""),"新竹市香山區香山國民小學")</f>
        <v>新竹市香山區香山國民小學</v>
      </c>
      <c r="F1046" s="14" t="str">
        <f>IFERROR(__xludf.DUMMYFUNCTION("""COMPUTED_VALUE"""),"四年級")</f>
        <v>四年級</v>
      </c>
      <c r="G1046" s="14" t="str">
        <f>IFERROR(__xludf.DUMMYFUNCTION("""COMPUTED_VALUE"""),"獎狀")</f>
        <v>獎狀</v>
      </c>
      <c r="H1046" s="8"/>
    </row>
    <row r="1047">
      <c r="A1047" s="18"/>
      <c r="B1047" s="14">
        <f>IFERROR(__xludf.DUMMYFUNCTION("""COMPUTED_VALUE"""),948201.0)</f>
        <v>948201</v>
      </c>
      <c r="C1047" s="14" t="str">
        <f>IFERROR(__xludf.DUMMYFUNCTION("""COMPUTED_VALUE"""),"林禾晉")</f>
        <v>林禾晉</v>
      </c>
      <c r="D1047" s="16" t="str">
        <f>IFERROR(__xludf.DUMMYFUNCTION("""COMPUTED_VALUE"""),"dan*****2.hc@mail.edu.tw")</f>
        <v>dan*****2.hc@mail.edu.tw</v>
      </c>
      <c r="E1047" s="17" t="str">
        <f>IFERROR(__xludf.DUMMYFUNCTION("""COMPUTED_VALUE"""),"新竹市香山區香山國民小學")</f>
        <v>新竹市香山區香山國民小學</v>
      </c>
      <c r="F1047" s="14" t="str">
        <f>IFERROR(__xludf.DUMMYFUNCTION("""COMPUTED_VALUE"""),"五年級")</f>
        <v>五年級</v>
      </c>
      <c r="G1047" s="14" t="str">
        <f>IFERROR(__xludf.DUMMYFUNCTION("""COMPUTED_VALUE"""),"獎狀")</f>
        <v>獎狀</v>
      </c>
      <c r="H1047" s="8"/>
    </row>
    <row r="1048">
      <c r="A1048" s="18"/>
      <c r="B1048" s="14">
        <f>IFERROR(__xludf.DUMMYFUNCTION("""COMPUTED_VALUE"""),560552.0)</f>
        <v>560552</v>
      </c>
      <c r="C1048" s="14" t="str">
        <f>IFERROR(__xludf.DUMMYFUNCTION("""COMPUTED_VALUE"""),"林若辰")</f>
        <v>林若辰</v>
      </c>
      <c r="D1048" s="16" t="str">
        <f>IFERROR(__xludf.DUMMYFUNCTION("""COMPUTED_VALUE"""),"zor*****@mail.edu.tw")</f>
        <v>zor*****@mail.edu.tw</v>
      </c>
      <c r="E1048" s="17" t="str">
        <f>IFERROR(__xludf.DUMMYFUNCTION("""COMPUTED_VALUE"""),"新竹市香山區香山國民小學")</f>
        <v>新竹市香山區香山國民小學</v>
      </c>
      <c r="F1048" s="14" t="str">
        <f>IFERROR(__xludf.DUMMYFUNCTION("""COMPUTED_VALUE"""),"五年級")</f>
        <v>五年級</v>
      </c>
      <c r="G1048" s="14" t="str">
        <f>IFERROR(__xludf.DUMMYFUNCTION("""COMPUTED_VALUE"""),"獎狀")</f>
        <v>獎狀</v>
      </c>
      <c r="H1048" s="8"/>
    </row>
    <row r="1049">
      <c r="A1049" s="18"/>
      <c r="B1049" s="14">
        <f>IFERROR(__xludf.DUMMYFUNCTION("""COMPUTED_VALUE"""),875271.0)</f>
        <v>875271</v>
      </c>
      <c r="C1049" s="14" t="str">
        <f>IFERROR(__xludf.DUMMYFUNCTION("""COMPUTED_VALUE"""),"阮陳湘")</f>
        <v>阮陳湘</v>
      </c>
      <c r="D1049" s="16" t="str">
        <f>IFERROR(__xludf.DUMMYFUNCTION("""COMPUTED_VALUE"""),"ire*****6.hc@mail.edu.tw")</f>
        <v>ire*****6.hc@mail.edu.tw</v>
      </c>
      <c r="E1049" s="17" t="str">
        <f>IFERROR(__xludf.DUMMYFUNCTION("""COMPUTED_VALUE"""),"新竹市香山區虎林國民小學")</f>
        <v>新竹市香山區虎林國民小學</v>
      </c>
      <c r="F1049" s="14" t="str">
        <f>IFERROR(__xludf.DUMMYFUNCTION("""COMPUTED_VALUE"""),"四年級")</f>
        <v>四年級</v>
      </c>
      <c r="G1049" s="14" t="str">
        <f>IFERROR(__xludf.DUMMYFUNCTION("""COMPUTED_VALUE"""),"獎狀")</f>
        <v>獎狀</v>
      </c>
      <c r="H1049" s="8"/>
    </row>
    <row r="1050">
      <c r="A1050" s="18"/>
      <c r="B1050" s="14">
        <f>IFERROR(__xludf.DUMMYFUNCTION("""COMPUTED_VALUE"""),872689.0)</f>
        <v>872689</v>
      </c>
      <c r="C1050" s="14" t="str">
        <f>IFERROR(__xludf.DUMMYFUNCTION("""COMPUTED_VALUE"""),"陳琳絜")</f>
        <v>陳琳絜</v>
      </c>
      <c r="D1050" s="16" t="str">
        <f>IFERROR(__xludf.DUMMYFUNCTION("""COMPUTED_VALUE"""),"heb*****.hc@mail.edu.tw")</f>
        <v>heb*****.hc@mail.edu.tw</v>
      </c>
      <c r="E1050" s="17" t="str">
        <f>IFERROR(__xludf.DUMMYFUNCTION("""COMPUTED_VALUE"""),"新竹市香山區虎林國民小學")</f>
        <v>新竹市香山區虎林國民小學</v>
      </c>
      <c r="F1050" s="14" t="str">
        <f>IFERROR(__xludf.DUMMYFUNCTION("""COMPUTED_VALUE"""),"四年級")</f>
        <v>四年級</v>
      </c>
      <c r="G1050" s="14" t="str">
        <f>IFERROR(__xludf.DUMMYFUNCTION("""COMPUTED_VALUE"""),"●小禮物")</f>
        <v>●小禮物</v>
      </c>
      <c r="H1050" s="8"/>
    </row>
    <row r="1051">
      <c r="A1051" s="18"/>
      <c r="B1051" s="14">
        <f>IFERROR(__xludf.DUMMYFUNCTION("""COMPUTED_VALUE"""),872704.0)</f>
        <v>872704</v>
      </c>
      <c r="C1051" s="14" t="str">
        <f>IFERROR(__xludf.DUMMYFUNCTION("""COMPUTED_VALUE"""),"尹靖銘")</f>
        <v>尹靖銘</v>
      </c>
      <c r="D1051" s="16" t="str">
        <f>IFERROR(__xludf.DUMMYFUNCTION("""COMPUTED_VALUE"""),"jim*****17.hc@mail.edu.tw")</f>
        <v>jim*****17.hc@mail.edu.tw</v>
      </c>
      <c r="E1051" s="17" t="str">
        <f>IFERROR(__xludf.DUMMYFUNCTION("""COMPUTED_VALUE"""),"新竹市香山區虎林國民小學")</f>
        <v>新竹市香山區虎林國民小學</v>
      </c>
      <c r="F1051" s="14" t="str">
        <f>IFERROR(__xludf.DUMMYFUNCTION("""COMPUTED_VALUE"""),"四年級")</f>
        <v>四年級</v>
      </c>
      <c r="G1051" s="14" t="str">
        <f>IFERROR(__xludf.DUMMYFUNCTION("""COMPUTED_VALUE"""),"★禮券$500")</f>
        <v>★禮券$500</v>
      </c>
      <c r="H1051" s="8"/>
    </row>
    <row r="1052">
      <c r="A1052" s="18"/>
      <c r="B1052" s="14">
        <f>IFERROR(__xludf.DUMMYFUNCTION("""COMPUTED_VALUE"""),875418.0)</f>
        <v>875418</v>
      </c>
      <c r="C1052" s="14" t="str">
        <f>IFERROR(__xludf.DUMMYFUNCTION("""COMPUTED_VALUE"""),"張同柔")</f>
        <v>張同柔</v>
      </c>
      <c r="D1052" s="16" t="str">
        <f>IFERROR(__xludf.DUMMYFUNCTION("""COMPUTED_VALUE"""),"zoe*****.hc@mail.edu.tw")</f>
        <v>zoe*****.hc@mail.edu.tw</v>
      </c>
      <c r="E1052" s="17" t="str">
        <f>IFERROR(__xludf.DUMMYFUNCTION("""COMPUTED_VALUE"""),"新竹市香山區虎林國民小學")</f>
        <v>新竹市香山區虎林國民小學</v>
      </c>
      <c r="F1052" s="14" t="str">
        <f>IFERROR(__xludf.DUMMYFUNCTION("""COMPUTED_VALUE"""),"四年級")</f>
        <v>四年級</v>
      </c>
      <c r="G1052" s="14" t="str">
        <f>IFERROR(__xludf.DUMMYFUNCTION("""COMPUTED_VALUE"""),"●小禮物")</f>
        <v>●小禮物</v>
      </c>
      <c r="H1052" s="8"/>
    </row>
    <row r="1053">
      <c r="A1053" s="18"/>
      <c r="B1053" s="14">
        <f>IFERROR(__xludf.DUMMYFUNCTION("""COMPUTED_VALUE"""),875448.0)</f>
        <v>875448</v>
      </c>
      <c r="C1053" s="14" t="str">
        <f>IFERROR(__xludf.DUMMYFUNCTION("""COMPUTED_VALUE"""),"蘇亮慈")</f>
        <v>蘇亮慈</v>
      </c>
      <c r="D1053" s="16" t="str">
        <f>IFERROR(__xludf.DUMMYFUNCTION("""COMPUTED_VALUE"""),"lan*****7.hc@mail.edu.tw")</f>
        <v>lan*****7.hc@mail.edu.tw</v>
      </c>
      <c r="E1053" s="17" t="str">
        <f>IFERROR(__xludf.DUMMYFUNCTION("""COMPUTED_VALUE"""),"新竹市香山區虎林國民小學")</f>
        <v>新竹市香山區虎林國民小學</v>
      </c>
      <c r="F1053" s="14" t="str">
        <f>IFERROR(__xludf.DUMMYFUNCTION("""COMPUTED_VALUE"""),"四年級")</f>
        <v>四年級</v>
      </c>
      <c r="G1053" s="14" t="str">
        <f>IFERROR(__xludf.DUMMYFUNCTION("""COMPUTED_VALUE"""),"●小禮物")</f>
        <v>●小禮物</v>
      </c>
      <c r="H1053" s="8"/>
    </row>
    <row r="1054">
      <c r="A1054" s="18"/>
      <c r="B1054" s="14">
        <f>IFERROR(__xludf.DUMMYFUNCTION("""COMPUTED_VALUE"""),881511.0)</f>
        <v>881511</v>
      </c>
      <c r="C1054" s="14" t="str">
        <f>IFERROR(__xludf.DUMMYFUNCTION("""COMPUTED_VALUE"""),"游翊辰")</f>
        <v>游翊辰</v>
      </c>
      <c r="D1054" s="16" t="str">
        <f>IFERROR(__xludf.DUMMYFUNCTION("""COMPUTED_VALUE"""),"leo*****.hc@mail.edu.tw")</f>
        <v>leo*****.hc@mail.edu.tw</v>
      </c>
      <c r="E1054" s="17" t="str">
        <f>IFERROR(__xludf.DUMMYFUNCTION("""COMPUTED_VALUE"""),"新竹市香山區虎林國民小學")</f>
        <v>新竹市香山區虎林國民小學</v>
      </c>
      <c r="F1054" s="14" t="str">
        <f>IFERROR(__xludf.DUMMYFUNCTION("""COMPUTED_VALUE"""),"五年級")</f>
        <v>五年級</v>
      </c>
      <c r="G1054" s="14" t="str">
        <f>IFERROR(__xludf.DUMMYFUNCTION("""COMPUTED_VALUE"""),"●小禮物")</f>
        <v>●小禮物</v>
      </c>
      <c r="H1054" s="8"/>
    </row>
    <row r="1055">
      <c r="A1055" s="18"/>
      <c r="B1055" s="14">
        <f>IFERROR(__xludf.DUMMYFUNCTION("""COMPUTED_VALUE"""),881508.0)</f>
        <v>881508</v>
      </c>
      <c r="C1055" s="14" t="str">
        <f>IFERROR(__xludf.DUMMYFUNCTION("""COMPUTED_VALUE"""),"王永杰")</f>
        <v>王永杰</v>
      </c>
      <c r="D1055" s="16" t="str">
        <f>IFERROR(__xludf.DUMMYFUNCTION("""COMPUTED_VALUE"""),"jus*****02.hc@mail.edu.tw")</f>
        <v>jus*****02.hc@mail.edu.tw</v>
      </c>
      <c r="E1055" s="17" t="str">
        <f>IFERROR(__xludf.DUMMYFUNCTION("""COMPUTED_VALUE"""),"新竹市香山區虎林國民小學")</f>
        <v>新竹市香山區虎林國民小學</v>
      </c>
      <c r="F1055" s="14" t="str">
        <f>IFERROR(__xludf.DUMMYFUNCTION("""COMPUTED_VALUE"""),"五年級")</f>
        <v>五年級</v>
      </c>
      <c r="G1055" s="14" t="str">
        <f>IFERROR(__xludf.DUMMYFUNCTION("""COMPUTED_VALUE"""),"獎狀")</f>
        <v>獎狀</v>
      </c>
      <c r="H1055" s="8"/>
    </row>
    <row r="1056">
      <c r="A1056" s="18"/>
      <c r="B1056" s="14">
        <f>IFERROR(__xludf.DUMMYFUNCTION("""COMPUTED_VALUE"""),886172.0)</f>
        <v>886172</v>
      </c>
      <c r="C1056" s="14" t="str">
        <f>IFERROR(__xludf.DUMMYFUNCTION("""COMPUTED_VALUE"""),"田繪瑄")</f>
        <v>田繪瑄</v>
      </c>
      <c r="D1056" s="16" t="str">
        <f>IFERROR(__xludf.DUMMYFUNCTION("""COMPUTED_VALUE"""),"kit*****1.hc@mail.edu.tw")</f>
        <v>kit*****1.hc@mail.edu.tw</v>
      </c>
      <c r="E1056" s="17" t="str">
        <f>IFERROR(__xludf.DUMMYFUNCTION("""COMPUTED_VALUE"""),"新竹市香山區虎林國民小學")</f>
        <v>新竹市香山區虎林國民小學</v>
      </c>
      <c r="F1056" s="14" t="str">
        <f>IFERROR(__xludf.DUMMYFUNCTION("""COMPUTED_VALUE"""),"五年級")</f>
        <v>五年級</v>
      </c>
      <c r="G1056" s="14" t="str">
        <f>IFERROR(__xludf.DUMMYFUNCTION("""COMPUTED_VALUE"""),"獎狀")</f>
        <v>獎狀</v>
      </c>
      <c r="H1056" s="8"/>
    </row>
    <row r="1057">
      <c r="A1057" s="18"/>
      <c r="B1057" s="14">
        <f>IFERROR(__xludf.DUMMYFUNCTION("""COMPUTED_VALUE"""),460899.0)</f>
        <v>460899</v>
      </c>
      <c r="C1057" s="14" t="str">
        <f>IFERROR(__xludf.DUMMYFUNCTION("""COMPUTED_VALUE"""),"江哲愷")</f>
        <v>江哲愷</v>
      </c>
      <c r="D1057" s="16" t="str">
        <f>IFERROR(__xludf.DUMMYFUNCTION("""COMPUTED_VALUE"""),"car*****@mail.edu.tw")</f>
        <v>car*****@mail.edu.tw</v>
      </c>
      <c r="E1057" s="17" t="str">
        <f>IFERROR(__xludf.DUMMYFUNCTION("""COMPUTED_VALUE"""),"新竹市香山區虎林國民小學")</f>
        <v>新竹市香山區虎林國民小學</v>
      </c>
      <c r="F1057" s="14" t="str">
        <f>IFERROR(__xludf.DUMMYFUNCTION("""COMPUTED_VALUE"""),"五年級")</f>
        <v>五年級</v>
      </c>
      <c r="G1057" s="14" t="str">
        <f>IFERROR(__xludf.DUMMYFUNCTION("""COMPUTED_VALUE"""),"獎狀")</f>
        <v>獎狀</v>
      </c>
      <c r="H1057" s="8"/>
    </row>
    <row r="1058">
      <c r="A1058" s="18"/>
      <c r="B1058" s="14">
        <f>IFERROR(__xludf.DUMMYFUNCTION("""COMPUTED_VALUE"""),879647.0)</f>
        <v>879647</v>
      </c>
      <c r="C1058" s="14" t="str">
        <f>IFERROR(__xludf.DUMMYFUNCTION("""COMPUTED_VALUE"""),"戴宜妏")</f>
        <v>戴宜妏</v>
      </c>
      <c r="D1058" s="16" t="str">
        <f>IFERROR(__xludf.DUMMYFUNCTION("""COMPUTED_VALUE"""),"kat*****4.hc@mail.edu.tw")</f>
        <v>kat*****4.hc@mail.edu.tw</v>
      </c>
      <c r="E1058" s="17" t="str">
        <f>IFERROR(__xludf.DUMMYFUNCTION("""COMPUTED_VALUE"""),"新竹市香山區虎林國民小學")</f>
        <v>新竹市香山區虎林國民小學</v>
      </c>
      <c r="F1058" s="14" t="str">
        <f>IFERROR(__xludf.DUMMYFUNCTION("""COMPUTED_VALUE"""),"五年級")</f>
        <v>五年級</v>
      </c>
      <c r="G1058" s="14" t="str">
        <f>IFERROR(__xludf.DUMMYFUNCTION("""COMPUTED_VALUE"""),"獎狀")</f>
        <v>獎狀</v>
      </c>
      <c r="H1058" s="8"/>
    </row>
    <row r="1059">
      <c r="A1059" s="18"/>
      <c r="B1059" s="14">
        <f>IFERROR(__xludf.DUMMYFUNCTION("""COMPUTED_VALUE"""),881481.0)</f>
        <v>881481</v>
      </c>
      <c r="C1059" s="14" t="str">
        <f>IFERROR(__xludf.DUMMYFUNCTION("""COMPUTED_VALUE"""),"謝沛玗")</f>
        <v>謝沛玗</v>
      </c>
      <c r="D1059" s="16" t="str">
        <f>IFERROR(__xludf.DUMMYFUNCTION("""COMPUTED_VALUE"""),"lal*****.hc@mail.edu.tw")</f>
        <v>lal*****.hc@mail.edu.tw</v>
      </c>
      <c r="E1059" s="17" t="str">
        <f>IFERROR(__xludf.DUMMYFUNCTION("""COMPUTED_VALUE"""),"新竹市香山區虎林國民小學")</f>
        <v>新竹市香山區虎林國民小學</v>
      </c>
      <c r="F1059" s="14" t="str">
        <f>IFERROR(__xludf.DUMMYFUNCTION("""COMPUTED_VALUE"""),"五年級")</f>
        <v>五年級</v>
      </c>
      <c r="G1059" s="14" t="str">
        <f>IFERROR(__xludf.DUMMYFUNCTION("""COMPUTED_VALUE"""),"獎狀")</f>
        <v>獎狀</v>
      </c>
      <c r="H1059" s="8"/>
    </row>
    <row r="1060">
      <c r="A1060" s="18"/>
      <c r="B1060" s="14">
        <f>IFERROR(__xludf.DUMMYFUNCTION("""COMPUTED_VALUE"""),1177072.0)</f>
        <v>1177072</v>
      </c>
      <c r="C1060" s="14" t="str">
        <f>IFERROR(__xludf.DUMMYFUNCTION("""COMPUTED_VALUE"""),"蕭允潼")</f>
        <v>蕭允潼</v>
      </c>
      <c r="D1060" s="16" t="str">
        <f>IFERROR(__xludf.DUMMYFUNCTION("""COMPUTED_VALUE"""),"chi*****07@gmail.com")</f>
        <v>chi*****07@gmail.com</v>
      </c>
      <c r="E1060" s="17" t="str">
        <f>IFERROR(__xludf.DUMMYFUNCTION("""COMPUTED_VALUE"""),"新竹市香山區虎林國民小學")</f>
        <v>新竹市香山區虎林國民小學</v>
      </c>
      <c r="F1060" s="14" t="str">
        <f>IFERROR(__xludf.DUMMYFUNCTION("""COMPUTED_VALUE"""),"六年級")</f>
        <v>六年級</v>
      </c>
      <c r="G1060" s="14" t="str">
        <f>IFERROR(__xludf.DUMMYFUNCTION("""COMPUTED_VALUE"""),"●小禮物")</f>
        <v>●小禮物</v>
      </c>
      <c r="H1060" s="8"/>
    </row>
    <row r="1061">
      <c r="A1061" s="18"/>
      <c r="B1061" s="14">
        <f>IFERROR(__xludf.DUMMYFUNCTION("""COMPUTED_VALUE"""),974339.0)</f>
        <v>974339</v>
      </c>
      <c r="C1061" s="14" t="str">
        <f>IFERROR(__xludf.DUMMYFUNCTION("""COMPUTED_VALUE"""),"呂昀翰")</f>
        <v>呂昀翰</v>
      </c>
      <c r="D1061" s="16" t="str">
        <f>IFERROR(__xludf.DUMMYFUNCTION("""COMPUTED_VALUE"""),"han*****mail.edu.tw")</f>
        <v>han*****mail.edu.tw</v>
      </c>
      <c r="E1061" s="17" t="str">
        <f>IFERROR(__xludf.DUMMYFUNCTION("""COMPUTED_VALUE"""),"新竹市香山區港南國民小學")</f>
        <v>新竹市香山區港南國民小學</v>
      </c>
      <c r="F1061" s="14" t="str">
        <f>IFERROR(__xludf.DUMMYFUNCTION("""COMPUTED_VALUE"""),"五年級")</f>
        <v>五年級</v>
      </c>
      <c r="G1061" s="14" t="str">
        <f>IFERROR(__xludf.DUMMYFUNCTION("""COMPUTED_VALUE"""),"●小禮物")</f>
        <v>●小禮物</v>
      </c>
      <c r="H1061" s="8"/>
    </row>
    <row r="1062">
      <c r="A1062" s="18"/>
      <c r="B1062" s="14">
        <f>IFERROR(__xludf.DUMMYFUNCTION("""COMPUTED_VALUE"""),974209.0)</f>
        <v>974209</v>
      </c>
      <c r="C1062" s="14" t="str">
        <f>IFERROR(__xludf.DUMMYFUNCTION("""COMPUTED_VALUE"""),"黃博炫")</f>
        <v>黃博炫</v>
      </c>
      <c r="D1062" s="16" t="str">
        <f>IFERROR(__xludf.DUMMYFUNCTION("""COMPUTED_VALUE"""),"leo*****.hc@mail.edu.tw")</f>
        <v>leo*****.hc@mail.edu.tw</v>
      </c>
      <c r="E1062" s="17" t="str">
        <f>IFERROR(__xludf.DUMMYFUNCTION("""COMPUTED_VALUE"""),"新竹市香山區港南國民小學")</f>
        <v>新竹市香山區港南國民小學</v>
      </c>
      <c r="F1062" s="14" t="str">
        <f>IFERROR(__xludf.DUMMYFUNCTION("""COMPUTED_VALUE"""),"五年級")</f>
        <v>五年級</v>
      </c>
      <c r="G1062" s="14" t="str">
        <f>IFERROR(__xludf.DUMMYFUNCTION("""COMPUTED_VALUE"""),"●小禮物")</f>
        <v>●小禮物</v>
      </c>
      <c r="H1062" s="8"/>
    </row>
    <row r="1063">
      <c r="A1063" s="18"/>
      <c r="B1063" s="14">
        <f>IFERROR(__xludf.DUMMYFUNCTION("""COMPUTED_VALUE"""),974362.0)</f>
        <v>974362</v>
      </c>
      <c r="C1063" s="14" t="str">
        <f>IFERROR(__xludf.DUMMYFUNCTION("""COMPUTED_VALUE"""),"楊宥葶")</f>
        <v>楊宥葶</v>
      </c>
      <c r="D1063" s="16" t="str">
        <f>IFERROR(__xludf.DUMMYFUNCTION("""COMPUTED_VALUE"""),"min*****05.hc@mail.edu.tw")</f>
        <v>min*****05.hc@mail.edu.tw</v>
      </c>
      <c r="E1063" s="17" t="str">
        <f>IFERROR(__xludf.DUMMYFUNCTION("""COMPUTED_VALUE"""),"新竹市香山區港南國民小學")</f>
        <v>新竹市香山區港南國民小學</v>
      </c>
      <c r="F1063" s="14" t="str">
        <f>IFERROR(__xludf.DUMMYFUNCTION("""COMPUTED_VALUE"""),"五年級")</f>
        <v>五年級</v>
      </c>
      <c r="G1063" s="14" t="str">
        <f>IFERROR(__xludf.DUMMYFUNCTION("""COMPUTED_VALUE"""),"●小禮物")</f>
        <v>●小禮物</v>
      </c>
      <c r="H1063" s="8"/>
    </row>
    <row r="1064">
      <c r="A1064" s="18"/>
      <c r="B1064" s="14">
        <f>IFERROR(__xludf.DUMMYFUNCTION("""COMPUTED_VALUE"""),974366.0)</f>
        <v>974366</v>
      </c>
      <c r="C1064" s="14" t="str">
        <f>IFERROR(__xludf.DUMMYFUNCTION("""COMPUTED_VALUE"""),"林玟伶")</f>
        <v>林玟伶</v>
      </c>
      <c r="D1064" s="16" t="str">
        <f>IFERROR(__xludf.DUMMYFUNCTION("""COMPUTED_VALUE"""),"oli*****8.hc@mail.edu.tw")</f>
        <v>oli*****8.hc@mail.edu.tw</v>
      </c>
      <c r="E1064" s="17" t="str">
        <f>IFERROR(__xludf.DUMMYFUNCTION("""COMPUTED_VALUE"""),"新竹市香山區港南國民小學")</f>
        <v>新竹市香山區港南國民小學</v>
      </c>
      <c r="F1064" s="14" t="str">
        <f>IFERROR(__xludf.DUMMYFUNCTION("""COMPUTED_VALUE"""),"五年級")</f>
        <v>五年級</v>
      </c>
      <c r="G1064" s="14" t="str">
        <f>IFERROR(__xludf.DUMMYFUNCTION("""COMPUTED_VALUE"""),"獎狀")</f>
        <v>獎狀</v>
      </c>
      <c r="H1064" s="8"/>
    </row>
    <row r="1065">
      <c r="A1065" s="18"/>
      <c r="B1065" s="14">
        <f>IFERROR(__xludf.DUMMYFUNCTION("""COMPUTED_VALUE"""),1202662.0)</f>
        <v>1202662</v>
      </c>
      <c r="C1065" s="14" t="str">
        <f>IFERROR(__xludf.DUMMYFUNCTION("""COMPUTED_VALUE"""),"翁愛婷")</f>
        <v>翁愛婷</v>
      </c>
      <c r="D1065" s="16" t="str">
        <f>IFERROR(__xludf.DUMMYFUNCTION("""COMPUTED_VALUE"""),"ann*****7@mail.edu.tw")</f>
        <v>ann*****7@mail.edu.tw</v>
      </c>
      <c r="E1065" s="17" t="str">
        <f>IFERROR(__xludf.DUMMYFUNCTION("""COMPUTED_VALUE"""),"新竹市香山區港南國民小學")</f>
        <v>新竹市香山區港南國民小學</v>
      </c>
      <c r="F1065" s="14" t="str">
        <f>IFERROR(__xludf.DUMMYFUNCTION("""COMPUTED_VALUE"""),"五年級")</f>
        <v>五年級</v>
      </c>
      <c r="G1065" s="14" t="str">
        <f>IFERROR(__xludf.DUMMYFUNCTION("""COMPUTED_VALUE"""),"獎狀")</f>
        <v>獎狀</v>
      </c>
      <c r="H1065" s="8"/>
    </row>
    <row r="1066">
      <c r="A1066" s="18"/>
      <c r="B1066" s="14">
        <f>IFERROR(__xludf.DUMMYFUNCTION("""COMPUTED_VALUE"""),1145372.0)</f>
        <v>1145372</v>
      </c>
      <c r="C1066" s="14" t="str">
        <f>IFERROR(__xludf.DUMMYFUNCTION("""COMPUTED_VALUE"""),"陳芯霏")</f>
        <v>陳芯霏</v>
      </c>
      <c r="D1066" s="16" t="str">
        <f>IFERROR(__xludf.DUMMYFUNCTION("""COMPUTED_VALUE"""),"fem*****@mail.edu.tw")</f>
        <v>fem*****@mail.edu.tw</v>
      </c>
      <c r="E1066" s="17" t="str">
        <f>IFERROR(__xludf.DUMMYFUNCTION("""COMPUTED_VALUE"""),"新竹市香山區港南國民小學")</f>
        <v>新竹市香山區港南國民小學</v>
      </c>
      <c r="F1066" s="14" t="str">
        <f>IFERROR(__xludf.DUMMYFUNCTION("""COMPUTED_VALUE"""),"五年級")</f>
        <v>五年級</v>
      </c>
      <c r="G1066" s="14" t="str">
        <f>IFERROR(__xludf.DUMMYFUNCTION("""COMPUTED_VALUE"""),"獎狀")</f>
        <v>獎狀</v>
      </c>
      <c r="H1066" s="8"/>
    </row>
    <row r="1067">
      <c r="A1067" s="18"/>
      <c r="B1067" s="14">
        <f>IFERROR(__xludf.DUMMYFUNCTION("""COMPUTED_VALUE"""),974343.0)</f>
        <v>974343</v>
      </c>
      <c r="C1067" s="14" t="str">
        <f>IFERROR(__xludf.DUMMYFUNCTION("""COMPUTED_VALUE"""),"彭伊璘")</f>
        <v>彭伊璘</v>
      </c>
      <c r="D1067" s="16" t="str">
        <f>IFERROR(__xludf.DUMMYFUNCTION("""COMPUTED_VALUE"""),"lin*****4.hc@mail.edu.tw")</f>
        <v>lin*****4.hc@mail.edu.tw</v>
      </c>
      <c r="E1067" s="17" t="str">
        <f>IFERROR(__xludf.DUMMYFUNCTION("""COMPUTED_VALUE"""),"新竹市香山區港南國民小學")</f>
        <v>新竹市香山區港南國民小學</v>
      </c>
      <c r="F1067" s="14" t="str">
        <f>IFERROR(__xludf.DUMMYFUNCTION("""COMPUTED_VALUE"""),"五年級")</f>
        <v>五年級</v>
      </c>
      <c r="G1067" s="14" t="str">
        <f>IFERROR(__xludf.DUMMYFUNCTION("""COMPUTED_VALUE"""),"獎狀")</f>
        <v>獎狀</v>
      </c>
      <c r="H1067" s="8"/>
    </row>
    <row r="1068">
      <c r="A1068" s="18"/>
      <c r="B1068" s="14">
        <f>IFERROR(__xludf.DUMMYFUNCTION("""COMPUTED_VALUE"""),1179321.0)</f>
        <v>1179321</v>
      </c>
      <c r="C1068" s="14" t="str">
        <f>IFERROR(__xludf.DUMMYFUNCTION("""COMPUTED_VALUE"""),"曾姵瑜")</f>
        <v>曾姵瑜</v>
      </c>
      <c r="D1068" s="16" t="str">
        <f>IFERROR(__xludf.DUMMYFUNCTION("""COMPUTED_VALUE"""),"ste*****29@mail.edu.tw")</f>
        <v>ste*****29@mail.edu.tw</v>
      </c>
      <c r="E1068" s="17" t="str">
        <f>IFERROR(__xludf.DUMMYFUNCTION("""COMPUTED_VALUE"""),"新竹市香山區港南國民小學")</f>
        <v>新竹市香山區港南國民小學</v>
      </c>
      <c r="F1068" s="14" t="str">
        <f>IFERROR(__xludf.DUMMYFUNCTION("""COMPUTED_VALUE"""),"五年級")</f>
        <v>五年級</v>
      </c>
      <c r="G1068" s="14" t="str">
        <f>IFERROR(__xludf.DUMMYFUNCTION("""COMPUTED_VALUE"""),"獎狀")</f>
        <v>獎狀</v>
      </c>
      <c r="H1068" s="8"/>
    </row>
    <row r="1069">
      <c r="A1069" s="18"/>
      <c r="B1069" s="14">
        <f>IFERROR(__xludf.DUMMYFUNCTION("""COMPUTED_VALUE"""),974356.0)</f>
        <v>974356</v>
      </c>
      <c r="C1069" s="14" t="str">
        <f>IFERROR(__xludf.DUMMYFUNCTION("""COMPUTED_VALUE"""),"楊宥萱")</f>
        <v>楊宥萱</v>
      </c>
      <c r="D1069" s="16" t="str">
        <f>IFERROR(__xludf.DUMMYFUNCTION("""COMPUTED_VALUE"""),"ang*****5.hc@mail.edu.tw")</f>
        <v>ang*****5.hc@mail.edu.tw</v>
      </c>
      <c r="E1069" s="17" t="str">
        <f>IFERROR(__xludf.DUMMYFUNCTION("""COMPUTED_VALUE"""),"新竹市香山區港南國民小學")</f>
        <v>新竹市香山區港南國民小學</v>
      </c>
      <c r="F1069" s="14" t="str">
        <f>IFERROR(__xludf.DUMMYFUNCTION("""COMPUTED_VALUE"""),"五年級")</f>
        <v>五年級</v>
      </c>
      <c r="G1069" s="14" t="str">
        <f>IFERROR(__xludf.DUMMYFUNCTION("""COMPUTED_VALUE"""),"獎狀")</f>
        <v>獎狀</v>
      </c>
      <c r="H1069" s="8"/>
    </row>
    <row r="1070">
      <c r="A1070" s="18"/>
      <c r="B1070" s="14">
        <f>IFERROR(__xludf.DUMMYFUNCTION("""COMPUTED_VALUE"""),1142579.0)</f>
        <v>1142579</v>
      </c>
      <c r="C1070" s="14" t="str">
        <f>IFERROR(__xludf.DUMMYFUNCTION("""COMPUTED_VALUE"""),"楊景雲")</f>
        <v>楊景雲</v>
      </c>
      <c r="D1070" s="16" t="str">
        <f>IFERROR(__xludf.DUMMYFUNCTION("""COMPUTED_VALUE"""),"cla*****18@mail.edu.tw")</f>
        <v>cla*****18@mail.edu.tw</v>
      </c>
      <c r="E1070" s="17" t="str">
        <f>IFERROR(__xludf.DUMMYFUNCTION("""COMPUTED_VALUE"""),"新竹市香山區港南國民小學")</f>
        <v>新竹市香山區港南國民小學</v>
      </c>
      <c r="F1070" s="14" t="str">
        <f>IFERROR(__xludf.DUMMYFUNCTION("""COMPUTED_VALUE"""),"五年級")</f>
        <v>五年級</v>
      </c>
      <c r="G1070" s="14" t="str">
        <f>IFERROR(__xludf.DUMMYFUNCTION("""COMPUTED_VALUE"""),"獎狀")</f>
        <v>獎狀</v>
      </c>
      <c r="H1070" s="8"/>
    </row>
    <row r="1071">
      <c r="A1071" s="18"/>
      <c r="B1071" s="14">
        <f>IFERROR(__xludf.DUMMYFUNCTION("""COMPUTED_VALUE"""),974354.0)</f>
        <v>974354</v>
      </c>
      <c r="C1071" s="14" t="str">
        <f>IFERROR(__xludf.DUMMYFUNCTION("""COMPUTED_VALUE"""),"鄭姿君")</f>
        <v>鄭姿君</v>
      </c>
      <c r="D1071" s="16" t="str">
        <f>IFERROR(__xludf.DUMMYFUNCTION("""COMPUTED_VALUE"""),"jam*****0.hc@mail.edu.tw")</f>
        <v>jam*****0.hc@mail.edu.tw</v>
      </c>
      <c r="E1071" s="17" t="str">
        <f>IFERROR(__xludf.DUMMYFUNCTION("""COMPUTED_VALUE"""),"新竹市香山區港南國民小學")</f>
        <v>新竹市香山區港南國民小學</v>
      </c>
      <c r="F1071" s="14" t="str">
        <f>IFERROR(__xludf.DUMMYFUNCTION("""COMPUTED_VALUE"""),"五年級")</f>
        <v>五年級</v>
      </c>
      <c r="G1071" s="14" t="str">
        <f>IFERROR(__xludf.DUMMYFUNCTION("""COMPUTED_VALUE"""),"獎狀")</f>
        <v>獎狀</v>
      </c>
      <c r="H1071" s="8"/>
    </row>
    <row r="1072">
      <c r="A1072" s="18"/>
      <c r="B1072" s="14">
        <f>IFERROR(__xludf.DUMMYFUNCTION("""COMPUTED_VALUE"""),1107408.0)</f>
        <v>1107408</v>
      </c>
      <c r="C1072" s="14" t="str">
        <f>IFERROR(__xludf.DUMMYFUNCTION("""COMPUTED_VALUE"""),"葉沛君")</f>
        <v>葉沛君</v>
      </c>
      <c r="D1072" s="16" t="str">
        <f>IFERROR(__xludf.DUMMYFUNCTION("""COMPUTED_VALUE"""),"nse*****75@gapp.hcc.edu.tw")</f>
        <v>nse*****75@gapp.hcc.edu.tw</v>
      </c>
      <c r="E1072" s="17" t="str">
        <f>IFERROR(__xludf.DUMMYFUNCTION("""COMPUTED_VALUE"""),"新竹縣竹北市安興國民小學")</f>
        <v>新竹縣竹北市安興國民小學</v>
      </c>
      <c r="F1072" s="14" t="str">
        <f>IFERROR(__xludf.DUMMYFUNCTION("""COMPUTED_VALUE"""),"五年級")</f>
        <v>五年級</v>
      </c>
      <c r="G1072" s="14" t="str">
        <f>IFERROR(__xludf.DUMMYFUNCTION("""COMPUTED_VALUE"""),"獎狀")</f>
        <v>獎狀</v>
      </c>
      <c r="H1072" s="8"/>
    </row>
    <row r="1073">
      <c r="A1073" s="18"/>
      <c r="B1073" s="14">
        <f>IFERROR(__xludf.DUMMYFUNCTION("""COMPUTED_VALUE"""),316190.0)</f>
        <v>316190</v>
      </c>
      <c r="C1073" s="14" t="str">
        <f>IFERROR(__xludf.DUMMYFUNCTION("""COMPUTED_VALUE"""),"詹欣恬")</f>
        <v>詹欣恬</v>
      </c>
      <c r="D1073" s="16" t="str">
        <f>IFERROR(__xludf.DUMMYFUNCTION("""COMPUTED_VALUE"""),"cf.*****@yahoo.com")</f>
        <v>cf.*****@yahoo.com</v>
      </c>
      <c r="E1073" s="17" t="str">
        <f>IFERROR(__xludf.DUMMYFUNCTION("""COMPUTED_VALUE"""),"新竹縣竹北市安興國民小學")</f>
        <v>新竹縣竹北市安興國民小學</v>
      </c>
      <c r="F1073" s="14" t="str">
        <f>IFERROR(__xludf.DUMMYFUNCTION("""COMPUTED_VALUE"""),"六年級")</f>
        <v>六年級</v>
      </c>
      <c r="G1073" s="14" t="str">
        <f>IFERROR(__xludf.DUMMYFUNCTION("""COMPUTED_VALUE"""),"●小禮物")</f>
        <v>●小禮物</v>
      </c>
      <c r="H1073" s="8"/>
    </row>
    <row r="1074">
      <c r="A1074" s="18"/>
      <c r="B1074" s="14">
        <f>IFERROR(__xludf.DUMMYFUNCTION("""COMPUTED_VALUE"""),418962.0)</f>
        <v>418962</v>
      </c>
      <c r="C1074" s="14" t="str">
        <f>IFERROR(__xludf.DUMMYFUNCTION("""COMPUTED_VALUE"""),"葉韋濠")</f>
        <v>葉韋濠</v>
      </c>
      <c r="D1074" s="16" t="str">
        <f>IFERROR(__xludf.DUMMYFUNCTION("""COMPUTED_VALUE"""),"cbe*****68@mail.edu.tw")</f>
        <v>cbe*****68@mail.edu.tw</v>
      </c>
      <c r="E1074" s="17" t="str">
        <f>IFERROR(__xludf.DUMMYFUNCTION("""COMPUTED_VALUE"""),"新竹縣竹北市竹北國民小學")</f>
        <v>新竹縣竹北市竹北國民小學</v>
      </c>
      <c r="F1074" s="14" t="str">
        <f>IFERROR(__xludf.DUMMYFUNCTION("""COMPUTED_VALUE"""),"五年級")</f>
        <v>五年級</v>
      </c>
      <c r="G1074" s="14" t="str">
        <f>IFERROR(__xludf.DUMMYFUNCTION("""COMPUTED_VALUE"""),"★禮券$200")</f>
        <v>★禮券$200</v>
      </c>
      <c r="H1074" s="8"/>
    </row>
    <row r="1075">
      <c r="A1075" s="18"/>
      <c r="B1075" s="14">
        <f>IFERROR(__xludf.DUMMYFUNCTION("""COMPUTED_VALUE"""),1125525.0)</f>
        <v>1125525</v>
      </c>
      <c r="C1075" s="14" t="str">
        <f>IFERROR(__xludf.DUMMYFUNCTION("""COMPUTED_VALUE"""),"邱顯庭")</f>
        <v>邱顯庭</v>
      </c>
      <c r="D1075" s="16" t="str">
        <f>IFERROR(__xludf.DUMMYFUNCTION("""COMPUTED_VALUE"""),"kiv*****1104@gmail.com")</f>
        <v>kiv*****1104@gmail.com</v>
      </c>
      <c r="E1075" s="17" t="str">
        <f>IFERROR(__xludf.DUMMYFUNCTION("""COMPUTED_VALUE"""),"新竹縣竹北市興隆國民小學")</f>
        <v>新竹縣竹北市興隆國民小學</v>
      </c>
      <c r="F1075" s="14" t="str">
        <f>IFERROR(__xludf.DUMMYFUNCTION("""COMPUTED_VALUE"""),"三年級")</f>
        <v>三年級</v>
      </c>
      <c r="G1075" s="14" t="str">
        <f>IFERROR(__xludf.DUMMYFUNCTION("""COMPUTED_VALUE"""),"獎狀")</f>
        <v>獎狀</v>
      </c>
      <c r="H1075" s="8"/>
    </row>
    <row r="1076">
      <c r="A1076" s="18"/>
      <c r="B1076" s="14">
        <f>IFERROR(__xludf.DUMMYFUNCTION("""COMPUTED_VALUE"""),876402.0)</f>
        <v>876402</v>
      </c>
      <c r="C1076" s="14" t="str">
        <f>IFERROR(__xludf.DUMMYFUNCTION("""COMPUTED_VALUE"""),"張簡晨妡")</f>
        <v>張簡晨妡</v>
      </c>
      <c r="D1076" s="16" t="str">
        <f>IFERROR(__xludf.DUMMYFUNCTION("""COMPUTED_VALUE"""),"hlp*****27@gapp.hcc.edu.tw")</f>
        <v>hlp*****27@gapp.hcc.edu.tw</v>
      </c>
      <c r="E1076" s="17" t="str">
        <f>IFERROR(__xludf.DUMMYFUNCTION("""COMPUTED_VALUE"""),"新竹縣竹北市興隆國民小學")</f>
        <v>新竹縣竹北市興隆國民小學</v>
      </c>
      <c r="F1076" s="14" t="str">
        <f>IFERROR(__xludf.DUMMYFUNCTION("""COMPUTED_VALUE"""),"三年級")</f>
        <v>三年級</v>
      </c>
      <c r="G1076" s="14" t="str">
        <f>IFERROR(__xludf.DUMMYFUNCTION("""COMPUTED_VALUE"""),"獎狀")</f>
        <v>獎狀</v>
      </c>
      <c r="H1076" s="8"/>
    </row>
    <row r="1077">
      <c r="A1077" s="18"/>
      <c r="B1077" s="14">
        <f>IFERROR(__xludf.DUMMYFUNCTION("""COMPUTED_VALUE"""),1102697.0)</f>
        <v>1102697</v>
      </c>
      <c r="C1077" s="14" t="str">
        <f>IFERROR(__xludf.DUMMYFUNCTION("""COMPUTED_VALUE"""),"張簡晨妤")</f>
        <v>張簡晨妤</v>
      </c>
      <c r="D1077" s="16" t="str">
        <f>IFERROR(__xludf.DUMMYFUNCTION("""COMPUTED_VALUE"""),"hlp*****18.hcc@mail.edu.tw")</f>
        <v>hlp*****18.hcc@mail.edu.tw</v>
      </c>
      <c r="E1077" s="17" t="str">
        <f>IFERROR(__xludf.DUMMYFUNCTION("""COMPUTED_VALUE"""),"新竹縣竹北市興隆國民小學")</f>
        <v>新竹縣竹北市興隆國民小學</v>
      </c>
      <c r="F1077" s="14" t="str">
        <f>IFERROR(__xludf.DUMMYFUNCTION("""COMPUTED_VALUE"""),"四年級")</f>
        <v>四年級</v>
      </c>
      <c r="G1077" s="14" t="str">
        <f>IFERROR(__xludf.DUMMYFUNCTION("""COMPUTED_VALUE"""),"獎狀")</f>
        <v>獎狀</v>
      </c>
      <c r="H1077" s="8"/>
    </row>
    <row r="1078">
      <c r="A1078" s="18"/>
      <c r="B1078" s="14">
        <f>IFERROR(__xludf.DUMMYFUNCTION("""COMPUTED_VALUE"""),1125460.0)</f>
        <v>1125460</v>
      </c>
      <c r="C1078" s="14" t="str">
        <f>IFERROR(__xludf.DUMMYFUNCTION("""COMPUTED_VALUE"""),"邱煜勝")</f>
        <v>邱煜勝</v>
      </c>
      <c r="D1078" s="16" t="str">
        <f>IFERROR(__xludf.DUMMYFUNCTION("""COMPUTED_VALUE"""),"jer*****10315@gmail.com")</f>
        <v>jer*****10315@gmail.com</v>
      </c>
      <c r="E1078" s="17" t="str">
        <f>IFERROR(__xludf.DUMMYFUNCTION("""COMPUTED_VALUE"""),"新竹縣竹北市興隆國民小學")</f>
        <v>新竹縣竹北市興隆國民小學</v>
      </c>
      <c r="F1078" s="14" t="str">
        <f>IFERROR(__xludf.DUMMYFUNCTION("""COMPUTED_VALUE"""),"五年級")</f>
        <v>五年級</v>
      </c>
      <c r="G1078" s="14" t="str">
        <f>IFERROR(__xludf.DUMMYFUNCTION("""COMPUTED_VALUE"""),"獎狀")</f>
        <v>獎狀</v>
      </c>
      <c r="H1078" s="8"/>
    </row>
    <row r="1079">
      <c r="A1079" s="18"/>
      <c r="B1079" s="14">
        <f>IFERROR(__xludf.DUMMYFUNCTION("""COMPUTED_VALUE"""),866065.0)</f>
        <v>866065</v>
      </c>
      <c r="C1079" s="14" t="str">
        <f>IFERROR(__xludf.DUMMYFUNCTION("""COMPUTED_VALUE"""),"黃宣茹")</f>
        <v>黃宣茹</v>
      </c>
      <c r="D1079" s="16" t="str">
        <f>IFERROR(__xludf.DUMMYFUNCTION("""COMPUTED_VALUE"""),"hlp*****14@gapp.hcc.edu.tw")</f>
        <v>hlp*****14@gapp.hcc.edu.tw</v>
      </c>
      <c r="E1079" s="17" t="str">
        <f>IFERROR(__xludf.DUMMYFUNCTION("""COMPUTED_VALUE"""),"新竹縣竹北市興隆國民小學")</f>
        <v>新竹縣竹北市興隆國民小學</v>
      </c>
      <c r="F1079" s="14" t="str">
        <f>IFERROR(__xludf.DUMMYFUNCTION("""COMPUTED_VALUE"""),"六年級")</f>
        <v>六年級</v>
      </c>
      <c r="G1079" s="14" t="str">
        <f>IFERROR(__xludf.DUMMYFUNCTION("""COMPUTED_VALUE"""),"●小禮物")</f>
        <v>●小禮物</v>
      </c>
      <c r="H1079" s="8"/>
    </row>
    <row r="1080">
      <c r="A1080" s="18"/>
      <c r="B1080" s="14">
        <f>IFERROR(__xludf.DUMMYFUNCTION("""COMPUTED_VALUE"""),866069.0)</f>
        <v>866069</v>
      </c>
      <c r="C1080" s="14" t="str">
        <f>IFERROR(__xludf.DUMMYFUNCTION("""COMPUTED_VALUE"""),"劉欣頴")</f>
        <v>劉欣頴</v>
      </c>
      <c r="D1080" s="16" t="str">
        <f>IFERROR(__xludf.DUMMYFUNCTION("""COMPUTED_VALUE"""),"hlp*****15@gapp.hcc.edu.tw")</f>
        <v>hlp*****15@gapp.hcc.edu.tw</v>
      </c>
      <c r="E1080" s="17" t="str">
        <f>IFERROR(__xludf.DUMMYFUNCTION("""COMPUTED_VALUE"""),"新竹縣竹北市興隆國民小學")</f>
        <v>新竹縣竹北市興隆國民小學</v>
      </c>
      <c r="F1080" s="14" t="str">
        <f>IFERROR(__xludf.DUMMYFUNCTION("""COMPUTED_VALUE"""),"六年級")</f>
        <v>六年級</v>
      </c>
      <c r="G1080" s="14" t="str">
        <f>IFERROR(__xludf.DUMMYFUNCTION("""COMPUTED_VALUE"""),"●小禮物")</f>
        <v>●小禮物</v>
      </c>
      <c r="H1080" s="8"/>
    </row>
    <row r="1081">
      <c r="A1081" s="18"/>
      <c r="B1081" s="14">
        <f>IFERROR(__xludf.DUMMYFUNCTION("""COMPUTED_VALUE"""),1118120.0)</f>
        <v>1118120</v>
      </c>
      <c r="C1081" s="14" t="str">
        <f>IFERROR(__xludf.DUMMYFUNCTION("""COMPUTED_VALUE"""),"王盈妍")</f>
        <v>王盈妍</v>
      </c>
      <c r="D1081" s="16" t="str">
        <f>IFERROR(__xludf.DUMMYFUNCTION("""COMPUTED_VALUE"""),"kme*****31@mail.edu.tw")</f>
        <v>kme*****31@mail.edu.tw</v>
      </c>
      <c r="E1081" s="17" t="str">
        <f>IFERROR(__xludf.DUMMYFUNCTION("""COMPUTED_VALUE"""),"新竹縣竹北市光明國民小學")</f>
        <v>新竹縣竹北市光明國民小學</v>
      </c>
      <c r="F1081" s="14" t="str">
        <f>IFERROR(__xludf.DUMMYFUNCTION("""COMPUTED_VALUE"""),"三年級")</f>
        <v>三年級</v>
      </c>
      <c r="G1081" s="14" t="str">
        <f>IFERROR(__xludf.DUMMYFUNCTION("""COMPUTED_VALUE"""),"獎狀")</f>
        <v>獎狀</v>
      </c>
      <c r="H1081" s="8"/>
    </row>
    <row r="1082">
      <c r="A1082" s="18"/>
      <c r="B1082" s="14">
        <f>IFERROR(__xludf.DUMMYFUNCTION("""COMPUTED_VALUE"""),1032475.0)</f>
        <v>1032475</v>
      </c>
      <c r="C1082" s="14" t="str">
        <f>IFERROR(__xludf.DUMMYFUNCTION("""COMPUTED_VALUE"""),"羅子皊")</f>
        <v>羅子皊</v>
      </c>
      <c r="D1082" s="16" t="str">
        <f>IFERROR(__xludf.DUMMYFUNCTION("""COMPUTED_VALUE"""),"lin*****0131@gmail.com")</f>
        <v>lin*****0131@gmail.com</v>
      </c>
      <c r="E1082" s="17" t="str">
        <f>IFERROR(__xludf.DUMMYFUNCTION("""COMPUTED_VALUE"""),"新竹縣竹北市光明國民小學")</f>
        <v>新竹縣竹北市光明國民小學</v>
      </c>
      <c r="F1082" s="14" t="str">
        <f>IFERROR(__xludf.DUMMYFUNCTION("""COMPUTED_VALUE"""),"四年級")</f>
        <v>四年級</v>
      </c>
      <c r="G1082" s="14" t="str">
        <f>IFERROR(__xludf.DUMMYFUNCTION("""COMPUTED_VALUE"""),"獎狀")</f>
        <v>獎狀</v>
      </c>
      <c r="H1082" s="8"/>
    </row>
    <row r="1083">
      <c r="A1083" s="18"/>
      <c r="B1083" s="14">
        <f>IFERROR(__xludf.DUMMYFUNCTION("""COMPUTED_VALUE"""),524622.0)</f>
        <v>524622</v>
      </c>
      <c r="C1083" s="14" t="str">
        <f>IFERROR(__xludf.DUMMYFUNCTION("""COMPUTED_VALUE"""),"賴妍靜")</f>
        <v>賴妍靜</v>
      </c>
      <c r="D1083" s="16" t="str">
        <f>IFERROR(__xludf.DUMMYFUNCTION("""COMPUTED_VALUE"""),"kme*****49@gapp.hcc.edu.tw")</f>
        <v>kme*****49@gapp.hcc.edu.tw</v>
      </c>
      <c r="E1083" s="17" t="str">
        <f>IFERROR(__xludf.DUMMYFUNCTION("""COMPUTED_VALUE"""),"新竹縣竹北市光明國民小學")</f>
        <v>新竹縣竹北市光明國民小學</v>
      </c>
      <c r="F1083" s="14" t="str">
        <f>IFERROR(__xludf.DUMMYFUNCTION("""COMPUTED_VALUE"""),"六年級")</f>
        <v>六年級</v>
      </c>
      <c r="G1083" s="14" t="str">
        <f>IFERROR(__xludf.DUMMYFUNCTION("""COMPUTED_VALUE"""),"★禮券$200")</f>
        <v>★禮券$200</v>
      </c>
      <c r="H1083" s="8"/>
    </row>
    <row r="1084">
      <c r="A1084" s="18"/>
      <c r="B1084" s="14">
        <f>IFERROR(__xludf.DUMMYFUNCTION("""COMPUTED_VALUE"""),530270.0)</f>
        <v>530270</v>
      </c>
      <c r="C1084" s="14" t="str">
        <f>IFERROR(__xludf.DUMMYFUNCTION("""COMPUTED_VALUE"""),"楊祐綸")</f>
        <v>楊祐綸</v>
      </c>
      <c r="D1084" s="16" t="str">
        <f>IFERROR(__xludf.DUMMYFUNCTION("""COMPUTED_VALUE"""),"kme*****11@gapp.hcc.edu.tw")</f>
        <v>kme*****11@gapp.hcc.edu.tw</v>
      </c>
      <c r="E1084" s="17" t="str">
        <f>IFERROR(__xludf.DUMMYFUNCTION("""COMPUTED_VALUE"""),"新竹縣竹北市光明國民小學")</f>
        <v>新竹縣竹北市光明國民小學</v>
      </c>
      <c r="F1084" s="14" t="str">
        <f>IFERROR(__xludf.DUMMYFUNCTION("""COMPUTED_VALUE"""),"六年級")</f>
        <v>六年級</v>
      </c>
      <c r="G1084" s="14" t="str">
        <f>IFERROR(__xludf.DUMMYFUNCTION("""COMPUTED_VALUE"""),"獎狀")</f>
        <v>獎狀</v>
      </c>
      <c r="H1084" s="8"/>
    </row>
    <row r="1085">
      <c r="A1085" s="18"/>
      <c r="B1085" s="14">
        <f>IFERROR(__xludf.DUMMYFUNCTION("""COMPUTED_VALUE"""),527462.0)</f>
        <v>527462</v>
      </c>
      <c r="C1085" s="14" t="str">
        <f>IFERROR(__xludf.DUMMYFUNCTION("""COMPUTED_VALUE"""),"許宸銘")</f>
        <v>許宸銘</v>
      </c>
      <c r="D1085" s="16" t="str">
        <f>IFERROR(__xludf.DUMMYFUNCTION("""COMPUTED_VALUE"""),"kme*****19@gapp.hcc.edu.tw")</f>
        <v>kme*****19@gapp.hcc.edu.tw</v>
      </c>
      <c r="E1085" s="17" t="str">
        <f>IFERROR(__xludf.DUMMYFUNCTION("""COMPUTED_VALUE"""),"新竹縣竹北市光明國民小學")</f>
        <v>新竹縣竹北市光明國民小學</v>
      </c>
      <c r="F1085" s="14" t="str">
        <f>IFERROR(__xludf.DUMMYFUNCTION("""COMPUTED_VALUE"""),"六年級")</f>
        <v>六年級</v>
      </c>
      <c r="G1085" s="14" t="str">
        <f>IFERROR(__xludf.DUMMYFUNCTION("""COMPUTED_VALUE"""),"●小禮物")</f>
        <v>●小禮物</v>
      </c>
      <c r="H1085" s="8"/>
    </row>
    <row r="1086">
      <c r="A1086" s="18"/>
      <c r="B1086" s="14">
        <f>IFERROR(__xludf.DUMMYFUNCTION("""COMPUTED_VALUE"""),515440.0)</f>
        <v>515440</v>
      </c>
      <c r="C1086" s="14" t="str">
        <f>IFERROR(__xludf.DUMMYFUNCTION("""COMPUTED_VALUE"""),"莊哲艾")</f>
        <v>莊哲艾</v>
      </c>
      <c r="D1086" s="16" t="str">
        <f>IFERROR(__xludf.DUMMYFUNCTION("""COMPUTED_VALUE"""),"joh*****150505@gmail.com")</f>
        <v>joh*****150505@gmail.com</v>
      </c>
      <c r="E1086" s="17" t="str">
        <f>IFERROR(__xludf.DUMMYFUNCTION("""COMPUTED_VALUE"""),"新竹縣竹北市博愛國民小學")</f>
        <v>新竹縣竹北市博愛國民小學</v>
      </c>
      <c r="F1086" s="14" t="str">
        <f>IFERROR(__xludf.DUMMYFUNCTION("""COMPUTED_VALUE"""),"五年級")</f>
        <v>五年級</v>
      </c>
      <c r="G1086" s="14" t="str">
        <f>IFERROR(__xludf.DUMMYFUNCTION("""COMPUTED_VALUE"""),"●小禮物")</f>
        <v>●小禮物</v>
      </c>
      <c r="H1086" s="8"/>
    </row>
    <row r="1087">
      <c r="A1087" s="18"/>
      <c r="B1087" s="14">
        <f>IFERROR(__xludf.DUMMYFUNCTION("""COMPUTED_VALUE"""),1152347.0)</f>
        <v>1152347</v>
      </c>
      <c r="C1087" s="14" t="str">
        <f>IFERROR(__xludf.DUMMYFUNCTION("""COMPUTED_VALUE"""),"林子茵")</f>
        <v>林子茵</v>
      </c>
      <c r="D1087" s="16" t="str">
        <f>IFERROR(__xludf.DUMMYFUNCTION("""COMPUTED_VALUE"""),"pae*****97.hcc@mail.edu.tw")</f>
        <v>pae*****97.hcc@mail.edu.tw</v>
      </c>
      <c r="E1087" s="17" t="str">
        <f>IFERROR(__xludf.DUMMYFUNCTION("""COMPUTED_VALUE"""),"新竹縣竹北市博愛國民小學")</f>
        <v>新竹縣竹北市博愛國民小學</v>
      </c>
      <c r="F1087" s="14" t="str">
        <f>IFERROR(__xludf.DUMMYFUNCTION("""COMPUTED_VALUE"""),"六年級")</f>
        <v>六年級</v>
      </c>
      <c r="G1087" s="14" t="str">
        <f>IFERROR(__xludf.DUMMYFUNCTION("""COMPUTED_VALUE"""),"獎狀")</f>
        <v>獎狀</v>
      </c>
      <c r="H1087" s="8"/>
    </row>
    <row r="1088">
      <c r="A1088" s="18"/>
      <c r="B1088" s="14">
        <f>IFERROR(__xludf.DUMMYFUNCTION("""COMPUTED_VALUE"""),1174997.0)</f>
        <v>1174997</v>
      </c>
      <c r="C1088" s="14" t="str">
        <f>IFERROR(__xludf.DUMMYFUNCTION("""COMPUTED_VALUE"""),"莊慕晨")</f>
        <v>莊慕晨</v>
      </c>
      <c r="D1088" s="16" t="str">
        <f>IFERROR(__xludf.DUMMYFUNCTION("""COMPUTED_VALUE"""),"107*****jes.hcc.edu.tw")</f>
        <v>107*****jes.hcc.edu.tw</v>
      </c>
      <c r="E1088" s="17" t="str">
        <f>IFERROR(__xludf.DUMMYFUNCTION("""COMPUTED_VALUE"""),"新竹縣竹北市竹仁國民小學")</f>
        <v>新竹縣竹北市竹仁國民小學</v>
      </c>
      <c r="F1088" s="14" t="str">
        <f>IFERROR(__xludf.DUMMYFUNCTION("""COMPUTED_VALUE"""),"五年級")</f>
        <v>五年級</v>
      </c>
      <c r="G1088" s="14" t="str">
        <f>IFERROR(__xludf.DUMMYFUNCTION("""COMPUTED_VALUE"""),"獎狀")</f>
        <v>獎狀</v>
      </c>
      <c r="H1088" s="8"/>
    </row>
    <row r="1089">
      <c r="A1089" s="18"/>
      <c r="B1089" s="14">
        <f>IFERROR(__xludf.DUMMYFUNCTION("""COMPUTED_VALUE"""),1212343.0)</f>
        <v>1212343</v>
      </c>
      <c r="C1089" s="14" t="str">
        <f>IFERROR(__xludf.DUMMYFUNCTION("""COMPUTED_VALUE"""),"蔡詠晴")</f>
        <v>蔡詠晴</v>
      </c>
      <c r="D1089" s="16" t="str">
        <f>IFERROR(__xludf.DUMMYFUNCTION("""COMPUTED_VALUE"""),"107*****jes.hcc.edu.tw")</f>
        <v>107*****jes.hcc.edu.tw</v>
      </c>
      <c r="E1089" s="17" t="str">
        <f>IFERROR(__xludf.DUMMYFUNCTION("""COMPUTED_VALUE"""),"新竹縣竹北市竹仁國民小學")</f>
        <v>新竹縣竹北市竹仁國民小學</v>
      </c>
      <c r="F1089" s="14" t="str">
        <f>IFERROR(__xludf.DUMMYFUNCTION("""COMPUTED_VALUE"""),"五年級")</f>
        <v>五年級</v>
      </c>
      <c r="G1089" s="14" t="str">
        <f>IFERROR(__xludf.DUMMYFUNCTION("""COMPUTED_VALUE"""),"獎狀")</f>
        <v>獎狀</v>
      </c>
      <c r="H1089" s="8"/>
    </row>
    <row r="1090">
      <c r="A1090" s="18"/>
      <c r="B1090" s="14">
        <f>IFERROR(__xludf.DUMMYFUNCTION("""COMPUTED_VALUE"""),1163964.0)</f>
        <v>1163964</v>
      </c>
      <c r="C1090" s="14" t="str">
        <f>IFERROR(__xludf.DUMMYFUNCTION("""COMPUTED_VALUE"""),"王品硯")</f>
        <v>王品硯</v>
      </c>
      <c r="D1090" s="16" t="str">
        <f>IFERROR(__xludf.DUMMYFUNCTION("""COMPUTED_VALUE"""),"107*****jes.hcc.edu.tw")</f>
        <v>107*****jes.hcc.edu.tw</v>
      </c>
      <c r="E1090" s="17" t="str">
        <f>IFERROR(__xludf.DUMMYFUNCTION("""COMPUTED_VALUE"""),"新竹縣竹北市竹仁國民小學")</f>
        <v>新竹縣竹北市竹仁國民小學</v>
      </c>
      <c r="F1090" s="14" t="str">
        <f>IFERROR(__xludf.DUMMYFUNCTION("""COMPUTED_VALUE"""),"五年級")</f>
        <v>五年級</v>
      </c>
      <c r="G1090" s="14" t="str">
        <f>IFERROR(__xludf.DUMMYFUNCTION("""COMPUTED_VALUE"""),"獎狀")</f>
        <v>獎狀</v>
      </c>
      <c r="H1090" s="8"/>
    </row>
    <row r="1091">
      <c r="A1091" s="18"/>
      <c r="B1091" s="14">
        <f>IFERROR(__xludf.DUMMYFUNCTION("""COMPUTED_VALUE"""),774934.0)</f>
        <v>774934</v>
      </c>
      <c r="C1091" s="14" t="str">
        <f>IFERROR(__xludf.DUMMYFUNCTION("""COMPUTED_VALUE"""),"戴劭丞")</f>
        <v>戴劭丞</v>
      </c>
      <c r="D1091" s="16" t="str">
        <f>IFERROR(__xludf.DUMMYFUNCTION("""COMPUTED_VALUE"""),"cje*****40@gapp.hcc.edu.tw")</f>
        <v>cje*****40@gapp.hcc.edu.tw</v>
      </c>
      <c r="E1091" s="17" t="str">
        <f>IFERROR(__xludf.DUMMYFUNCTION("""COMPUTED_VALUE"""),"新竹縣竹北市竹仁國民小學")</f>
        <v>新竹縣竹北市竹仁國民小學</v>
      </c>
      <c r="F1091" s="14" t="str">
        <f>IFERROR(__xludf.DUMMYFUNCTION("""COMPUTED_VALUE"""),"六年級")</f>
        <v>六年級</v>
      </c>
      <c r="G1091" s="14" t="str">
        <f>IFERROR(__xludf.DUMMYFUNCTION("""COMPUTED_VALUE"""),"獎狀")</f>
        <v>獎狀</v>
      </c>
      <c r="H1091" s="8"/>
    </row>
    <row r="1092">
      <c r="A1092" s="18"/>
      <c r="B1092" s="14">
        <f>IFERROR(__xludf.DUMMYFUNCTION("""COMPUTED_VALUE"""),953217.0)</f>
        <v>953217</v>
      </c>
      <c r="C1092" s="14" t="str">
        <f>IFERROR(__xludf.DUMMYFUNCTION("""COMPUTED_VALUE"""),"廖琦心")</f>
        <v>廖琦心</v>
      </c>
      <c r="D1092" s="16" t="str">
        <f>IFERROR(__xludf.DUMMYFUNCTION("""COMPUTED_VALUE"""),"kyo*****00.liao@gmail.com")</f>
        <v>kyo*****00.liao@gmail.com</v>
      </c>
      <c r="E1092" s="17" t="str">
        <f>IFERROR(__xludf.DUMMYFUNCTION("""COMPUTED_VALUE"""),"新竹縣竹北市中正國民小學")</f>
        <v>新竹縣竹北市中正國民小學</v>
      </c>
      <c r="F1092" s="14" t="str">
        <f>IFERROR(__xludf.DUMMYFUNCTION("""COMPUTED_VALUE"""),"四年級")</f>
        <v>四年級</v>
      </c>
      <c r="G1092" s="14" t="str">
        <f>IFERROR(__xludf.DUMMYFUNCTION("""COMPUTED_VALUE"""),"●小禮物")</f>
        <v>●小禮物</v>
      </c>
      <c r="H1092" s="8"/>
    </row>
    <row r="1093">
      <c r="A1093" s="18"/>
      <c r="B1093" s="14">
        <f>IFERROR(__xludf.DUMMYFUNCTION("""COMPUTED_VALUE"""),1169618.0)</f>
        <v>1169618</v>
      </c>
      <c r="C1093" s="14" t="str">
        <f>IFERROR(__xludf.DUMMYFUNCTION("""COMPUTED_VALUE"""),"劉政豪")</f>
        <v>劉政豪</v>
      </c>
      <c r="D1093" s="16" t="str">
        <f>IFERROR(__xludf.DUMMYFUNCTION("""COMPUTED_VALUE"""),"cce*****29@gapp.hcc.edu.tw")</f>
        <v>cce*****29@gapp.hcc.edu.tw</v>
      </c>
      <c r="E1093" s="17" t="str">
        <f>IFERROR(__xludf.DUMMYFUNCTION("""COMPUTED_VALUE"""),"新竹縣竹北市中正國民小學")</f>
        <v>新竹縣竹北市中正國民小學</v>
      </c>
      <c r="F1093" s="14" t="str">
        <f>IFERROR(__xludf.DUMMYFUNCTION("""COMPUTED_VALUE"""),"四年級")</f>
        <v>四年級</v>
      </c>
      <c r="G1093" s="14" t="str">
        <f>IFERROR(__xludf.DUMMYFUNCTION("""COMPUTED_VALUE"""),"●小禮物")</f>
        <v>●小禮物</v>
      </c>
      <c r="H1093" s="8"/>
    </row>
    <row r="1094">
      <c r="A1094" s="18"/>
      <c r="B1094" s="14">
        <f>IFERROR(__xludf.DUMMYFUNCTION("""COMPUTED_VALUE"""),898240.0)</f>
        <v>898240</v>
      </c>
      <c r="C1094" s="14" t="str">
        <f>IFERROR(__xludf.DUMMYFUNCTION("""COMPUTED_VALUE"""),"賴聲任")</f>
        <v>賴聲任</v>
      </c>
      <c r="D1094" s="16" t="str">
        <f>IFERROR(__xludf.DUMMYFUNCTION("""COMPUTED_VALUE"""),"cce*****01@gapp.hcc.edu.tw")</f>
        <v>cce*****01@gapp.hcc.edu.tw</v>
      </c>
      <c r="E1094" s="17" t="str">
        <f>IFERROR(__xludf.DUMMYFUNCTION("""COMPUTED_VALUE"""),"新竹縣竹北市中正國民小學")</f>
        <v>新竹縣竹北市中正國民小學</v>
      </c>
      <c r="F1094" s="14" t="str">
        <f>IFERROR(__xludf.DUMMYFUNCTION("""COMPUTED_VALUE"""),"四年級")</f>
        <v>四年級</v>
      </c>
      <c r="G1094" s="14" t="str">
        <f>IFERROR(__xludf.DUMMYFUNCTION("""COMPUTED_VALUE"""),"獎狀")</f>
        <v>獎狀</v>
      </c>
      <c r="H1094" s="8"/>
    </row>
    <row r="1095">
      <c r="A1095" s="18"/>
      <c r="B1095" s="14">
        <f>IFERROR(__xludf.DUMMYFUNCTION("""COMPUTED_VALUE"""),880241.0)</f>
        <v>880241</v>
      </c>
      <c r="C1095" s="14" t="str">
        <f>IFERROR(__xludf.DUMMYFUNCTION("""COMPUTED_VALUE"""),"陳秉浤")</f>
        <v>陳秉浤</v>
      </c>
      <c r="D1095" s="16" t="str">
        <f>IFERROR(__xludf.DUMMYFUNCTION("""COMPUTED_VALUE"""),"cce*****56@gapp.hcc.edu.tw")</f>
        <v>cce*****56@gapp.hcc.edu.tw</v>
      </c>
      <c r="E1095" s="17" t="str">
        <f>IFERROR(__xludf.DUMMYFUNCTION("""COMPUTED_VALUE"""),"新竹縣竹北市中正國民小學")</f>
        <v>新竹縣竹北市中正國民小學</v>
      </c>
      <c r="F1095" s="14" t="str">
        <f>IFERROR(__xludf.DUMMYFUNCTION("""COMPUTED_VALUE"""),"五年級")</f>
        <v>五年級</v>
      </c>
      <c r="G1095" s="14" t="str">
        <f>IFERROR(__xludf.DUMMYFUNCTION("""COMPUTED_VALUE"""),"●小禮物")</f>
        <v>●小禮物</v>
      </c>
      <c r="H1095" s="8"/>
    </row>
    <row r="1096">
      <c r="A1096" s="18"/>
      <c r="B1096" s="14">
        <f>IFERROR(__xludf.DUMMYFUNCTION("""COMPUTED_VALUE"""),899032.0)</f>
        <v>899032</v>
      </c>
      <c r="C1096" s="14" t="str">
        <f>IFERROR(__xludf.DUMMYFUNCTION("""COMPUTED_VALUE"""),"邱重曜")</f>
        <v>邱重曜</v>
      </c>
      <c r="D1096" s="16" t="str">
        <f>IFERROR(__xludf.DUMMYFUNCTION("""COMPUTED_VALUE"""),"cce*****02@gapp.hcc.edu.tw")</f>
        <v>cce*****02@gapp.hcc.edu.tw</v>
      </c>
      <c r="E1096" s="17" t="str">
        <f>IFERROR(__xludf.DUMMYFUNCTION("""COMPUTED_VALUE"""),"新竹縣竹北市中正國民小學")</f>
        <v>新竹縣竹北市中正國民小學</v>
      </c>
      <c r="F1096" s="14" t="str">
        <f>IFERROR(__xludf.DUMMYFUNCTION("""COMPUTED_VALUE"""),"六年級")</f>
        <v>六年級</v>
      </c>
      <c r="G1096" s="14" t="str">
        <f>IFERROR(__xludf.DUMMYFUNCTION("""COMPUTED_VALUE"""),"●小禮物")</f>
        <v>●小禮物</v>
      </c>
      <c r="H1096" s="8"/>
    </row>
    <row r="1097">
      <c r="A1097" s="18"/>
      <c r="B1097" s="14">
        <f>IFERROR(__xludf.DUMMYFUNCTION("""COMPUTED_VALUE"""),1140789.0)</f>
        <v>1140789</v>
      </c>
      <c r="C1097" s="14" t="str">
        <f>IFERROR(__xludf.DUMMYFUNCTION("""COMPUTED_VALUE"""),"姜詠翔")</f>
        <v>姜詠翔</v>
      </c>
      <c r="D1097" s="16" t="str">
        <f>IFERROR(__xludf.DUMMYFUNCTION("""COMPUTED_VALUE"""),"kis*****0@yahoo.com.tw")</f>
        <v>kis*****0@yahoo.com.tw</v>
      </c>
      <c r="E1097" s="17" t="str">
        <f>IFERROR(__xludf.DUMMYFUNCTION("""COMPUTED_VALUE"""),"新竹縣竹北市中正國民小學")</f>
        <v>新竹縣竹北市中正國民小學</v>
      </c>
      <c r="F1097" s="14" t="str">
        <f>IFERROR(__xludf.DUMMYFUNCTION("""COMPUTED_VALUE"""),"六年級")</f>
        <v>六年級</v>
      </c>
      <c r="G1097" s="14" t="str">
        <f>IFERROR(__xludf.DUMMYFUNCTION("""COMPUTED_VALUE"""),"●小禮物")</f>
        <v>●小禮物</v>
      </c>
      <c r="H1097" s="8"/>
    </row>
    <row r="1098">
      <c r="A1098" s="18"/>
      <c r="B1098" s="14">
        <f>IFERROR(__xludf.DUMMYFUNCTION("""COMPUTED_VALUE"""),894996.0)</f>
        <v>894996</v>
      </c>
      <c r="C1098" s="14" t="str">
        <f>IFERROR(__xludf.DUMMYFUNCTION("""COMPUTED_VALUE"""),"劉愷硯")</f>
        <v>劉愷硯</v>
      </c>
      <c r="D1098" s="16" t="str">
        <f>IFERROR(__xludf.DUMMYFUNCTION("""COMPUTED_VALUE"""),"cce*****63@gapp.hcc.edu.tw")</f>
        <v>cce*****63@gapp.hcc.edu.tw</v>
      </c>
      <c r="E1098" s="17" t="str">
        <f>IFERROR(__xludf.DUMMYFUNCTION("""COMPUTED_VALUE"""),"新竹縣竹北市中正國民小學")</f>
        <v>新竹縣竹北市中正國民小學</v>
      </c>
      <c r="F1098" s="14" t="str">
        <f>IFERROR(__xludf.DUMMYFUNCTION("""COMPUTED_VALUE"""),"六年級")</f>
        <v>六年級</v>
      </c>
      <c r="G1098" s="14" t="str">
        <f>IFERROR(__xludf.DUMMYFUNCTION("""COMPUTED_VALUE"""),"獎狀")</f>
        <v>獎狀</v>
      </c>
      <c r="H1098" s="8"/>
    </row>
    <row r="1099">
      <c r="A1099" s="18"/>
      <c r="B1099" s="14">
        <f>IFERROR(__xludf.DUMMYFUNCTION("""COMPUTED_VALUE"""),862257.0)</f>
        <v>862257</v>
      </c>
      <c r="C1099" s="14" t="str">
        <f>IFERROR(__xludf.DUMMYFUNCTION("""COMPUTED_VALUE"""),"陳泰宇")</f>
        <v>陳泰宇</v>
      </c>
      <c r="D1099" s="16" t="str">
        <f>IFERROR(__xludf.DUMMYFUNCTION("""COMPUTED_VALUE"""),"ter*****rrr@gmail.com")</f>
        <v>ter*****rrr@gmail.com</v>
      </c>
      <c r="E1099" s="17" t="str">
        <f>IFERROR(__xludf.DUMMYFUNCTION("""COMPUTED_VALUE"""),"新竹縣竹北市新港國民小學")</f>
        <v>新竹縣竹北市新港國民小學</v>
      </c>
      <c r="F1099" s="14" t="str">
        <f>IFERROR(__xludf.DUMMYFUNCTION("""COMPUTED_VALUE"""),"五年級")</f>
        <v>五年級</v>
      </c>
      <c r="G1099" s="14" t="str">
        <f>IFERROR(__xludf.DUMMYFUNCTION("""COMPUTED_VALUE"""),"獎狀")</f>
        <v>獎狀</v>
      </c>
      <c r="H1099" s="8"/>
    </row>
    <row r="1100">
      <c r="A1100" s="18"/>
      <c r="B1100" s="14">
        <f>IFERROR(__xludf.DUMMYFUNCTION("""COMPUTED_VALUE"""),305195.0)</f>
        <v>305195</v>
      </c>
      <c r="C1100" s="14" t="str">
        <f>IFERROR(__xludf.DUMMYFUNCTION("""COMPUTED_VALUE"""),"王柔予")</f>
        <v>王柔予</v>
      </c>
      <c r="D1100" s="16" t="str">
        <f>IFERROR(__xludf.DUMMYFUNCTION("""COMPUTED_VALUE"""),"hge*****5@gapp.hcc.edu.tw")</f>
        <v>hge*****5@gapp.hcc.edu.tw</v>
      </c>
      <c r="E1100" s="17" t="str">
        <f>IFERROR(__xludf.DUMMYFUNCTION("""COMPUTED_VALUE"""),"新竹縣竹北市新港國民小學")</f>
        <v>新竹縣竹北市新港國民小學</v>
      </c>
      <c r="F1100" s="14" t="str">
        <f>IFERROR(__xludf.DUMMYFUNCTION("""COMPUTED_VALUE"""),"六年級")</f>
        <v>六年級</v>
      </c>
      <c r="G1100" s="14" t="str">
        <f>IFERROR(__xludf.DUMMYFUNCTION("""COMPUTED_VALUE"""),"獎狀")</f>
        <v>獎狀</v>
      </c>
      <c r="H1100" s="8"/>
    </row>
    <row r="1101">
      <c r="A1101" s="18"/>
      <c r="B1101" s="14">
        <f>IFERROR(__xludf.DUMMYFUNCTION("""COMPUTED_VALUE"""),710318.0)</f>
        <v>710318</v>
      </c>
      <c r="C1101" s="14" t="str">
        <f>IFERROR(__xludf.DUMMYFUNCTION("""COMPUTED_VALUE"""),"葉沛儀")</f>
        <v>葉沛儀</v>
      </c>
      <c r="D1101" s="16" t="str">
        <f>IFERROR(__xludf.DUMMYFUNCTION("""COMPUTED_VALUE"""),"shp*****31.hcc@mail.edu.tw")</f>
        <v>shp*****31.hcc@mail.edu.tw</v>
      </c>
      <c r="E1101" s="17" t="str">
        <f>IFERROR(__xludf.DUMMYFUNCTION("""COMPUTED_VALUE"""),"新竹縣竹北市十興國民小學")</f>
        <v>新竹縣竹北市十興國民小學</v>
      </c>
      <c r="F1101" s="14" t="str">
        <f>IFERROR(__xludf.DUMMYFUNCTION("""COMPUTED_VALUE"""),"三年級")</f>
        <v>三年級</v>
      </c>
      <c r="G1101" s="14" t="str">
        <f>IFERROR(__xludf.DUMMYFUNCTION("""COMPUTED_VALUE"""),"獎狀")</f>
        <v>獎狀</v>
      </c>
      <c r="H1101" s="8"/>
    </row>
    <row r="1102">
      <c r="A1102" s="18"/>
      <c r="B1102" s="14">
        <f>IFERROR(__xludf.DUMMYFUNCTION("""COMPUTED_VALUE"""),269816.0)</f>
        <v>269816</v>
      </c>
      <c r="C1102" s="14" t="str">
        <f>IFERROR(__xludf.DUMMYFUNCTION("""COMPUTED_VALUE"""),"郭禹葳")</f>
        <v>郭禹葳</v>
      </c>
      <c r="D1102" s="16" t="str">
        <f>IFERROR(__xludf.DUMMYFUNCTION("""COMPUTED_VALUE"""),"pih*****@gmail.com")</f>
        <v>pih*****@gmail.com</v>
      </c>
      <c r="E1102" s="17" t="str">
        <f>IFERROR(__xludf.DUMMYFUNCTION("""COMPUTED_VALUE"""),"新竹縣竹北市十興國民小學")</f>
        <v>新竹縣竹北市十興國民小學</v>
      </c>
      <c r="F1102" s="14" t="str">
        <f>IFERROR(__xludf.DUMMYFUNCTION("""COMPUTED_VALUE"""),"五年級")</f>
        <v>五年級</v>
      </c>
      <c r="G1102" s="14" t="str">
        <f>IFERROR(__xludf.DUMMYFUNCTION("""COMPUTED_VALUE"""),"獎狀")</f>
        <v>獎狀</v>
      </c>
      <c r="H1102" s="8"/>
    </row>
    <row r="1103">
      <c r="A1103" s="18"/>
      <c r="B1103" s="14">
        <f>IFERROR(__xludf.DUMMYFUNCTION("""COMPUTED_VALUE"""),1127855.0)</f>
        <v>1127855</v>
      </c>
      <c r="C1103" s="14" t="str">
        <f>IFERROR(__xludf.DUMMYFUNCTION("""COMPUTED_VALUE"""),"詹欣盈")</f>
        <v>詹欣盈</v>
      </c>
      <c r="D1103" s="16" t="str">
        <f>IFERROR(__xludf.DUMMYFUNCTION("""COMPUTED_VALUE"""),"lje*****63@mail.edu.tw")</f>
        <v>lje*****63@mail.edu.tw</v>
      </c>
      <c r="E1103" s="17" t="str">
        <f>IFERROR(__xludf.DUMMYFUNCTION("""COMPUTED_VALUE"""),"新竹縣竹北市六家國民小學")</f>
        <v>新竹縣竹北市六家國民小學</v>
      </c>
      <c r="F1103" s="14" t="str">
        <f>IFERROR(__xludf.DUMMYFUNCTION("""COMPUTED_VALUE"""),"三年級")</f>
        <v>三年級</v>
      </c>
      <c r="G1103" s="14" t="str">
        <f>IFERROR(__xludf.DUMMYFUNCTION("""COMPUTED_VALUE"""),"獎狀")</f>
        <v>獎狀</v>
      </c>
      <c r="H1103" s="8"/>
    </row>
    <row r="1104">
      <c r="A1104" s="18"/>
      <c r="B1104" s="14">
        <f>IFERROR(__xludf.DUMMYFUNCTION("""COMPUTED_VALUE"""),1015503.0)</f>
        <v>1015503</v>
      </c>
      <c r="C1104" s="14" t="str">
        <f>IFERROR(__xludf.DUMMYFUNCTION("""COMPUTED_VALUE"""),"李彥辰")</f>
        <v>李彥辰</v>
      </c>
      <c r="D1104" s="16" t="str">
        <f>IFERROR(__xludf.DUMMYFUNCTION("""COMPUTED_VALUE"""),"msg*****n@gmail.com")</f>
        <v>msg*****n@gmail.com</v>
      </c>
      <c r="E1104" s="17" t="str">
        <f>IFERROR(__xludf.DUMMYFUNCTION("""COMPUTED_VALUE"""),"新竹縣竹北市六家國民小學")</f>
        <v>新竹縣竹北市六家國民小學</v>
      </c>
      <c r="F1104" s="14" t="str">
        <f>IFERROR(__xludf.DUMMYFUNCTION("""COMPUTED_VALUE"""),"三年級")</f>
        <v>三年級</v>
      </c>
      <c r="G1104" s="14" t="str">
        <f>IFERROR(__xludf.DUMMYFUNCTION("""COMPUTED_VALUE"""),"獎狀")</f>
        <v>獎狀</v>
      </c>
      <c r="H1104" s="8"/>
    </row>
    <row r="1105">
      <c r="A1105" s="18"/>
      <c r="B1105" s="14">
        <f>IFERROR(__xludf.DUMMYFUNCTION("""COMPUTED_VALUE"""),1177581.0)</f>
        <v>1177581</v>
      </c>
      <c r="C1105" s="14" t="str">
        <f>IFERROR(__xludf.DUMMYFUNCTION("""COMPUTED_VALUE"""),"傅奕森")</f>
        <v>傅奕森</v>
      </c>
      <c r="D1105" s="16" t="str">
        <f>IFERROR(__xludf.DUMMYFUNCTION("""COMPUTED_VALUE"""),"lje*****14@ljes.hcc.edu.tw")</f>
        <v>lje*****14@ljes.hcc.edu.tw</v>
      </c>
      <c r="E1105" s="17" t="str">
        <f>IFERROR(__xludf.DUMMYFUNCTION("""COMPUTED_VALUE"""),"新竹縣竹北市六家國民小學")</f>
        <v>新竹縣竹北市六家國民小學</v>
      </c>
      <c r="F1105" s="14" t="str">
        <f>IFERROR(__xludf.DUMMYFUNCTION("""COMPUTED_VALUE"""),"五年級")</f>
        <v>五年級</v>
      </c>
      <c r="G1105" s="14" t="str">
        <f>IFERROR(__xludf.DUMMYFUNCTION("""COMPUTED_VALUE"""),"●小禮物")</f>
        <v>●小禮物</v>
      </c>
      <c r="H1105" s="8"/>
    </row>
    <row r="1106">
      <c r="A1106" s="18"/>
      <c r="B1106" s="14">
        <f>IFERROR(__xludf.DUMMYFUNCTION("""COMPUTED_VALUE"""),1165943.0)</f>
        <v>1165943</v>
      </c>
      <c r="C1106" s="14" t="str">
        <f>IFERROR(__xludf.DUMMYFUNCTION("""COMPUTED_VALUE"""),"吳秉錡")</f>
        <v>吳秉錡</v>
      </c>
      <c r="D1106" s="16" t="str">
        <f>IFERROR(__xludf.DUMMYFUNCTION("""COMPUTED_VALUE"""),"clp*****52.hcc@mail.edu.tw")</f>
        <v>clp*****52.hcc@mail.edu.tw</v>
      </c>
      <c r="E1106" s="17" t="str">
        <f>IFERROR(__xludf.DUMMYFUNCTION("""COMPUTED_VALUE"""),"新竹縣新豐鄉松林國民小學")</f>
        <v>新竹縣新豐鄉松林國民小學</v>
      </c>
      <c r="F1106" s="14" t="str">
        <f>IFERROR(__xludf.DUMMYFUNCTION("""COMPUTED_VALUE"""),"五年級")</f>
        <v>五年級</v>
      </c>
      <c r="G1106" s="14" t="str">
        <f>IFERROR(__xludf.DUMMYFUNCTION("""COMPUTED_VALUE"""),"●小禮物")</f>
        <v>●小禮物</v>
      </c>
      <c r="H1106" s="8"/>
    </row>
    <row r="1107">
      <c r="A1107" s="18"/>
      <c r="B1107" s="14">
        <f>IFERROR(__xludf.DUMMYFUNCTION("""COMPUTED_VALUE"""),1165911.0)</f>
        <v>1165911</v>
      </c>
      <c r="C1107" s="14" t="str">
        <f>IFERROR(__xludf.DUMMYFUNCTION("""COMPUTED_VALUE"""),"張育菘")</f>
        <v>張育菘</v>
      </c>
      <c r="D1107" s="16" t="str">
        <f>IFERROR(__xludf.DUMMYFUNCTION("""COMPUTED_VALUE"""),"clp*****79.hcc@go.edu.tw")</f>
        <v>clp*****79.hcc@go.edu.tw</v>
      </c>
      <c r="E1107" s="17" t="str">
        <f>IFERROR(__xludf.DUMMYFUNCTION("""COMPUTED_VALUE"""),"新竹縣新豐鄉松林國民小學")</f>
        <v>新竹縣新豐鄉松林國民小學</v>
      </c>
      <c r="F1107" s="14" t="str">
        <f>IFERROR(__xludf.DUMMYFUNCTION("""COMPUTED_VALUE"""),"五年級")</f>
        <v>五年級</v>
      </c>
      <c r="G1107" s="14" t="str">
        <f>IFERROR(__xludf.DUMMYFUNCTION("""COMPUTED_VALUE"""),"●小禮物")</f>
        <v>●小禮物</v>
      </c>
      <c r="H1107" s="8"/>
    </row>
    <row r="1108">
      <c r="A1108" s="18"/>
      <c r="B1108" s="14">
        <f>IFERROR(__xludf.DUMMYFUNCTION("""COMPUTED_VALUE"""),1166101.0)</f>
        <v>1166101</v>
      </c>
      <c r="C1108" s="14" t="str">
        <f>IFERROR(__xludf.DUMMYFUNCTION("""COMPUTED_VALUE"""),"曾禹程")</f>
        <v>曾禹程</v>
      </c>
      <c r="D1108" s="16" t="str">
        <f>IFERROR(__xludf.DUMMYFUNCTION("""COMPUTED_VALUE"""),"clp*****45.hcc@mail.edu.tw")</f>
        <v>clp*****45.hcc@mail.edu.tw</v>
      </c>
      <c r="E1108" s="17" t="str">
        <f>IFERROR(__xludf.DUMMYFUNCTION("""COMPUTED_VALUE"""),"新竹縣新豐鄉松林國民小學")</f>
        <v>新竹縣新豐鄉松林國民小學</v>
      </c>
      <c r="F1108" s="14" t="str">
        <f>IFERROR(__xludf.DUMMYFUNCTION("""COMPUTED_VALUE"""),"五年級")</f>
        <v>五年級</v>
      </c>
      <c r="G1108" s="14" t="str">
        <f>IFERROR(__xludf.DUMMYFUNCTION("""COMPUTED_VALUE"""),"●小禮物")</f>
        <v>●小禮物</v>
      </c>
      <c r="H1108" s="8"/>
    </row>
    <row r="1109">
      <c r="A1109" s="18"/>
      <c r="B1109" s="14">
        <f>IFERROR(__xludf.DUMMYFUNCTION("""COMPUTED_VALUE"""),1209603.0)</f>
        <v>1209603</v>
      </c>
      <c r="C1109" s="14" t="str">
        <f>IFERROR(__xludf.DUMMYFUNCTION("""COMPUTED_VALUE"""),"賴昕霈")</f>
        <v>賴昕霈</v>
      </c>
      <c r="D1109" s="16" t="str">
        <f>IFERROR(__xludf.DUMMYFUNCTION("""COMPUTED_VALUE"""),"clp*****19.hcc@mail.edu.tw")</f>
        <v>clp*****19.hcc@mail.edu.tw</v>
      </c>
      <c r="E1109" s="17" t="str">
        <f>IFERROR(__xludf.DUMMYFUNCTION("""COMPUTED_VALUE"""),"新竹縣新豐鄉松林國民小學")</f>
        <v>新竹縣新豐鄉松林國民小學</v>
      </c>
      <c r="F1109" s="14" t="str">
        <f>IFERROR(__xludf.DUMMYFUNCTION("""COMPUTED_VALUE"""),"五年級")</f>
        <v>五年級</v>
      </c>
      <c r="G1109" s="14" t="str">
        <f>IFERROR(__xludf.DUMMYFUNCTION("""COMPUTED_VALUE"""),"●小禮物")</f>
        <v>●小禮物</v>
      </c>
      <c r="H1109" s="8"/>
    </row>
    <row r="1110">
      <c r="A1110" s="18"/>
      <c r="B1110" s="14">
        <f>IFERROR(__xludf.DUMMYFUNCTION("""COMPUTED_VALUE"""),1165910.0)</f>
        <v>1165910</v>
      </c>
      <c r="C1110" s="14" t="str">
        <f>IFERROR(__xludf.DUMMYFUNCTION("""COMPUTED_VALUE"""),"謝子濬")</f>
        <v>謝子濬</v>
      </c>
      <c r="D1110" s="16" t="str">
        <f>IFERROR(__xludf.DUMMYFUNCTION("""COMPUTED_VALUE"""),"clp*****71@go.edu.tw")</f>
        <v>clp*****71@go.edu.tw</v>
      </c>
      <c r="E1110" s="17" t="str">
        <f>IFERROR(__xludf.DUMMYFUNCTION("""COMPUTED_VALUE"""),"新竹縣新豐鄉松林國民小學")</f>
        <v>新竹縣新豐鄉松林國民小學</v>
      </c>
      <c r="F1110" s="14" t="str">
        <f>IFERROR(__xludf.DUMMYFUNCTION("""COMPUTED_VALUE"""),"五年級")</f>
        <v>五年級</v>
      </c>
      <c r="G1110" s="14" t="str">
        <f>IFERROR(__xludf.DUMMYFUNCTION("""COMPUTED_VALUE"""),"●小禮物")</f>
        <v>●小禮物</v>
      </c>
      <c r="H1110" s="8"/>
    </row>
    <row r="1111">
      <c r="A1111" s="18"/>
      <c r="B1111" s="14">
        <f>IFERROR(__xludf.DUMMYFUNCTION("""COMPUTED_VALUE"""),1166120.0)</f>
        <v>1166120</v>
      </c>
      <c r="C1111" s="14" t="str">
        <f>IFERROR(__xludf.DUMMYFUNCTION("""COMPUTED_VALUE"""),"何沺沺")</f>
        <v>何沺沺</v>
      </c>
      <c r="D1111" s="16" t="str">
        <f>IFERROR(__xludf.DUMMYFUNCTION("""COMPUTED_VALUE"""),"clp*****73.hcc@go.edu.tw")</f>
        <v>clp*****73.hcc@go.edu.tw</v>
      </c>
      <c r="E1111" s="17" t="str">
        <f>IFERROR(__xludf.DUMMYFUNCTION("""COMPUTED_VALUE"""),"新竹縣新豐鄉松林國民小學")</f>
        <v>新竹縣新豐鄉松林國民小學</v>
      </c>
      <c r="F1111" s="14" t="str">
        <f>IFERROR(__xludf.DUMMYFUNCTION("""COMPUTED_VALUE"""),"五年級")</f>
        <v>五年級</v>
      </c>
      <c r="G1111" s="14" t="str">
        <f>IFERROR(__xludf.DUMMYFUNCTION("""COMPUTED_VALUE"""),"獎狀")</f>
        <v>獎狀</v>
      </c>
      <c r="H1111" s="8"/>
    </row>
    <row r="1112">
      <c r="A1112" s="18"/>
      <c r="B1112" s="14">
        <f>IFERROR(__xludf.DUMMYFUNCTION("""COMPUTED_VALUE"""),1208971.0)</f>
        <v>1208971</v>
      </c>
      <c r="C1112" s="14" t="str">
        <f>IFERROR(__xludf.DUMMYFUNCTION("""COMPUTED_VALUE"""),"邱芯婗")</f>
        <v>邱芯婗</v>
      </c>
      <c r="D1112" s="16" t="str">
        <f>IFERROR(__xludf.DUMMYFUNCTION("""COMPUTED_VALUE"""),"clp*****89@go.edu.tw")</f>
        <v>clp*****89@go.edu.tw</v>
      </c>
      <c r="E1112" s="17" t="str">
        <f>IFERROR(__xludf.DUMMYFUNCTION("""COMPUTED_VALUE"""),"新竹縣新豐鄉松林國民小學")</f>
        <v>新竹縣新豐鄉松林國民小學</v>
      </c>
      <c r="F1112" s="14" t="str">
        <f>IFERROR(__xludf.DUMMYFUNCTION("""COMPUTED_VALUE"""),"五年級")</f>
        <v>五年級</v>
      </c>
      <c r="G1112" s="14" t="str">
        <f>IFERROR(__xludf.DUMMYFUNCTION("""COMPUTED_VALUE"""),"獎狀")</f>
        <v>獎狀</v>
      </c>
      <c r="H1112" s="8"/>
    </row>
    <row r="1113">
      <c r="A1113" s="18"/>
      <c r="B1113" s="14">
        <f>IFERROR(__xludf.DUMMYFUNCTION("""COMPUTED_VALUE"""),1166094.0)</f>
        <v>1166094</v>
      </c>
      <c r="C1113" s="14" t="str">
        <f>IFERROR(__xludf.DUMMYFUNCTION("""COMPUTED_VALUE"""),"姜采彤")</f>
        <v>姜采彤</v>
      </c>
      <c r="D1113" s="16" t="str">
        <f>IFERROR(__xludf.DUMMYFUNCTION("""COMPUTED_VALUE"""),"clp*****38.hcc@mail.edu.tw")</f>
        <v>clp*****38.hcc@mail.edu.tw</v>
      </c>
      <c r="E1113" s="17" t="str">
        <f>IFERROR(__xludf.DUMMYFUNCTION("""COMPUTED_VALUE"""),"新竹縣新豐鄉松林國民小學")</f>
        <v>新竹縣新豐鄉松林國民小學</v>
      </c>
      <c r="F1113" s="14" t="str">
        <f>IFERROR(__xludf.DUMMYFUNCTION("""COMPUTED_VALUE"""),"五年級")</f>
        <v>五年級</v>
      </c>
      <c r="G1113" s="14" t="str">
        <f>IFERROR(__xludf.DUMMYFUNCTION("""COMPUTED_VALUE"""),"獎狀")</f>
        <v>獎狀</v>
      </c>
      <c r="H1113" s="8"/>
    </row>
    <row r="1114">
      <c r="A1114" s="18"/>
      <c r="B1114" s="14">
        <f>IFERROR(__xludf.DUMMYFUNCTION("""COMPUTED_VALUE"""),1166117.0)</f>
        <v>1166117</v>
      </c>
      <c r="C1114" s="14" t="str">
        <f>IFERROR(__xludf.DUMMYFUNCTION("""COMPUTED_VALUE"""),"孫湘祈")</f>
        <v>孫湘祈</v>
      </c>
      <c r="D1114" s="16" t="str">
        <f>IFERROR(__xludf.DUMMYFUNCTION("""COMPUTED_VALUE"""),"clp*****08.hcc@mail.edu.tw")</f>
        <v>clp*****08.hcc@mail.edu.tw</v>
      </c>
      <c r="E1114" s="17" t="str">
        <f>IFERROR(__xludf.DUMMYFUNCTION("""COMPUTED_VALUE"""),"新竹縣新豐鄉松林國民小學")</f>
        <v>新竹縣新豐鄉松林國民小學</v>
      </c>
      <c r="F1114" s="14" t="str">
        <f>IFERROR(__xludf.DUMMYFUNCTION("""COMPUTED_VALUE"""),"五年級")</f>
        <v>五年級</v>
      </c>
      <c r="G1114" s="14" t="str">
        <f>IFERROR(__xludf.DUMMYFUNCTION("""COMPUTED_VALUE"""),"獎狀")</f>
        <v>獎狀</v>
      </c>
      <c r="H1114" s="8"/>
    </row>
    <row r="1115">
      <c r="A1115" s="18"/>
      <c r="B1115" s="14">
        <f>IFERROR(__xludf.DUMMYFUNCTION("""COMPUTED_VALUE"""),1166116.0)</f>
        <v>1166116</v>
      </c>
      <c r="C1115" s="14" t="str">
        <f>IFERROR(__xludf.DUMMYFUNCTION("""COMPUTED_VALUE"""),"徐孟妤")</f>
        <v>徐孟妤</v>
      </c>
      <c r="D1115" s="16" t="str">
        <f>IFERROR(__xludf.DUMMYFUNCTION("""COMPUTED_VALUE"""),"clp*****72.hcc@mail.edu.tw")</f>
        <v>clp*****72.hcc@mail.edu.tw</v>
      </c>
      <c r="E1115" s="17" t="str">
        <f>IFERROR(__xludf.DUMMYFUNCTION("""COMPUTED_VALUE"""),"新竹縣新豐鄉松林國民小學")</f>
        <v>新竹縣新豐鄉松林國民小學</v>
      </c>
      <c r="F1115" s="14" t="str">
        <f>IFERROR(__xludf.DUMMYFUNCTION("""COMPUTED_VALUE"""),"五年級")</f>
        <v>五年級</v>
      </c>
      <c r="G1115" s="14" t="str">
        <f>IFERROR(__xludf.DUMMYFUNCTION("""COMPUTED_VALUE"""),"獎狀")</f>
        <v>獎狀</v>
      </c>
      <c r="H1115" s="8"/>
    </row>
    <row r="1116">
      <c r="A1116" s="18"/>
      <c r="B1116" s="14">
        <f>IFERROR(__xludf.DUMMYFUNCTION("""COMPUTED_VALUE"""),1166114.0)</f>
        <v>1166114</v>
      </c>
      <c r="C1116" s="14" t="str">
        <f>IFERROR(__xludf.DUMMYFUNCTION("""COMPUTED_VALUE"""),"陳羿翔")</f>
        <v>陳羿翔</v>
      </c>
      <c r="D1116" s="16" t="str">
        <f>IFERROR(__xludf.DUMMYFUNCTION("""COMPUTED_VALUE"""),"clp*****56.hcc@mail.edu.tw")</f>
        <v>clp*****56.hcc@mail.edu.tw</v>
      </c>
      <c r="E1116" s="17" t="str">
        <f>IFERROR(__xludf.DUMMYFUNCTION("""COMPUTED_VALUE"""),"新竹縣新豐鄉松林國民小學")</f>
        <v>新竹縣新豐鄉松林國民小學</v>
      </c>
      <c r="F1116" s="14" t="str">
        <f>IFERROR(__xludf.DUMMYFUNCTION("""COMPUTED_VALUE"""),"五年級")</f>
        <v>五年級</v>
      </c>
      <c r="G1116" s="14" t="str">
        <f>IFERROR(__xludf.DUMMYFUNCTION("""COMPUTED_VALUE"""),"獎狀")</f>
        <v>獎狀</v>
      </c>
      <c r="H1116" s="8"/>
    </row>
    <row r="1117">
      <c r="A1117" s="18"/>
      <c r="B1117" s="14">
        <f>IFERROR(__xludf.DUMMYFUNCTION("""COMPUTED_VALUE"""),1194533.0)</f>
        <v>1194533</v>
      </c>
      <c r="C1117" s="14" t="str">
        <f>IFERROR(__xludf.DUMMYFUNCTION("""COMPUTED_VALUE"""),"彭映媗")</f>
        <v>彭映媗</v>
      </c>
      <c r="D1117" s="16" t="str">
        <f>IFERROR(__xludf.DUMMYFUNCTION("""COMPUTED_VALUE"""),"clp*****761212@go.edu.tw")</f>
        <v>clp*****761212@go.edu.tw</v>
      </c>
      <c r="E1117" s="17" t="str">
        <f>IFERROR(__xludf.DUMMYFUNCTION("""COMPUTED_VALUE"""),"新竹縣新豐鄉松林國民小學")</f>
        <v>新竹縣新豐鄉松林國民小學</v>
      </c>
      <c r="F1117" s="14" t="str">
        <f>IFERROR(__xludf.DUMMYFUNCTION("""COMPUTED_VALUE"""),"五年級")</f>
        <v>五年級</v>
      </c>
      <c r="G1117" s="14" t="str">
        <f>IFERROR(__xludf.DUMMYFUNCTION("""COMPUTED_VALUE"""),"獎狀")</f>
        <v>獎狀</v>
      </c>
      <c r="H1117" s="8"/>
    </row>
    <row r="1118">
      <c r="A1118" s="18"/>
      <c r="B1118" s="14">
        <f>IFERROR(__xludf.DUMMYFUNCTION("""COMPUTED_VALUE"""),1165970.0)</f>
        <v>1165970</v>
      </c>
      <c r="C1118" s="14" t="str">
        <f>IFERROR(__xludf.DUMMYFUNCTION("""COMPUTED_VALUE"""),"葉埕昕")</f>
        <v>葉埕昕</v>
      </c>
      <c r="D1118" s="16" t="str">
        <f>IFERROR(__xludf.DUMMYFUNCTION("""COMPUTED_VALUE"""),"clp*****69.hcc@mail.edu.tw")</f>
        <v>clp*****69.hcc@mail.edu.tw</v>
      </c>
      <c r="E1118" s="17" t="str">
        <f>IFERROR(__xludf.DUMMYFUNCTION("""COMPUTED_VALUE"""),"新竹縣新豐鄉松林國民小學")</f>
        <v>新竹縣新豐鄉松林國民小學</v>
      </c>
      <c r="F1118" s="14" t="str">
        <f>IFERROR(__xludf.DUMMYFUNCTION("""COMPUTED_VALUE"""),"五年級")</f>
        <v>五年級</v>
      </c>
      <c r="G1118" s="14" t="str">
        <f>IFERROR(__xludf.DUMMYFUNCTION("""COMPUTED_VALUE"""),"獎狀")</f>
        <v>獎狀</v>
      </c>
      <c r="H1118" s="8"/>
    </row>
    <row r="1119">
      <c r="A1119" s="18"/>
      <c r="B1119" s="14">
        <f>IFERROR(__xludf.DUMMYFUNCTION("""COMPUTED_VALUE"""),1199163.0)</f>
        <v>1199163</v>
      </c>
      <c r="C1119" s="14" t="str">
        <f>IFERROR(__xludf.DUMMYFUNCTION("""COMPUTED_VALUE"""),"劉佩潔")</f>
        <v>劉佩潔</v>
      </c>
      <c r="D1119" s="16" t="str">
        <f>IFERROR(__xludf.DUMMYFUNCTION("""COMPUTED_VALUE"""),"clp*****57.hcc@mail.edu.tw")</f>
        <v>clp*****57.hcc@mail.edu.tw</v>
      </c>
      <c r="E1119" s="17" t="str">
        <f>IFERROR(__xludf.DUMMYFUNCTION("""COMPUTED_VALUE"""),"新竹縣新豐鄉松林國民小學")</f>
        <v>新竹縣新豐鄉松林國民小學</v>
      </c>
      <c r="F1119" s="14" t="str">
        <f>IFERROR(__xludf.DUMMYFUNCTION("""COMPUTED_VALUE"""),"五年級")</f>
        <v>五年級</v>
      </c>
      <c r="G1119" s="14" t="str">
        <f>IFERROR(__xludf.DUMMYFUNCTION("""COMPUTED_VALUE"""),"獎狀")</f>
        <v>獎狀</v>
      </c>
      <c r="H1119" s="8"/>
    </row>
    <row r="1120">
      <c r="A1120" s="18"/>
      <c r="B1120" s="14">
        <f>IFERROR(__xludf.DUMMYFUNCTION("""COMPUTED_VALUE"""),1165926.0)</f>
        <v>1165926</v>
      </c>
      <c r="C1120" s="14" t="str">
        <f>IFERROR(__xludf.DUMMYFUNCTION("""COMPUTED_VALUE"""),"羅家祥")</f>
        <v>羅家祥</v>
      </c>
      <c r="D1120" s="16" t="str">
        <f>IFERROR(__xludf.DUMMYFUNCTION("""COMPUTED_VALUE"""),"clp*****62@go.edu.tw")</f>
        <v>clp*****62@go.edu.tw</v>
      </c>
      <c r="E1120" s="17" t="str">
        <f>IFERROR(__xludf.DUMMYFUNCTION("""COMPUTED_VALUE"""),"新竹縣新豐鄉松林國民小學")</f>
        <v>新竹縣新豐鄉松林國民小學</v>
      </c>
      <c r="F1120" s="14" t="str">
        <f>IFERROR(__xludf.DUMMYFUNCTION("""COMPUTED_VALUE"""),"五年級")</f>
        <v>五年級</v>
      </c>
      <c r="G1120" s="14" t="str">
        <f>IFERROR(__xludf.DUMMYFUNCTION("""COMPUTED_VALUE"""),"獎狀")</f>
        <v>獎狀</v>
      </c>
      <c r="H1120" s="8"/>
    </row>
    <row r="1121">
      <c r="A1121" s="18"/>
      <c r="B1121" s="14">
        <f>IFERROR(__xludf.DUMMYFUNCTION("""COMPUTED_VALUE"""),1162333.0)</f>
        <v>1162333</v>
      </c>
      <c r="C1121" s="14" t="str">
        <f>IFERROR(__xludf.DUMMYFUNCTION("""COMPUTED_VALUE"""),"邱晟瑋")</f>
        <v>邱晟瑋</v>
      </c>
      <c r="D1121" s="16" t="str">
        <f>IFERROR(__xludf.DUMMYFUNCTION("""COMPUTED_VALUE"""),"clp*****95.hcc@mail.edu.tw")</f>
        <v>clp*****95.hcc@mail.edu.tw</v>
      </c>
      <c r="E1121" s="17" t="str">
        <f>IFERROR(__xludf.DUMMYFUNCTION("""COMPUTED_VALUE"""),"新竹縣新豐鄉松林國民小學")</f>
        <v>新竹縣新豐鄉松林國民小學</v>
      </c>
      <c r="F1121" s="14" t="str">
        <f>IFERROR(__xludf.DUMMYFUNCTION("""COMPUTED_VALUE"""),"五年級")</f>
        <v>五年級</v>
      </c>
      <c r="G1121" s="14" t="str">
        <f>IFERROR(__xludf.DUMMYFUNCTION("""COMPUTED_VALUE"""),"●小禮物")</f>
        <v>●小禮物</v>
      </c>
      <c r="H1121" s="8"/>
    </row>
    <row r="1122">
      <c r="A1122" s="18"/>
      <c r="B1122" s="14">
        <f>IFERROR(__xludf.DUMMYFUNCTION("""COMPUTED_VALUE"""),1162299.0)</f>
        <v>1162299</v>
      </c>
      <c r="C1122" s="14" t="str">
        <f>IFERROR(__xludf.DUMMYFUNCTION("""COMPUTED_VALUE"""),"曾若芸")</f>
        <v>曾若芸</v>
      </c>
      <c r="D1122" s="16" t="str">
        <f>IFERROR(__xludf.DUMMYFUNCTION("""COMPUTED_VALUE"""),"clp*****21.hcc@mail.edu.tw")</f>
        <v>clp*****21.hcc@mail.edu.tw</v>
      </c>
      <c r="E1122" s="17" t="str">
        <f>IFERROR(__xludf.DUMMYFUNCTION("""COMPUTED_VALUE"""),"新竹縣新豐鄉松林國民小學")</f>
        <v>新竹縣新豐鄉松林國民小學</v>
      </c>
      <c r="F1122" s="14" t="str">
        <f>IFERROR(__xludf.DUMMYFUNCTION("""COMPUTED_VALUE"""),"五年級")</f>
        <v>五年級</v>
      </c>
      <c r="G1122" s="14" t="str">
        <f>IFERROR(__xludf.DUMMYFUNCTION("""COMPUTED_VALUE"""),"●小禮物")</f>
        <v>●小禮物</v>
      </c>
      <c r="H1122" s="8"/>
    </row>
    <row r="1123">
      <c r="A1123" s="18"/>
      <c r="B1123" s="14">
        <f>IFERROR(__xludf.DUMMYFUNCTION("""COMPUTED_VALUE"""),1162283.0)</f>
        <v>1162283</v>
      </c>
      <c r="C1123" s="14" t="str">
        <f>IFERROR(__xludf.DUMMYFUNCTION("""COMPUTED_VALUE"""),"黃梓晴")</f>
        <v>黃梓晴</v>
      </c>
      <c r="D1123" s="16" t="str">
        <f>IFERROR(__xludf.DUMMYFUNCTION("""COMPUTED_VALUE"""),"clp*****12.hcc@mail.edu.tw")</f>
        <v>clp*****12.hcc@mail.edu.tw</v>
      </c>
      <c r="E1123" s="17" t="str">
        <f>IFERROR(__xludf.DUMMYFUNCTION("""COMPUTED_VALUE"""),"新竹縣新豐鄉松林國民小學")</f>
        <v>新竹縣新豐鄉松林國民小學</v>
      </c>
      <c r="F1123" s="14" t="str">
        <f>IFERROR(__xludf.DUMMYFUNCTION("""COMPUTED_VALUE"""),"五年級")</f>
        <v>五年級</v>
      </c>
      <c r="G1123" s="14" t="str">
        <f>IFERROR(__xludf.DUMMYFUNCTION("""COMPUTED_VALUE"""),"●小禮物")</f>
        <v>●小禮物</v>
      </c>
      <c r="H1123" s="8"/>
    </row>
    <row r="1124">
      <c r="A1124" s="18"/>
      <c r="B1124" s="14">
        <f>IFERROR(__xludf.DUMMYFUNCTION("""COMPUTED_VALUE"""),1177704.0)</f>
        <v>1177704</v>
      </c>
      <c r="C1124" s="14" t="str">
        <f>IFERROR(__xludf.DUMMYFUNCTION("""COMPUTED_VALUE"""),"楊子淇")</f>
        <v>楊子淇</v>
      </c>
      <c r="D1124" s="16" t="str">
        <f>IFERROR(__xludf.DUMMYFUNCTION("""COMPUTED_VALUE"""),"clp*****04.hcc@mail.edu.tw")</f>
        <v>clp*****04.hcc@mail.edu.tw</v>
      </c>
      <c r="E1124" s="17" t="str">
        <f>IFERROR(__xludf.DUMMYFUNCTION("""COMPUTED_VALUE"""),"新竹縣新豐鄉松林國民小學")</f>
        <v>新竹縣新豐鄉松林國民小學</v>
      </c>
      <c r="F1124" s="14" t="str">
        <f>IFERROR(__xludf.DUMMYFUNCTION("""COMPUTED_VALUE"""),"五年級")</f>
        <v>五年級</v>
      </c>
      <c r="G1124" s="14" t="str">
        <f>IFERROR(__xludf.DUMMYFUNCTION("""COMPUTED_VALUE"""),"●小禮物")</f>
        <v>●小禮物</v>
      </c>
      <c r="H1124" s="8"/>
    </row>
    <row r="1125">
      <c r="A1125" s="18"/>
      <c r="B1125" s="14">
        <f>IFERROR(__xludf.DUMMYFUNCTION("""COMPUTED_VALUE"""),1162331.0)</f>
        <v>1162331</v>
      </c>
      <c r="C1125" s="14" t="str">
        <f>IFERROR(__xludf.DUMMYFUNCTION("""COMPUTED_VALUE"""),"盧采婕")</f>
        <v>盧采婕</v>
      </c>
      <c r="D1125" s="16" t="str">
        <f>IFERROR(__xludf.DUMMYFUNCTION("""COMPUTED_VALUE"""),"clp*****28.hcc@mail.edu.tw")</f>
        <v>clp*****28.hcc@mail.edu.tw</v>
      </c>
      <c r="E1125" s="17" t="str">
        <f>IFERROR(__xludf.DUMMYFUNCTION("""COMPUTED_VALUE"""),"新竹縣新豐鄉松林國民小學")</f>
        <v>新竹縣新豐鄉松林國民小學</v>
      </c>
      <c r="F1125" s="14" t="str">
        <f>IFERROR(__xludf.DUMMYFUNCTION("""COMPUTED_VALUE"""),"五年級")</f>
        <v>五年級</v>
      </c>
      <c r="G1125" s="14" t="str">
        <f>IFERROR(__xludf.DUMMYFUNCTION("""COMPUTED_VALUE"""),"●小禮物")</f>
        <v>●小禮物</v>
      </c>
      <c r="H1125" s="8"/>
    </row>
    <row r="1126">
      <c r="A1126" s="18"/>
      <c r="B1126" s="14">
        <f>IFERROR(__xludf.DUMMYFUNCTION("""COMPUTED_VALUE"""),1162183.0)</f>
        <v>1162183</v>
      </c>
      <c r="C1126" s="14" t="str">
        <f>IFERROR(__xludf.DUMMYFUNCTION("""COMPUTED_VALUE"""),"高嘉淇")</f>
        <v>高嘉淇</v>
      </c>
      <c r="D1126" s="16" t="str">
        <f>IFERROR(__xludf.DUMMYFUNCTION("""COMPUTED_VALUE"""),"clp*****18.hcc@mail.edu.tw")</f>
        <v>clp*****18.hcc@mail.edu.tw</v>
      </c>
      <c r="E1126" s="17" t="str">
        <f>IFERROR(__xludf.DUMMYFUNCTION("""COMPUTED_VALUE"""),"新竹縣新豐鄉松林國民小學")</f>
        <v>新竹縣新豐鄉松林國民小學</v>
      </c>
      <c r="F1126" s="14" t="str">
        <f>IFERROR(__xludf.DUMMYFUNCTION("""COMPUTED_VALUE"""),"五年級")</f>
        <v>五年級</v>
      </c>
      <c r="G1126" s="14" t="str">
        <f>IFERROR(__xludf.DUMMYFUNCTION("""COMPUTED_VALUE"""),"獎狀")</f>
        <v>獎狀</v>
      </c>
      <c r="H1126" s="8"/>
    </row>
    <row r="1127">
      <c r="A1127" s="18"/>
      <c r="B1127" s="14">
        <f>IFERROR(__xludf.DUMMYFUNCTION("""COMPUTED_VALUE"""),1162293.0)</f>
        <v>1162293</v>
      </c>
      <c r="C1127" s="14" t="str">
        <f>IFERROR(__xludf.DUMMYFUNCTION("""COMPUTED_VALUE"""),"許恩瑋")</f>
        <v>許恩瑋</v>
      </c>
      <c r="D1127" s="16" t="str">
        <f>IFERROR(__xludf.DUMMYFUNCTION("""COMPUTED_VALUE"""),"clp*****74.hcc@mail.edu.tw")</f>
        <v>clp*****74.hcc@mail.edu.tw</v>
      </c>
      <c r="E1127" s="17" t="str">
        <f>IFERROR(__xludf.DUMMYFUNCTION("""COMPUTED_VALUE"""),"新竹縣新豐鄉松林國民小學")</f>
        <v>新竹縣新豐鄉松林國民小學</v>
      </c>
      <c r="F1127" s="14" t="str">
        <f>IFERROR(__xludf.DUMMYFUNCTION("""COMPUTED_VALUE"""),"五年級")</f>
        <v>五年級</v>
      </c>
      <c r="G1127" s="14" t="str">
        <f>IFERROR(__xludf.DUMMYFUNCTION("""COMPUTED_VALUE"""),"獎狀")</f>
        <v>獎狀</v>
      </c>
      <c r="H1127" s="8"/>
    </row>
    <row r="1128">
      <c r="A1128" s="18"/>
      <c r="B1128" s="14">
        <f>IFERROR(__xludf.DUMMYFUNCTION("""COMPUTED_VALUE"""),1162177.0)</f>
        <v>1162177</v>
      </c>
      <c r="C1128" s="14" t="str">
        <f>IFERROR(__xludf.DUMMYFUNCTION("""COMPUTED_VALUE"""),"連以歆")</f>
        <v>連以歆</v>
      </c>
      <c r="D1128" s="16" t="str">
        <f>IFERROR(__xludf.DUMMYFUNCTION("""COMPUTED_VALUE"""),"clp*****35.hcc@mail.edu.tw")</f>
        <v>clp*****35.hcc@mail.edu.tw</v>
      </c>
      <c r="E1128" s="17" t="str">
        <f>IFERROR(__xludf.DUMMYFUNCTION("""COMPUTED_VALUE"""),"新竹縣新豐鄉松林國民小學")</f>
        <v>新竹縣新豐鄉松林國民小學</v>
      </c>
      <c r="F1128" s="14" t="str">
        <f>IFERROR(__xludf.DUMMYFUNCTION("""COMPUTED_VALUE"""),"五年級")</f>
        <v>五年級</v>
      </c>
      <c r="G1128" s="14" t="str">
        <f>IFERROR(__xludf.DUMMYFUNCTION("""COMPUTED_VALUE"""),"獎狀")</f>
        <v>獎狀</v>
      </c>
      <c r="H1128" s="8"/>
    </row>
    <row r="1129">
      <c r="A1129" s="18"/>
      <c r="B1129" s="14">
        <f>IFERROR(__xludf.DUMMYFUNCTION("""COMPUTED_VALUE"""),1162162.0)</f>
        <v>1162162</v>
      </c>
      <c r="C1129" s="14" t="str">
        <f>IFERROR(__xludf.DUMMYFUNCTION("""COMPUTED_VALUE"""),"劉姿彤")</f>
        <v>劉姿彤</v>
      </c>
      <c r="D1129" s="16" t="str">
        <f>IFERROR(__xludf.DUMMYFUNCTION("""COMPUTED_VALUE"""),"clp*****67.hcc@mail.edu.tw")</f>
        <v>clp*****67.hcc@mail.edu.tw</v>
      </c>
      <c r="E1129" s="17" t="str">
        <f>IFERROR(__xludf.DUMMYFUNCTION("""COMPUTED_VALUE"""),"新竹縣新豐鄉松林國民小學")</f>
        <v>新竹縣新豐鄉松林國民小學</v>
      </c>
      <c r="F1129" s="14" t="str">
        <f>IFERROR(__xludf.DUMMYFUNCTION("""COMPUTED_VALUE"""),"五年級")</f>
        <v>五年級</v>
      </c>
      <c r="G1129" s="14" t="str">
        <f>IFERROR(__xludf.DUMMYFUNCTION("""COMPUTED_VALUE"""),"獎狀")</f>
        <v>獎狀</v>
      </c>
      <c r="H1129" s="8"/>
    </row>
    <row r="1130">
      <c r="A1130" s="18"/>
      <c r="B1130" s="14">
        <f>IFERROR(__xludf.DUMMYFUNCTION("""COMPUTED_VALUE"""),1162254.0)</f>
        <v>1162254</v>
      </c>
      <c r="C1130" s="14" t="str">
        <f>IFERROR(__xludf.DUMMYFUNCTION("""COMPUTED_VALUE"""),"盧德謙")</f>
        <v>盧德謙</v>
      </c>
      <c r="D1130" s="16" t="str">
        <f>IFERROR(__xludf.DUMMYFUNCTION("""COMPUTED_VALUE"""),"clp*****59.hcc@mail.edu.tw")</f>
        <v>clp*****59.hcc@mail.edu.tw</v>
      </c>
      <c r="E1130" s="17" t="str">
        <f>IFERROR(__xludf.DUMMYFUNCTION("""COMPUTED_VALUE"""),"新竹縣新豐鄉松林國民小學")</f>
        <v>新竹縣新豐鄉松林國民小學</v>
      </c>
      <c r="F1130" s="14" t="str">
        <f>IFERROR(__xludf.DUMMYFUNCTION("""COMPUTED_VALUE"""),"五年級")</f>
        <v>五年級</v>
      </c>
      <c r="G1130" s="14" t="str">
        <f>IFERROR(__xludf.DUMMYFUNCTION("""COMPUTED_VALUE"""),"獎狀")</f>
        <v>獎狀</v>
      </c>
      <c r="H1130" s="8"/>
    </row>
    <row r="1131">
      <c r="A1131" s="18"/>
      <c r="B1131" s="14">
        <f>IFERROR(__xludf.DUMMYFUNCTION("""COMPUTED_VALUE"""),1179756.0)</f>
        <v>1179756</v>
      </c>
      <c r="C1131" s="14" t="str">
        <f>IFERROR(__xludf.DUMMYFUNCTION("""COMPUTED_VALUE"""),"徐世沛")</f>
        <v>徐世沛</v>
      </c>
      <c r="D1131" s="16" t="str">
        <f>IFERROR(__xludf.DUMMYFUNCTION("""COMPUTED_VALUE"""),"clp*****28.hcc@go.edu.tw")</f>
        <v>clp*****28.hcc@go.edu.tw</v>
      </c>
      <c r="E1131" s="17" t="str">
        <f>IFERROR(__xludf.DUMMYFUNCTION("""COMPUTED_VALUE"""),"新竹縣新豐鄉松林國民小學")</f>
        <v>新竹縣新豐鄉松林國民小學</v>
      </c>
      <c r="F1131" s="14" t="str">
        <f>IFERROR(__xludf.DUMMYFUNCTION("""COMPUTED_VALUE"""),"五年級")</f>
        <v>五年級</v>
      </c>
      <c r="G1131" s="14" t="str">
        <f>IFERROR(__xludf.DUMMYFUNCTION("""COMPUTED_VALUE"""),"●小禮物")</f>
        <v>●小禮物</v>
      </c>
      <c r="H1131" s="8"/>
    </row>
    <row r="1132">
      <c r="A1132" s="18"/>
      <c r="B1132" s="14">
        <f>IFERROR(__xludf.DUMMYFUNCTION("""COMPUTED_VALUE"""),1179378.0)</f>
        <v>1179378</v>
      </c>
      <c r="C1132" s="14" t="str">
        <f>IFERROR(__xludf.DUMMYFUNCTION("""COMPUTED_VALUE"""),"葉品岑")</f>
        <v>葉品岑</v>
      </c>
      <c r="D1132" s="16" t="str">
        <f>IFERROR(__xludf.DUMMYFUNCTION("""COMPUTED_VALUE"""),"clp*****88@mail.edu.tw")</f>
        <v>clp*****88@mail.edu.tw</v>
      </c>
      <c r="E1132" s="17" t="str">
        <f>IFERROR(__xludf.DUMMYFUNCTION("""COMPUTED_VALUE"""),"新竹縣新豐鄉松林國民小學")</f>
        <v>新竹縣新豐鄉松林國民小學</v>
      </c>
      <c r="F1132" s="14" t="str">
        <f>IFERROR(__xludf.DUMMYFUNCTION("""COMPUTED_VALUE"""),"五年級")</f>
        <v>五年級</v>
      </c>
      <c r="G1132" s="14" t="str">
        <f>IFERROR(__xludf.DUMMYFUNCTION("""COMPUTED_VALUE"""),"獎狀")</f>
        <v>獎狀</v>
      </c>
      <c r="H1132" s="8"/>
    </row>
    <row r="1133">
      <c r="A1133" s="18"/>
      <c r="B1133" s="14">
        <f>IFERROR(__xludf.DUMMYFUNCTION("""COMPUTED_VALUE"""),1161754.0)</f>
        <v>1161754</v>
      </c>
      <c r="C1133" s="14" t="str">
        <f>IFERROR(__xludf.DUMMYFUNCTION("""COMPUTED_VALUE"""),"林晉永")</f>
        <v>林晉永</v>
      </c>
      <c r="D1133" s="16" t="str">
        <f>IFERROR(__xludf.DUMMYFUNCTION("""COMPUTED_VALUE"""),"clp*****69.hcc@mail.edu.tw")</f>
        <v>clp*****69.hcc@mail.edu.tw</v>
      </c>
      <c r="E1133" s="17" t="str">
        <f>IFERROR(__xludf.DUMMYFUNCTION("""COMPUTED_VALUE"""),"新竹縣新豐鄉松林國民小學")</f>
        <v>新竹縣新豐鄉松林國民小學</v>
      </c>
      <c r="F1133" s="14" t="str">
        <f>IFERROR(__xludf.DUMMYFUNCTION("""COMPUTED_VALUE"""),"五年級")</f>
        <v>五年級</v>
      </c>
      <c r="G1133" s="14" t="str">
        <f>IFERROR(__xludf.DUMMYFUNCTION("""COMPUTED_VALUE"""),"●小禮物")</f>
        <v>●小禮物</v>
      </c>
      <c r="H1133" s="8"/>
    </row>
    <row r="1134">
      <c r="A1134" s="18"/>
      <c r="B1134" s="14">
        <f>IFERROR(__xludf.DUMMYFUNCTION("""COMPUTED_VALUE"""),1161731.0)</f>
        <v>1161731</v>
      </c>
      <c r="C1134" s="14" t="str">
        <f>IFERROR(__xludf.DUMMYFUNCTION("""COMPUTED_VALUE"""),"張瀚元")</f>
        <v>張瀚元</v>
      </c>
      <c r="D1134" s="16" t="str">
        <f>IFERROR(__xludf.DUMMYFUNCTION("""COMPUTED_VALUE"""),"clp*****11.hcc@mail.edu.tw")</f>
        <v>clp*****11.hcc@mail.edu.tw</v>
      </c>
      <c r="E1134" s="17" t="str">
        <f>IFERROR(__xludf.DUMMYFUNCTION("""COMPUTED_VALUE"""),"新竹縣新豐鄉松林國民小學")</f>
        <v>新竹縣新豐鄉松林國民小學</v>
      </c>
      <c r="F1134" s="14" t="str">
        <f>IFERROR(__xludf.DUMMYFUNCTION("""COMPUTED_VALUE"""),"五年級")</f>
        <v>五年級</v>
      </c>
      <c r="G1134" s="14" t="str">
        <f>IFERROR(__xludf.DUMMYFUNCTION("""COMPUTED_VALUE"""),"●小禮物")</f>
        <v>●小禮物</v>
      </c>
      <c r="H1134" s="8"/>
    </row>
    <row r="1135">
      <c r="A1135" s="18"/>
      <c r="B1135" s="14">
        <f>IFERROR(__xludf.DUMMYFUNCTION("""COMPUTED_VALUE"""),1196791.0)</f>
        <v>1196791</v>
      </c>
      <c r="C1135" s="14" t="str">
        <f>IFERROR(__xludf.DUMMYFUNCTION("""COMPUTED_VALUE"""),"林鈺軒")</f>
        <v>林鈺軒</v>
      </c>
      <c r="D1135" s="16" t="str">
        <f>IFERROR(__xludf.DUMMYFUNCTION("""COMPUTED_VALUE"""),"clp*****78.hcc@go.edu.tw")</f>
        <v>clp*****78.hcc@go.edu.tw</v>
      </c>
      <c r="E1135" s="17" t="str">
        <f>IFERROR(__xludf.DUMMYFUNCTION("""COMPUTED_VALUE"""),"新竹縣新豐鄉松林國民小學")</f>
        <v>新竹縣新豐鄉松林國民小學</v>
      </c>
      <c r="F1135" s="14" t="str">
        <f>IFERROR(__xludf.DUMMYFUNCTION("""COMPUTED_VALUE"""),"五年級")</f>
        <v>五年級</v>
      </c>
      <c r="G1135" s="14" t="str">
        <f>IFERROR(__xludf.DUMMYFUNCTION("""COMPUTED_VALUE"""),"獎狀")</f>
        <v>獎狀</v>
      </c>
      <c r="H1135" s="8"/>
    </row>
    <row r="1136">
      <c r="A1136" s="18"/>
      <c r="B1136" s="14">
        <f>IFERROR(__xludf.DUMMYFUNCTION("""COMPUTED_VALUE"""),1161670.0)</f>
        <v>1161670</v>
      </c>
      <c r="C1136" s="14" t="str">
        <f>IFERROR(__xludf.DUMMYFUNCTION("""COMPUTED_VALUE"""),"陳宥丞")</f>
        <v>陳宥丞</v>
      </c>
      <c r="D1136" s="16" t="str">
        <f>IFERROR(__xludf.DUMMYFUNCTION("""COMPUTED_VALUE"""),"clp*****88.hcc@go.edu.tw")</f>
        <v>clp*****88.hcc@go.edu.tw</v>
      </c>
      <c r="E1136" s="17" t="str">
        <f>IFERROR(__xludf.DUMMYFUNCTION("""COMPUTED_VALUE"""),"新竹縣新豐鄉松林國民小學")</f>
        <v>新竹縣新豐鄉松林國民小學</v>
      </c>
      <c r="F1136" s="14" t="str">
        <f>IFERROR(__xludf.DUMMYFUNCTION("""COMPUTED_VALUE"""),"五年級")</f>
        <v>五年級</v>
      </c>
      <c r="G1136" s="14" t="str">
        <f>IFERROR(__xludf.DUMMYFUNCTION("""COMPUTED_VALUE"""),"獎狀")</f>
        <v>獎狀</v>
      </c>
      <c r="H1136" s="8"/>
    </row>
    <row r="1137">
      <c r="A1137" s="18"/>
      <c r="B1137" s="14">
        <f>IFERROR(__xludf.DUMMYFUNCTION("""COMPUTED_VALUE"""),1161693.0)</f>
        <v>1161693</v>
      </c>
      <c r="C1137" s="14" t="str">
        <f>IFERROR(__xludf.DUMMYFUNCTION("""COMPUTED_VALUE"""),"陳映竹")</f>
        <v>陳映竹</v>
      </c>
      <c r="D1137" s="16" t="str">
        <f>IFERROR(__xludf.DUMMYFUNCTION("""COMPUTED_VALUE"""),"clp*****96.hcc@go.edu.tw")</f>
        <v>clp*****96.hcc@go.edu.tw</v>
      </c>
      <c r="E1137" s="17" t="str">
        <f>IFERROR(__xludf.DUMMYFUNCTION("""COMPUTED_VALUE"""),"新竹縣新豐鄉松林國民小學")</f>
        <v>新竹縣新豐鄉松林國民小學</v>
      </c>
      <c r="F1137" s="14" t="str">
        <f>IFERROR(__xludf.DUMMYFUNCTION("""COMPUTED_VALUE"""),"五年級")</f>
        <v>五年級</v>
      </c>
      <c r="G1137" s="14" t="str">
        <f>IFERROR(__xludf.DUMMYFUNCTION("""COMPUTED_VALUE"""),"獎狀")</f>
        <v>獎狀</v>
      </c>
      <c r="H1137" s="8"/>
    </row>
    <row r="1138">
      <c r="A1138" s="18"/>
      <c r="B1138" s="14">
        <f>IFERROR(__xludf.DUMMYFUNCTION("""COMPUTED_VALUE"""),1215807.0)</f>
        <v>1215807</v>
      </c>
      <c r="C1138" s="14" t="str">
        <f>IFERROR(__xludf.DUMMYFUNCTION("""COMPUTED_VALUE"""),"陳薇聿")</f>
        <v>陳薇聿</v>
      </c>
      <c r="D1138" s="16" t="str">
        <f>IFERROR(__xludf.DUMMYFUNCTION("""COMPUTED_VALUE"""),"sce*****70.hcc@go.edu.tw")</f>
        <v>sce*****70.hcc@go.edu.tw</v>
      </c>
      <c r="E1138" s="17" t="str">
        <f>IFERROR(__xludf.DUMMYFUNCTION("""COMPUTED_VALUE"""),"新竹縣新豐鄉松林國民小學")</f>
        <v>新竹縣新豐鄉松林國民小學</v>
      </c>
      <c r="F1138" s="14" t="str">
        <f>IFERROR(__xludf.DUMMYFUNCTION("""COMPUTED_VALUE"""),"五年級")</f>
        <v>五年級</v>
      </c>
      <c r="G1138" s="14" t="str">
        <f>IFERROR(__xludf.DUMMYFUNCTION("""COMPUTED_VALUE"""),"獎狀")</f>
        <v>獎狀</v>
      </c>
      <c r="H1138" s="8"/>
    </row>
    <row r="1139">
      <c r="A1139" s="18"/>
      <c r="B1139" s="14">
        <f>IFERROR(__xludf.DUMMYFUNCTION("""COMPUTED_VALUE"""),1161684.0)</f>
        <v>1161684</v>
      </c>
      <c r="C1139" s="14" t="str">
        <f>IFERROR(__xludf.DUMMYFUNCTION("""COMPUTED_VALUE"""),"黃柏鈞")</f>
        <v>黃柏鈞</v>
      </c>
      <c r="D1139" s="16" t="str">
        <f>IFERROR(__xludf.DUMMYFUNCTION("""COMPUTED_VALUE"""),"clp*****58.hcc@go.edu.tw")</f>
        <v>clp*****58.hcc@go.edu.tw</v>
      </c>
      <c r="E1139" s="17" t="str">
        <f>IFERROR(__xludf.DUMMYFUNCTION("""COMPUTED_VALUE"""),"新竹縣新豐鄉松林國民小學")</f>
        <v>新竹縣新豐鄉松林國民小學</v>
      </c>
      <c r="F1139" s="14" t="str">
        <f>IFERROR(__xludf.DUMMYFUNCTION("""COMPUTED_VALUE"""),"五年級")</f>
        <v>五年級</v>
      </c>
      <c r="G1139" s="14" t="str">
        <f>IFERROR(__xludf.DUMMYFUNCTION("""COMPUTED_VALUE"""),"獎狀")</f>
        <v>獎狀</v>
      </c>
      <c r="H1139" s="8"/>
    </row>
    <row r="1140">
      <c r="A1140" s="18"/>
      <c r="B1140" s="14">
        <f>IFERROR(__xludf.DUMMYFUNCTION("""COMPUTED_VALUE"""),1209190.0)</f>
        <v>1209190</v>
      </c>
      <c r="C1140" s="14" t="str">
        <f>IFERROR(__xludf.DUMMYFUNCTION("""COMPUTED_VALUE"""),"王思淇")</f>
        <v>王思淇</v>
      </c>
      <c r="D1140" s="16" t="str">
        <f>IFERROR(__xludf.DUMMYFUNCTION("""COMPUTED_VALUE"""),"clp*****20@go.edu.tw")</f>
        <v>clp*****20@go.edu.tw</v>
      </c>
      <c r="E1140" s="17" t="str">
        <f>IFERROR(__xludf.DUMMYFUNCTION("""COMPUTED_VALUE"""),"新竹縣新豐鄉松林國民小學")</f>
        <v>新竹縣新豐鄉松林國民小學</v>
      </c>
      <c r="F1140" s="14" t="str">
        <f>IFERROR(__xludf.DUMMYFUNCTION("""COMPUTED_VALUE"""),"五年級")</f>
        <v>五年級</v>
      </c>
      <c r="G1140" s="14" t="str">
        <f>IFERROR(__xludf.DUMMYFUNCTION("""COMPUTED_VALUE"""),"●小禮物")</f>
        <v>●小禮物</v>
      </c>
      <c r="H1140" s="8"/>
    </row>
    <row r="1141">
      <c r="A1141" s="18"/>
      <c r="B1141" s="14">
        <f>IFERROR(__xludf.DUMMYFUNCTION("""COMPUTED_VALUE"""),1187449.0)</f>
        <v>1187449</v>
      </c>
      <c r="C1141" s="14" t="str">
        <f>IFERROR(__xludf.DUMMYFUNCTION("""COMPUTED_VALUE"""),"林依珊")</f>
        <v>林依珊</v>
      </c>
      <c r="D1141" s="16" t="str">
        <f>IFERROR(__xludf.DUMMYFUNCTION("""COMPUTED_VALUE"""),"clp*****80.hcc@go.edu.tw")</f>
        <v>clp*****80.hcc@go.edu.tw</v>
      </c>
      <c r="E1141" s="17" t="str">
        <f>IFERROR(__xludf.DUMMYFUNCTION("""COMPUTED_VALUE"""),"新竹縣新豐鄉松林國民小學")</f>
        <v>新竹縣新豐鄉松林國民小學</v>
      </c>
      <c r="F1141" s="14" t="str">
        <f>IFERROR(__xludf.DUMMYFUNCTION("""COMPUTED_VALUE"""),"五年級")</f>
        <v>五年級</v>
      </c>
      <c r="G1141" s="14" t="str">
        <f>IFERROR(__xludf.DUMMYFUNCTION("""COMPUTED_VALUE"""),"●小禮物")</f>
        <v>●小禮物</v>
      </c>
      <c r="H1141" s="8"/>
    </row>
    <row r="1142">
      <c r="A1142" s="18"/>
      <c r="B1142" s="14">
        <f>IFERROR(__xludf.DUMMYFUNCTION("""COMPUTED_VALUE"""),1165520.0)</f>
        <v>1165520</v>
      </c>
      <c r="C1142" s="14" t="str">
        <f>IFERROR(__xludf.DUMMYFUNCTION("""COMPUTED_VALUE"""),"陳可芸")</f>
        <v>陳可芸</v>
      </c>
      <c r="D1142" s="16" t="str">
        <f>IFERROR(__xludf.DUMMYFUNCTION("""COMPUTED_VALUE"""),"clp*****20@mail.edu.tw")</f>
        <v>clp*****20@mail.edu.tw</v>
      </c>
      <c r="E1142" s="17" t="str">
        <f>IFERROR(__xludf.DUMMYFUNCTION("""COMPUTED_VALUE"""),"新竹縣新豐鄉松林國民小學")</f>
        <v>新竹縣新豐鄉松林國民小學</v>
      </c>
      <c r="F1142" s="14" t="str">
        <f>IFERROR(__xludf.DUMMYFUNCTION("""COMPUTED_VALUE"""),"五年級")</f>
        <v>五年級</v>
      </c>
      <c r="G1142" s="14" t="str">
        <f>IFERROR(__xludf.DUMMYFUNCTION("""COMPUTED_VALUE"""),"●小禮物")</f>
        <v>●小禮物</v>
      </c>
      <c r="H1142" s="8"/>
    </row>
    <row r="1143">
      <c r="A1143" s="18"/>
      <c r="B1143" s="14">
        <f>IFERROR(__xludf.DUMMYFUNCTION("""COMPUTED_VALUE"""),1165511.0)</f>
        <v>1165511</v>
      </c>
      <c r="C1143" s="14" t="str">
        <f>IFERROR(__xludf.DUMMYFUNCTION("""COMPUTED_VALUE"""),"曾韋程")</f>
        <v>曾韋程</v>
      </c>
      <c r="D1143" s="16" t="str">
        <f>IFERROR(__xludf.DUMMYFUNCTION("""COMPUTED_VALUE"""),"clp*****02.hcc@mail.edu.tw")</f>
        <v>clp*****02.hcc@mail.edu.tw</v>
      </c>
      <c r="E1143" s="17" t="str">
        <f>IFERROR(__xludf.DUMMYFUNCTION("""COMPUTED_VALUE"""),"新竹縣新豐鄉松林國民小學")</f>
        <v>新竹縣新豐鄉松林國民小學</v>
      </c>
      <c r="F1143" s="14" t="str">
        <f>IFERROR(__xludf.DUMMYFUNCTION("""COMPUTED_VALUE"""),"五年級")</f>
        <v>五年級</v>
      </c>
      <c r="G1143" s="14" t="str">
        <f>IFERROR(__xludf.DUMMYFUNCTION("""COMPUTED_VALUE"""),"●小禮物")</f>
        <v>●小禮物</v>
      </c>
      <c r="H1143" s="8"/>
    </row>
    <row r="1144">
      <c r="A1144" s="18"/>
      <c r="B1144" s="14">
        <f>IFERROR(__xludf.DUMMYFUNCTION("""COMPUTED_VALUE"""),1209217.0)</f>
        <v>1209217</v>
      </c>
      <c r="C1144" s="14" t="str">
        <f>IFERROR(__xludf.DUMMYFUNCTION("""COMPUTED_VALUE"""),"李沛靜")</f>
        <v>李沛靜</v>
      </c>
      <c r="D1144" s="16" t="str">
        <f>IFERROR(__xludf.DUMMYFUNCTION("""COMPUTED_VALUE"""),"clp*****56@go.edu.tw")</f>
        <v>clp*****56@go.edu.tw</v>
      </c>
      <c r="E1144" s="17" t="str">
        <f>IFERROR(__xludf.DUMMYFUNCTION("""COMPUTED_VALUE"""),"新竹縣新豐鄉松林國民小學")</f>
        <v>新竹縣新豐鄉松林國民小學</v>
      </c>
      <c r="F1144" s="14" t="str">
        <f>IFERROR(__xludf.DUMMYFUNCTION("""COMPUTED_VALUE"""),"五年級")</f>
        <v>五年級</v>
      </c>
      <c r="G1144" s="14" t="str">
        <f>IFERROR(__xludf.DUMMYFUNCTION("""COMPUTED_VALUE"""),"★禮券$200")</f>
        <v>★禮券$200</v>
      </c>
      <c r="H1144" s="8"/>
    </row>
    <row r="1145">
      <c r="A1145" s="18"/>
      <c r="B1145" s="14">
        <f>IFERROR(__xludf.DUMMYFUNCTION("""COMPUTED_VALUE"""),1165509.0)</f>
        <v>1165509</v>
      </c>
      <c r="C1145" s="14" t="str">
        <f>IFERROR(__xludf.DUMMYFUNCTION("""COMPUTED_VALUE"""),"古旭博")</f>
        <v>古旭博</v>
      </c>
      <c r="D1145" s="16" t="str">
        <f>IFERROR(__xludf.DUMMYFUNCTION("""COMPUTED_VALUE"""),"clp*****09@mail.edu.tw")</f>
        <v>clp*****09@mail.edu.tw</v>
      </c>
      <c r="E1145" s="17" t="str">
        <f>IFERROR(__xludf.DUMMYFUNCTION("""COMPUTED_VALUE"""),"新竹縣新豐鄉松林國民小學")</f>
        <v>新竹縣新豐鄉松林國民小學</v>
      </c>
      <c r="F1145" s="14" t="str">
        <f>IFERROR(__xludf.DUMMYFUNCTION("""COMPUTED_VALUE"""),"五年級")</f>
        <v>五年級</v>
      </c>
      <c r="G1145" s="14" t="str">
        <f>IFERROR(__xludf.DUMMYFUNCTION("""COMPUTED_VALUE"""),"獎狀")</f>
        <v>獎狀</v>
      </c>
      <c r="H1145" s="8"/>
    </row>
    <row r="1146">
      <c r="A1146" s="18"/>
      <c r="B1146" s="14">
        <f>IFERROR(__xludf.DUMMYFUNCTION("""COMPUTED_VALUE"""),1165513.0)</f>
        <v>1165513</v>
      </c>
      <c r="C1146" s="14" t="str">
        <f>IFERROR(__xludf.DUMMYFUNCTION("""COMPUTED_VALUE"""),"吳晉儀")</f>
        <v>吳晉儀</v>
      </c>
      <c r="D1146" s="16" t="str">
        <f>IFERROR(__xludf.DUMMYFUNCTION("""COMPUTED_VALUE"""),"clp*****17.hcc@mail.edu.tw")</f>
        <v>clp*****17.hcc@mail.edu.tw</v>
      </c>
      <c r="E1146" s="17" t="str">
        <f>IFERROR(__xludf.DUMMYFUNCTION("""COMPUTED_VALUE"""),"新竹縣新豐鄉松林國民小學")</f>
        <v>新竹縣新豐鄉松林國民小學</v>
      </c>
      <c r="F1146" s="14" t="str">
        <f>IFERROR(__xludf.DUMMYFUNCTION("""COMPUTED_VALUE"""),"五年級")</f>
        <v>五年級</v>
      </c>
      <c r="G1146" s="14" t="str">
        <f>IFERROR(__xludf.DUMMYFUNCTION("""COMPUTED_VALUE"""),"獎狀")</f>
        <v>獎狀</v>
      </c>
      <c r="H1146" s="8"/>
    </row>
    <row r="1147">
      <c r="A1147" s="18"/>
      <c r="B1147" s="14">
        <f>IFERROR(__xludf.DUMMYFUNCTION("""COMPUTED_VALUE"""),1209191.0)</f>
        <v>1209191</v>
      </c>
      <c r="C1147" s="14" t="str">
        <f>IFERROR(__xludf.DUMMYFUNCTION("""COMPUTED_VALUE"""),"張睿軒")</f>
        <v>張睿軒</v>
      </c>
      <c r="D1147" s="16" t="str">
        <f>IFERROR(__xludf.DUMMYFUNCTION("""COMPUTED_VALUE"""),"clp*****36@go.edu.tw")</f>
        <v>clp*****36@go.edu.tw</v>
      </c>
      <c r="E1147" s="17" t="str">
        <f>IFERROR(__xludf.DUMMYFUNCTION("""COMPUTED_VALUE"""),"新竹縣新豐鄉松林國民小學")</f>
        <v>新竹縣新豐鄉松林國民小學</v>
      </c>
      <c r="F1147" s="14" t="str">
        <f>IFERROR(__xludf.DUMMYFUNCTION("""COMPUTED_VALUE"""),"五年級")</f>
        <v>五年級</v>
      </c>
      <c r="G1147" s="14" t="str">
        <f>IFERROR(__xludf.DUMMYFUNCTION("""COMPUTED_VALUE"""),"獎狀")</f>
        <v>獎狀</v>
      </c>
      <c r="H1147" s="8"/>
    </row>
    <row r="1148">
      <c r="A1148" s="18"/>
      <c r="B1148" s="14">
        <f>IFERROR(__xludf.DUMMYFUNCTION("""COMPUTED_VALUE"""),1165531.0)</f>
        <v>1165531</v>
      </c>
      <c r="C1148" s="14" t="str">
        <f>IFERROR(__xludf.DUMMYFUNCTION("""COMPUTED_VALUE"""),"陳靖淳")</f>
        <v>陳靖淳</v>
      </c>
      <c r="D1148" s="16" t="str">
        <f>IFERROR(__xludf.DUMMYFUNCTION("""COMPUTED_VALUE"""),"clp*****32@mail.edu.tw")</f>
        <v>clp*****32@mail.edu.tw</v>
      </c>
      <c r="E1148" s="17" t="str">
        <f>IFERROR(__xludf.DUMMYFUNCTION("""COMPUTED_VALUE"""),"新竹縣新豐鄉松林國民小學")</f>
        <v>新竹縣新豐鄉松林國民小學</v>
      </c>
      <c r="F1148" s="14" t="str">
        <f>IFERROR(__xludf.DUMMYFUNCTION("""COMPUTED_VALUE"""),"五年級")</f>
        <v>五年級</v>
      </c>
      <c r="G1148" s="14" t="str">
        <f>IFERROR(__xludf.DUMMYFUNCTION("""COMPUTED_VALUE"""),"獎狀")</f>
        <v>獎狀</v>
      </c>
      <c r="H1148" s="8"/>
    </row>
    <row r="1149">
      <c r="A1149" s="18"/>
      <c r="B1149" s="14">
        <f>IFERROR(__xludf.DUMMYFUNCTION("""COMPUTED_VALUE"""),1183570.0)</f>
        <v>1183570</v>
      </c>
      <c r="C1149" s="14" t="str">
        <f>IFERROR(__xludf.DUMMYFUNCTION("""COMPUTED_VALUE"""),"温姵錞")</f>
        <v>温姵錞</v>
      </c>
      <c r="D1149" s="16" t="str">
        <f>IFERROR(__xludf.DUMMYFUNCTION("""COMPUTED_VALUE"""),"clp*****28.hcc@go.edu.tw")</f>
        <v>clp*****28.hcc@go.edu.tw</v>
      </c>
      <c r="E1149" s="17" t="str">
        <f>IFERROR(__xludf.DUMMYFUNCTION("""COMPUTED_VALUE"""),"新竹縣新豐鄉松林國民小學")</f>
        <v>新竹縣新豐鄉松林國民小學</v>
      </c>
      <c r="F1149" s="14" t="str">
        <f>IFERROR(__xludf.DUMMYFUNCTION("""COMPUTED_VALUE"""),"五年級")</f>
        <v>五年級</v>
      </c>
      <c r="G1149" s="14" t="str">
        <f>IFERROR(__xludf.DUMMYFUNCTION("""COMPUTED_VALUE"""),"獎狀")</f>
        <v>獎狀</v>
      </c>
      <c r="H1149" s="8"/>
    </row>
    <row r="1150">
      <c r="A1150" s="18"/>
      <c r="B1150" s="14">
        <f>IFERROR(__xludf.DUMMYFUNCTION("""COMPUTED_VALUE"""),1182966.0)</f>
        <v>1182966</v>
      </c>
      <c r="C1150" s="14" t="str">
        <f>IFERROR(__xludf.DUMMYFUNCTION("""COMPUTED_VALUE"""),"管家瑄")</f>
        <v>管家瑄</v>
      </c>
      <c r="D1150" s="16" t="str">
        <f>IFERROR(__xludf.DUMMYFUNCTION("""COMPUTED_VALUE"""),"clp*****02@go.edu.tw")</f>
        <v>clp*****02@go.edu.tw</v>
      </c>
      <c r="E1150" s="17" t="str">
        <f>IFERROR(__xludf.DUMMYFUNCTION("""COMPUTED_VALUE"""),"新竹縣新豐鄉松林國民小學")</f>
        <v>新竹縣新豐鄉松林國民小學</v>
      </c>
      <c r="F1150" s="14" t="str">
        <f>IFERROR(__xludf.DUMMYFUNCTION("""COMPUTED_VALUE"""),"五年級")</f>
        <v>五年級</v>
      </c>
      <c r="G1150" s="14" t="str">
        <f>IFERROR(__xludf.DUMMYFUNCTION("""COMPUTED_VALUE"""),"獎狀")</f>
        <v>獎狀</v>
      </c>
      <c r="H1150" s="8"/>
    </row>
    <row r="1151">
      <c r="A1151" s="18"/>
      <c r="B1151" s="14">
        <f>IFERROR(__xludf.DUMMYFUNCTION("""COMPUTED_VALUE"""),1165521.0)</f>
        <v>1165521</v>
      </c>
      <c r="C1151" s="14" t="str">
        <f>IFERROR(__xludf.DUMMYFUNCTION("""COMPUTED_VALUE"""),"劉威均")</f>
        <v>劉威均</v>
      </c>
      <c r="D1151" s="16" t="str">
        <f>IFERROR(__xludf.DUMMYFUNCTION("""COMPUTED_VALUE"""),"clp*****16@mail.edu.tw")</f>
        <v>clp*****16@mail.edu.tw</v>
      </c>
      <c r="E1151" s="17" t="str">
        <f>IFERROR(__xludf.DUMMYFUNCTION("""COMPUTED_VALUE"""),"新竹縣新豐鄉松林國民小學")</f>
        <v>新竹縣新豐鄉松林國民小學</v>
      </c>
      <c r="F1151" s="14" t="str">
        <f>IFERROR(__xludf.DUMMYFUNCTION("""COMPUTED_VALUE"""),"五年級")</f>
        <v>五年級</v>
      </c>
      <c r="G1151" s="14" t="str">
        <f>IFERROR(__xludf.DUMMYFUNCTION("""COMPUTED_VALUE"""),"獎狀")</f>
        <v>獎狀</v>
      </c>
      <c r="H1151" s="8"/>
    </row>
    <row r="1152">
      <c r="A1152" s="18"/>
      <c r="B1152" s="14">
        <f>IFERROR(__xludf.DUMMYFUNCTION("""COMPUTED_VALUE"""),1187455.0)</f>
        <v>1187455</v>
      </c>
      <c r="C1152" s="14" t="str">
        <f>IFERROR(__xludf.DUMMYFUNCTION("""COMPUTED_VALUE"""),"戴立洋")</f>
        <v>戴立洋</v>
      </c>
      <c r="D1152" s="16" t="str">
        <f>IFERROR(__xludf.DUMMYFUNCTION("""COMPUTED_VALUE"""),"clp*****06@go.edu.tw")</f>
        <v>clp*****06@go.edu.tw</v>
      </c>
      <c r="E1152" s="17" t="str">
        <f>IFERROR(__xludf.DUMMYFUNCTION("""COMPUTED_VALUE"""),"新竹縣新豐鄉松林國民小學")</f>
        <v>新竹縣新豐鄉松林國民小學</v>
      </c>
      <c r="F1152" s="14" t="str">
        <f>IFERROR(__xludf.DUMMYFUNCTION("""COMPUTED_VALUE"""),"五年級")</f>
        <v>五年級</v>
      </c>
      <c r="G1152" s="14" t="str">
        <f>IFERROR(__xludf.DUMMYFUNCTION("""COMPUTED_VALUE"""),"獎狀")</f>
        <v>獎狀</v>
      </c>
      <c r="H1152" s="8"/>
    </row>
    <row r="1153">
      <c r="A1153" s="18"/>
      <c r="B1153" s="14">
        <f>IFERROR(__xludf.DUMMYFUNCTION("""COMPUTED_VALUE"""),1165570.0)</f>
        <v>1165570</v>
      </c>
      <c r="C1153" s="14" t="str">
        <f>IFERROR(__xludf.DUMMYFUNCTION("""COMPUTED_VALUE"""),"蘇千甯")</f>
        <v>蘇千甯</v>
      </c>
      <c r="D1153" s="16" t="str">
        <f>IFERROR(__xludf.DUMMYFUNCTION("""COMPUTED_VALUE"""),"clp*****62.hcc@mail.edu.tw")</f>
        <v>clp*****62.hcc@mail.edu.tw</v>
      </c>
      <c r="E1153" s="17" t="str">
        <f>IFERROR(__xludf.DUMMYFUNCTION("""COMPUTED_VALUE"""),"新竹縣新豐鄉松林國民小學")</f>
        <v>新竹縣新豐鄉松林國民小學</v>
      </c>
      <c r="F1153" s="14" t="str">
        <f>IFERROR(__xludf.DUMMYFUNCTION("""COMPUTED_VALUE"""),"五年級")</f>
        <v>五年級</v>
      </c>
      <c r="G1153" s="14" t="str">
        <f>IFERROR(__xludf.DUMMYFUNCTION("""COMPUTED_VALUE"""),"獎狀")</f>
        <v>獎狀</v>
      </c>
      <c r="H1153" s="8"/>
    </row>
    <row r="1154">
      <c r="A1154" s="18"/>
      <c r="B1154" s="14">
        <f>IFERROR(__xludf.DUMMYFUNCTION("""COMPUTED_VALUE"""),246096.0)</f>
        <v>246096</v>
      </c>
      <c r="C1154" s="14" t="str">
        <f>IFERROR(__xludf.DUMMYFUNCTION("""COMPUTED_VALUE"""),"李子然")</f>
        <v>李子然</v>
      </c>
      <c r="D1154" s="16" t="str">
        <f>IFERROR(__xludf.DUMMYFUNCTION("""COMPUTED_VALUE"""),"enf*****212@yahoo.com.tw")</f>
        <v>enf*****212@yahoo.com.tw</v>
      </c>
      <c r="E1154" s="17" t="str">
        <f>IFERROR(__xludf.DUMMYFUNCTION("""COMPUTED_VALUE"""),"新竹縣新豐鄉松林國民小學")</f>
        <v>新竹縣新豐鄉松林國民小學</v>
      </c>
      <c r="F1154" s="14" t="str">
        <f>IFERROR(__xludf.DUMMYFUNCTION("""COMPUTED_VALUE"""),"六年級")</f>
        <v>六年級</v>
      </c>
      <c r="G1154" s="14" t="str">
        <f>IFERROR(__xludf.DUMMYFUNCTION("""COMPUTED_VALUE"""),"獎狀")</f>
        <v>獎狀</v>
      </c>
      <c r="H1154" s="8"/>
    </row>
    <row r="1155">
      <c r="A1155" s="18"/>
      <c r="B1155" s="14">
        <f>IFERROR(__xludf.DUMMYFUNCTION("""COMPUTED_VALUE"""),759712.0)</f>
        <v>759712</v>
      </c>
      <c r="C1155" s="14" t="str">
        <f>IFERROR(__xludf.DUMMYFUNCTION("""COMPUTED_VALUE"""),"吳宇涵")</f>
        <v>吳宇涵</v>
      </c>
      <c r="D1155" s="16" t="str">
        <f>IFERROR(__xludf.DUMMYFUNCTION("""COMPUTED_VALUE"""),"son*****08@gmail.com")</f>
        <v>son*****08@gmail.com</v>
      </c>
      <c r="E1155" s="17" t="str">
        <f>IFERROR(__xludf.DUMMYFUNCTION("""COMPUTED_VALUE"""),"新竹縣新豐鄉松林國民小學")</f>
        <v>新竹縣新豐鄉松林國民小學</v>
      </c>
      <c r="F1155" s="14" t="str">
        <f>IFERROR(__xludf.DUMMYFUNCTION("""COMPUTED_VALUE"""),"六年級")</f>
        <v>六年級</v>
      </c>
      <c r="G1155" s="14" t="str">
        <f>IFERROR(__xludf.DUMMYFUNCTION("""COMPUTED_VALUE"""),"●小禮物")</f>
        <v>●小禮物</v>
      </c>
      <c r="H1155" s="8"/>
    </row>
    <row r="1156">
      <c r="A1156" s="18"/>
      <c r="B1156" s="14">
        <f>IFERROR(__xludf.DUMMYFUNCTION("""COMPUTED_VALUE"""),760189.0)</f>
        <v>760189</v>
      </c>
      <c r="C1156" s="14" t="str">
        <f>IFERROR(__xludf.DUMMYFUNCTION("""COMPUTED_VALUE"""),"吳宇翔")</f>
        <v>吳宇翔</v>
      </c>
      <c r="D1156" s="16" t="str">
        <f>IFERROR(__xludf.DUMMYFUNCTION("""COMPUTED_VALUE"""),"nin*****@gmail.com")</f>
        <v>nin*****@gmail.com</v>
      </c>
      <c r="E1156" s="17" t="str">
        <f>IFERROR(__xludf.DUMMYFUNCTION("""COMPUTED_VALUE"""),"新竹縣新豐鄉松林國民小學")</f>
        <v>新竹縣新豐鄉松林國民小學</v>
      </c>
      <c r="F1156" s="14" t="str">
        <f>IFERROR(__xludf.DUMMYFUNCTION("""COMPUTED_VALUE"""),"六年級")</f>
        <v>六年級</v>
      </c>
      <c r="G1156" s="14" t="str">
        <f>IFERROR(__xludf.DUMMYFUNCTION("""COMPUTED_VALUE"""),"獎狀")</f>
        <v>獎狀</v>
      </c>
      <c r="H1156" s="8"/>
    </row>
    <row r="1157">
      <c r="A1157" s="18"/>
      <c r="B1157" s="14">
        <f>IFERROR(__xludf.DUMMYFUNCTION("""COMPUTED_VALUE"""),769728.0)</f>
        <v>769728</v>
      </c>
      <c r="C1157" s="14" t="str">
        <f>IFERROR(__xludf.DUMMYFUNCTION("""COMPUTED_VALUE"""),"邱子宸")</f>
        <v>邱子宸</v>
      </c>
      <c r="D1157" s="16" t="str">
        <f>IFERROR(__xludf.DUMMYFUNCTION("""COMPUTED_VALUE"""),"emi*****ai@cli.com.tw")</f>
        <v>emi*****ai@cli.com.tw</v>
      </c>
      <c r="E1157" s="17" t="str">
        <f>IFERROR(__xludf.DUMMYFUNCTION("""COMPUTED_VALUE"""),"新竹縣新豐鄉松林國民小學")</f>
        <v>新竹縣新豐鄉松林國民小學</v>
      </c>
      <c r="F1157" s="14" t="str">
        <f>IFERROR(__xludf.DUMMYFUNCTION("""COMPUTED_VALUE"""),"六年級")</f>
        <v>六年級</v>
      </c>
      <c r="G1157" s="14" t="str">
        <f>IFERROR(__xludf.DUMMYFUNCTION("""COMPUTED_VALUE"""),"獎狀")</f>
        <v>獎狀</v>
      </c>
      <c r="H1157" s="8"/>
    </row>
    <row r="1158">
      <c r="A1158" s="18"/>
      <c r="B1158" s="14">
        <f>IFERROR(__xludf.DUMMYFUNCTION("""COMPUTED_VALUE"""),862768.0)</f>
        <v>862768</v>
      </c>
      <c r="C1158" s="14" t="str">
        <f>IFERROR(__xludf.DUMMYFUNCTION("""COMPUTED_VALUE"""),"簡若純")</f>
        <v>簡若純</v>
      </c>
      <c r="D1158" s="16" t="str">
        <f>IFERROR(__xludf.DUMMYFUNCTION("""COMPUTED_VALUE"""),"sce*****17@gapp.hcc.edu.tw")</f>
        <v>sce*****17@gapp.hcc.edu.tw</v>
      </c>
      <c r="E1158" s="17" t="str">
        <f>IFERROR(__xludf.DUMMYFUNCTION("""COMPUTED_VALUE"""),"新竹縣新豐鄉山崎國民小學")</f>
        <v>新竹縣新豐鄉山崎國民小學</v>
      </c>
      <c r="F1158" s="14" t="str">
        <f>IFERROR(__xludf.DUMMYFUNCTION("""COMPUTED_VALUE"""),"四年級")</f>
        <v>四年級</v>
      </c>
      <c r="G1158" s="14" t="str">
        <f>IFERROR(__xludf.DUMMYFUNCTION("""COMPUTED_VALUE"""),"●小禮物")</f>
        <v>●小禮物</v>
      </c>
      <c r="H1158" s="8"/>
    </row>
    <row r="1159">
      <c r="A1159" s="18"/>
      <c r="B1159" s="14">
        <f>IFERROR(__xludf.DUMMYFUNCTION("""COMPUTED_VALUE"""),510450.0)</f>
        <v>510450</v>
      </c>
      <c r="C1159" s="14" t="str">
        <f>IFERROR(__xludf.DUMMYFUNCTION("""COMPUTED_VALUE"""),"林煜宸")</f>
        <v>林煜宸</v>
      </c>
      <c r="D1159" s="16" t="str">
        <f>IFERROR(__xludf.DUMMYFUNCTION("""COMPUTED_VALUE"""),"hhe*****03@mail.edu.tw")</f>
        <v>hhe*****03@mail.edu.tw</v>
      </c>
      <c r="E1159" s="17" t="str">
        <f>IFERROR(__xludf.DUMMYFUNCTION("""COMPUTED_VALUE"""),"新竹縣新埔鎮新星國民小學")</f>
        <v>新竹縣新埔鎮新星國民小學</v>
      </c>
      <c r="F1159" s="14" t="str">
        <f>IFERROR(__xludf.DUMMYFUNCTION("""COMPUTED_VALUE"""),"五年級")</f>
        <v>五年級</v>
      </c>
      <c r="G1159" s="14" t="str">
        <f>IFERROR(__xludf.DUMMYFUNCTION("""COMPUTED_VALUE"""),"獎狀")</f>
        <v>獎狀</v>
      </c>
      <c r="H1159" s="8"/>
    </row>
    <row r="1160">
      <c r="A1160" s="18"/>
      <c r="B1160" s="14">
        <f>IFERROR(__xludf.DUMMYFUNCTION("""COMPUTED_VALUE"""),875021.0)</f>
        <v>875021</v>
      </c>
      <c r="C1160" s="14" t="str">
        <f>IFERROR(__xludf.DUMMYFUNCTION("""COMPUTED_VALUE"""),"張芯婕")</f>
        <v>張芯婕</v>
      </c>
      <c r="D1160" s="16" t="str">
        <f>IFERROR(__xludf.DUMMYFUNCTION("""COMPUTED_VALUE"""),"hhe*****37@mail.edu.tw")</f>
        <v>hhe*****37@mail.edu.tw</v>
      </c>
      <c r="E1160" s="17" t="str">
        <f>IFERROR(__xludf.DUMMYFUNCTION("""COMPUTED_VALUE"""),"新竹縣新埔鎮新星國民小學")</f>
        <v>新竹縣新埔鎮新星國民小學</v>
      </c>
      <c r="F1160" s="14" t="str">
        <f>IFERROR(__xludf.DUMMYFUNCTION("""COMPUTED_VALUE"""),"五年級")</f>
        <v>五年級</v>
      </c>
      <c r="G1160" s="14" t="str">
        <f>IFERROR(__xludf.DUMMYFUNCTION("""COMPUTED_VALUE"""),"●小禮物")</f>
        <v>●小禮物</v>
      </c>
      <c r="H1160" s="8"/>
    </row>
    <row r="1161">
      <c r="A1161" s="18"/>
      <c r="B1161" s="14">
        <f>IFERROR(__xludf.DUMMYFUNCTION("""COMPUTED_VALUE"""),875038.0)</f>
        <v>875038</v>
      </c>
      <c r="C1161" s="14" t="str">
        <f>IFERROR(__xludf.DUMMYFUNCTION("""COMPUTED_VALUE"""),"張勤祥")</f>
        <v>張勤祥</v>
      </c>
      <c r="D1161" s="16" t="str">
        <f>IFERROR(__xludf.DUMMYFUNCTION("""COMPUTED_VALUE"""),"hhe*****29@mail.edu.tw")</f>
        <v>hhe*****29@mail.edu.tw</v>
      </c>
      <c r="E1161" s="17" t="str">
        <f>IFERROR(__xludf.DUMMYFUNCTION("""COMPUTED_VALUE"""),"新竹縣新埔鎮新星國民小學")</f>
        <v>新竹縣新埔鎮新星國民小學</v>
      </c>
      <c r="F1161" s="14" t="str">
        <f>IFERROR(__xludf.DUMMYFUNCTION("""COMPUTED_VALUE"""),"五年級")</f>
        <v>五年級</v>
      </c>
      <c r="G1161" s="14" t="str">
        <f>IFERROR(__xludf.DUMMYFUNCTION("""COMPUTED_VALUE"""),"●小禮物")</f>
        <v>●小禮物</v>
      </c>
      <c r="H1161" s="8"/>
    </row>
    <row r="1162">
      <c r="A1162" s="18"/>
      <c r="B1162" s="14">
        <f>IFERROR(__xludf.DUMMYFUNCTION("""COMPUTED_VALUE"""),875023.0)</f>
        <v>875023</v>
      </c>
      <c r="C1162" s="14" t="str">
        <f>IFERROR(__xludf.DUMMYFUNCTION("""COMPUTED_VALUE"""),"黃采晴")</f>
        <v>黃采晴</v>
      </c>
      <c r="D1162" s="16" t="str">
        <f>IFERROR(__xludf.DUMMYFUNCTION("""COMPUTED_VALUE"""),"hhe*****35@mail.edu.tw")</f>
        <v>hhe*****35@mail.edu.tw</v>
      </c>
      <c r="E1162" s="17" t="str">
        <f>IFERROR(__xludf.DUMMYFUNCTION("""COMPUTED_VALUE"""),"新竹縣新埔鎮新星國民小學")</f>
        <v>新竹縣新埔鎮新星國民小學</v>
      </c>
      <c r="F1162" s="14" t="str">
        <f>IFERROR(__xludf.DUMMYFUNCTION("""COMPUTED_VALUE"""),"五年級")</f>
        <v>五年級</v>
      </c>
      <c r="G1162" s="14" t="str">
        <f>IFERROR(__xludf.DUMMYFUNCTION("""COMPUTED_VALUE"""),"●小禮物")</f>
        <v>●小禮物</v>
      </c>
      <c r="H1162" s="8"/>
    </row>
    <row r="1163">
      <c r="A1163" s="18"/>
      <c r="B1163" s="14">
        <f>IFERROR(__xludf.DUMMYFUNCTION("""COMPUTED_VALUE"""),556051.0)</f>
        <v>556051</v>
      </c>
      <c r="C1163" s="14" t="str">
        <f>IFERROR(__xludf.DUMMYFUNCTION("""COMPUTED_VALUE"""),"林栩旨")</f>
        <v>林栩旨</v>
      </c>
      <c r="D1163" s="16" t="str">
        <f>IFERROR(__xludf.DUMMYFUNCTION("""COMPUTED_VALUE"""),"sun*****in@gmail.com")</f>
        <v>sun*****in@gmail.com</v>
      </c>
      <c r="E1163" s="17" t="str">
        <f>IFERROR(__xludf.DUMMYFUNCTION("""COMPUTED_VALUE"""),"新竹縣關西鎮關西國民小學")</f>
        <v>新竹縣關西鎮關西國民小學</v>
      </c>
      <c r="F1163" s="14" t="str">
        <f>IFERROR(__xludf.DUMMYFUNCTION("""COMPUTED_VALUE"""),"五年級")</f>
        <v>五年級</v>
      </c>
      <c r="G1163" s="14" t="str">
        <f>IFERROR(__xludf.DUMMYFUNCTION("""COMPUTED_VALUE"""),"獎狀")</f>
        <v>獎狀</v>
      </c>
      <c r="H1163" s="8"/>
    </row>
    <row r="1164">
      <c r="A1164" s="18"/>
      <c r="B1164" s="14">
        <f>IFERROR(__xludf.DUMMYFUNCTION("""COMPUTED_VALUE"""),556044.0)</f>
        <v>556044</v>
      </c>
      <c r="C1164" s="14" t="str">
        <f>IFERROR(__xludf.DUMMYFUNCTION("""COMPUTED_VALUE"""),"林軒朵")</f>
        <v>林軒朵</v>
      </c>
      <c r="D1164" s="16" t="str">
        <f>IFERROR(__xludf.DUMMYFUNCTION("""COMPUTED_VALUE"""),"lif*****357@gmail.com")</f>
        <v>lif*****357@gmail.com</v>
      </c>
      <c r="E1164" s="17" t="str">
        <f>IFERROR(__xludf.DUMMYFUNCTION("""COMPUTED_VALUE"""),"新竹縣關西鎮關西國民小學")</f>
        <v>新竹縣關西鎮關西國民小學</v>
      </c>
      <c r="F1164" s="14" t="str">
        <f>IFERROR(__xludf.DUMMYFUNCTION("""COMPUTED_VALUE"""),"五年級")</f>
        <v>五年級</v>
      </c>
      <c r="G1164" s="14" t="str">
        <f>IFERROR(__xludf.DUMMYFUNCTION("""COMPUTED_VALUE"""),"●小禮物")</f>
        <v>●小禮物</v>
      </c>
      <c r="H1164" s="8"/>
    </row>
    <row r="1165">
      <c r="A1165" s="18"/>
      <c r="B1165" s="14">
        <f>IFERROR(__xludf.DUMMYFUNCTION("""COMPUTED_VALUE"""),492859.0)</f>
        <v>492859</v>
      </c>
      <c r="C1165" s="14" t="str">
        <f>IFERROR(__xludf.DUMMYFUNCTION("""COMPUTED_VALUE"""),"王涵緹")</f>
        <v>王涵緹</v>
      </c>
      <c r="D1165" s="16" t="str">
        <f>IFERROR(__xludf.DUMMYFUNCTION("""COMPUTED_VALUE"""),"bse*****07@gapp.hcc.edu.tw")</f>
        <v>bse*****07@gapp.hcc.edu.tw</v>
      </c>
      <c r="E1165" s="17" t="str">
        <f>IFERROR(__xludf.DUMMYFUNCTION("""COMPUTED_VALUE"""),"新竹縣寶山鄉寶山國民小學")</f>
        <v>新竹縣寶山鄉寶山國民小學</v>
      </c>
      <c r="F1165" s="14" t="str">
        <f>IFERROR(__xludf.DUMMYFUNCTION("""COMPUTED_VALUE"""),"五年級")</f>
        <v>五年級</v>
      </c>
      <c r="G1165" s="14" t="str">
        <f>IFERROR(__xludf.DUMMYFUNCTION("""COMPUTED_VALUE"""),"●小禮物")</f>
        <v>●小禮物</v>
      </c>
      <c r="H1165" s="8"/>
    </row>
    <row r="1166">
      <c r="A1166" s="18"/>
      <c r="B1166" s="14">
        <f>IFERROR(__xludf.DUMMYFUNCTION("""COMPUTED_VALUE"""),359873.0)</f>
        <v>359873</v>
      </c>
      <c r="C1166" s="14" t="str">
        <f>IFERROR(__xludf.DUMMYFUNCTION("""COMPUTED_VALUE"""),"楊景翔")</f>
        <v>楊景翔</v>
      </c>
      <c r="D1166" s="16" t="str">
        <f>IFERROR(__xludf.DUMMYFUNCTION("""COMPUTED_VALUE"""),"bse*****01@gapp.hcc.edu.tw")</f>
        <v>bse*****01@gapp.hcc.edu.tw</v>
      </c>
      <c r="E1166" s="17" t="str">
        <f>IFERROR(__xludf.DUMMYFUNCTION("""COMPUTED_VALUE"""),"新竹縣寶山鄉寶山國民小學")</f>
        <v>新竹縣寶山鄉寶山國民小學</v>
      </c>
      <c r="F1166" s="14" t="str">
        <f>IFERROR(__xludf.DUMMYFUNCTION("""COMPUTED_VALUE"""),"六年級")</f>
        <v>六年級</v>
      </c>
      <c r="G1166" s="14" t="str">
        <f>IFERROR(__xludf.DUMMYFUNCTION("""COMPUTED_VALUE"""),"★禮券$200")</f>
        <v>★禮券$200</v>
      </c>
      <c r="H1166" s="8"/>
    </row>
    <row r="1167">
      <c r="A1167" s="18"/>
      <c r="B1167" s="14">
        <f>IFERROR(__xludf.DUMMYFUNCTION("""COMPUTED_VALUE"""),1219436.0)</f>
        <v>1219436</v>
      </c>
      <c r="C1167" s="14" t="str">
        <f>IFERROR(__xludf.DUMMYFUNCTION("""COMPUTED_VALUE"""),"陳孜姮")</f>
        <v>陳孜姮</v>
      </c>
      <c r="D1167" s="16" t="str">
        <f>IFERROR(__xludf.DUMMYFUNCTION("""COMPUTED_VALUE"""),"sqe*****073@sqes.hcc.edu.tw")</f>
        <v>sqe*****073@sqes.hcc.edu.tw</v>
      </c>
      <c r="E1167" s="17" t="str">
        <f>IFERROR(__xludf.DUMMYFUNCTION("""COMPUTED_VALUE"""),"新竹縣竹東鎮上館國民小學")</f>
        <v>新竹縣竹東鎮上館國民小學</v>
      </c>
      <c r="F1167" s="14" t="str">
        <f>IFERROR(__xludf.DUMMYFUNCTION("""COMPUTED_VALUE"""),"六年級")</f>
        <v>六年級</v>
      </c>
      <c r="G1167" s="14" t="str">
        <f>IFERROR(__xludf.DUMMYFUNCTION("""COMPUTED_VALUE"""),"獎狀")</f>
        <v>獎狀</v>
      </c>
      <c r="H1167" s="8"/>
    </row>
    <row r="1168">
      <c r="A1168" s="18"/>
      <c r="B1168" s="14">
        <f>IFERROR(__xludf.DUMMYFUNCTION("""COMPUTED_VALUE"""),377928.0)</f>
        <v>377928</v>
      </c>
      <c r="C1168" s="14" t="str">
        <f>IFERROR(__xludf.DUMMYFUNCTION("""COMPUTED_VALUE"""),"温宸宇")</f>
        <v>温宸宇</v>
      </c>
      <c r="D1168" s="16" t="str">
        <f>IFERROR(__xludf.DUMMYFUNCTION("""COMPUTED_VALUE"""),"sqe*****091.hcc@mail.edu.tw")</f>
        <v>sqe*****091.hcc@mail.edu.tw</v>
      </c>
      <c r="E1168" s="17" t="str">
        <f>IFERROR(__xludf.DUMMYFUNCTION("""COMPUTED_VALUE"""),"新竹縣竹東鎮上館國民小學")</f>
        <v>新竹縣竹東鎮上館國民小學</v>
      </c>
      <c r="F1168" s="14" t="str">
        <f>IFERROR(__xludf.DUMMYFUNCTION("""COMPUTED_VALUE"""),"六年級")</f>
        <v>六年級</v>
      </c>
      <c r="G1168" s="14" t="str">
        <f>IFERROR(__xludf.DUMMYFUNCTION("""COMPUTED_VALUE"""),"獎狀")</f>
        <v>獎狀</v>
      </c>
      <c r="H1168" s="8"/>
    </row>
    <row r="1169">
      <c r="A1169" s="18"/>
      <c r="B1169" s="14">
        <f>IFERROR(__xludf.DUMMYFUNCTION("""COMPUTED_VALUE"""),1189768.0)</f>
        <v>1189768</v>
      </c>
      <c r="C1169" s="14" t="str">
        <f>IFERROR(__xludf.DUMMYFUNCTION("""COMPUTED_VALUE"""),"李宥岑")</f>
        <v>李宥岑</v>
      </c>
      <c r="D1169" s="16" t="str">
        <f>IFERROR(__xludf.DUMMYFUNCTION("""COMPUTED_VALUE"""),"sqe*****068@sqes.hcc.edu.tw")</f>
        <v>sqe*****068@sqes.hcc.edu.tw</v>
      </c>
      <c r="E1169" s="17" t="str">
        <f>IFERROR(__xludf.DUMMYFUNCTION("""COMPUTED_VALUE"""),"新竹縣竹東鎮上館國民小學")</f>
        <v>新竹縣竹東鎮上館國民小學</v>
      </c>
      <c r="F1169" s="14" t="str">
        <f>IFERROR(__xludf.DUMMYFUNCTION("""COMPUTED_VALUE"""),"六年級")</f>
        <v>六年級</v>
      </c>
      <c r="G1169" s="14" t="str">
        <f>IFERROR(__xludf.DUMMYFUNCTION("""COMPUTED_VALUE"""),"●小禮物")</f>
        <v>●小禮物</v>
      </c>
      <c r="H1169" s="8"/>
    </row>
    <row r="1170">
      <c r="A1170" s="18"/>
      <c r="B1170" s="14">
        <f>IFERROR(__xludf.DUMMYFUNCTION("""COMPUTED_VALUE"""),502285.0)</f>
        <v>502285</v>
      </c>
      <c r="C1170" s="14" t="str">
        <f>IFERROR(__xludf.DUMMYFUNCTION("""COMPUTED_VALUE"""),"胡奕曈")</f>
        <v>胡奕曈</v>
      </c>
      <c r="D1170" s="16" t="str">
        <f>IFERROR(__xludf.DUMMYFUNCTION("""COMPUTED_VALUE"""),"rde*****10@mail.edu.tw")</f>
        <v>rde*****10@mail.edu.tw</v>
      </c>
      <c r="E1170" s="17" t="str">
        <f>IFERROR(__xludf.DUMMYFUNCTION("""COMPUTED_VALUE"""),"新竹縣竹東鎮員崠國民小學")</f>
        <v>新竹縣竹東鎮員崠國民小學</v>
      </c>
      <c r="F1170" s="14" t="str">
        <f>IFERROR(__xludf.DUMMYFUNCTION("""COMPUTED_VALUE"""),"五年級")</f>
        <v>五年級</v>
      </c>
      <c r="G1170" s="14" t="str">
        <f>IFERROR(__xludf.DUMMYFUNCTION("""COMPUTED_VALUE"""),"●小禮物")</f>
        <v>●小禮物</v>
      </c>
      <c r="H1170" s="8"/>
    </row>
    <row r="1171">
      <c r="A1171" s="18"/>
      <c r="B1171" s="14">
        <f>IFERROR(__xludf.DUMMYFUNCTION("""COMPUTED_VALUE"""),502237.0)</f>
        <v>502237</v>
      </c>
      <c r="C1171" s="14" t="str">
        <f>IFERROR(__xludf.DUMMYFUNCTION("""COMPUTED_VALUE"""),"薛瑋皜")</f>
        <v>薛瑋皜</v>
      </c>
      <c r="D1171" s="16" t="str">
        <f>IFERROR(__xludf.DUMMYFUNCTION("""COMPUTED_VALUE"""),"rde*****04@mail.edu.tw")</f>
        <v>rde*****04@mail.edu.tw</v>
      </c>
      <c r="E1171" s="17" t="str">
        <f>IFERROR(__xludf.DUMMYFUNCTION("""COMPUTED_VALUE"""),"新竹縣竹東鎮員崠國民小學")</f>
        <v>新竹縣竹東鎮員崠國民小學</v>
      </c>
      <c r="F1171" s="14" t="str">
        <f>IFERROR(__xludf.DUMMYFUNCTION("""COMPUTED_VALUE"""),"五年級")</f>
        <v>五年級</v>
      </c>
      <c r="G1171" s="14" t="str">
        <f>IFERROR(__xludf.DUMMYFUNCTION("""COMPUTED_VALUE"""),"●小禮物")</f>
        <v>●小禮物</v>
      </c>
      <c r="H1171" s="8"/>
    </row>
    <row r="1172">
      <c r="A1172" s="18"/>
      <c r="B1172" s="14">
        <f>IFERROR(__xludf.DUMMYFUNCTION("""COMPUTED_VALUE"""),502284.0)</f>
        <v>502284</v>
      </c>
      <c r="C1172" s="14" t="str">
        <f>IFERROR(__xludf.DUMMYFUNCTION("""COMPUTED_VALUE"""),"彭沛涵")</f>
        <v>彭沛涵</v>
      </c>
      <c r="D1172" s="16" t="str">
        <f>IFERROR(__xludf.DUMMYFUNCTION("""COMPUTED_VALUE"""),"rde*****17@mail.edu.tw")</f>
        <v>rde*****17@mail.edu.tw</v>
      </c>
      <c r="E1172" s="17" t="str">
        <f>IFERROR(__xludf.DUMMYFUNCTION("""COMPUTED_VALUE"""),"新竹縣竹東鎮員崠國民小學")</f>
        <v>新竹縣竹東鎮員崠國民小學</v>
      </c>
      <c r="F1172" s="14" t="str">
        <f>IFERROR(__xludf.DUMMYFUNCTION("""COMPUTED_VALUE"""),"五年級")</f>
        <v>五年級</v>
      </c>
      <c r="G1172" s="14" t="str">
        <f>IFERROR(__xludf.DUMMYFUNCTION("""COMPUTED_VALUE"""),"★禮券$200")</f>
        <v>★禮券$200</v>
      </c>
      <c r="H1172" s="8"/>
    </row>
    <row r="1173">
      <c r="A1173" s="18"/>
      <c r="B1173" s="14">
        <f>IFERROR(__xludf.DUMMYFUNCTION("""COMPUTED_VALUE"""),502281.0)</f>
        <v>502281</v>
      </c>
      <c r="C1173" s="14" t="str">
        <f>IFERROR(__xludf.DUMMYFUNCTION("""COMPUTED_VALUE"""),"貝奇恩")</f>
        <v>貝奇恩</v>
      </c>
      <c r="D1173" s="16" t="str">
        <f>IFERROR(__xludf.DUMMYFUNCTION("""COMPUTED_VALUE"""),"rde*****06@mail.edu.tw")</f>
        <v>rde*****06@mail.edu.tw</v>
      </c>
      <c r="E1173" s="17" t="str">
        <f>IFERROR(__xludf.DUMMYFUNCTION("""COMPUTED_VALUE"""),"新竹縣竹東鎮員崠國民小學")</f>
        <v>新竹縣竹東鎮員崠國民小學</v>
      </c>
      <c r="F1173" s="14" t="str">
        <f>IFERROR(__xludf.DUMMYFUNCTION("""COMPUTED_VALUE"""),"五年級")</f>
        <v>五年級</v>
      </c>
      <c r="G1173" s="14" t="str">
        <f>IFERROR(__xludf.DUMMYFUNCTION("""COMPUTED_VALUE"""),"獎狀")</f>
        <v>獎狀</v>
      </c>
      <c r="H1173" s="8"/>
    </row>
    <row r="1174">
      <c r="A1174" s="18"/>
      <c r="B1174" s="14">
        <f>IFERROR(__xludf.DUMMYFUNCTION("""COMPUTED_VALUE"""),502243.0)</f>
        <v>502243</v>
      </c>
      <c r="C1174" s="14" t="str">
        <f>IFERROR(__xludf.DUMMYFUNCTION("""COMPUTED_VALUE"""),"邱子祈")</f>
        <v>邱子祈</v>
      </c>
      <c r="D1174" s="16" t="str">
        <f>IFERROR(__xludf.DUMMYFUNCTION("""COMPUTED_VALUE"""),"rde*****07@mail.edu.tw")</f>
        <v>rde*****07@mail.edu.tw</v>
      </c>
      <c r="E1174" s="17" t="str">
        <f>IFERROR(__xludf.DUMMYFUNCTION("""COMPUTED_VALUE"""),"新竹縣竹東鎮員崠國民小學")</f>
        <v>新竹縣竹東鎮員崠國民小學</v>
      </c>
      <c r="F1174" s="14" t="str">
        <f>IFERROR(__xludf.DUMMYFUNCTION("""COMPUTED_VALUE"""),"五年級")</f>
        <v>五年級</v>
      </c>
      <c r="G1174" s="14" t="str">
        <f>IFERROR(__xludf.DUMMYFUNCTION("""COMPUTED_VALUE"""),"獎狀")</f>
        <v>獎狀</v>
      </c>
      <c r="H1174" s="8"/>
    </row>
    <row r="1175">
      <c r="A1175" s="18"/>
      <c r="B1175" s="14">
        <f>IFERROR(__xludf.DUMMYFUNCTION("""COMPUTED_VALUE"""),502248.0)</f>
        <v>502248</v>
      </c>
      <c r="C1175" s="14" t="str">
        <f>IFERROR(__xludf.DUMMYFUNCTION("""COMPUTED_VALUE"""),"范詠禎")</f>
        <v>范詠禎</v>
      </c>
      <c r="D1175" s="16" t="str">
        <f>IFERROR(__xludf.DUMMYFUNCTION("""COMPUTED_VALUE"""),"rde*****13@mail.edu.tw")</f>
        <v>rde*****13@mail.edu.tw</v>
      </c>
      <c r="E1175" s="17" t="str">
        <f>IFERROR(__xludf.DUMMYFUNCTION("""COMPUTED_VALUE"""),"新竹縣竹東鎮員崠國民小學")</f>
        <v>新竹縣竹東鎮員崠國民小學</v>
      </c>
      <c r="F1175" s="14" t="str">
        <f>IFERROR(__xludf.DUMMYFUNCTION("""COMPUTED_VALUE"""),"五年級")</f>
        <v>五年級</v>
      </c>
      <c r="G1175" s="14" t="str">
        <f>IFERROR(__xludf.DUMMYFUNCTION("""COMPUTED_VALUE"""),"獎狀")</f>
        <v>獎狀</v>
      </c>
      <c r="H1175" s="8"/>
    </row>
    <row r="1176">
      <c r="A1176" s="18"/>
      <c r="B1176" s="14">
        <f>IFERROR(__xludf.DUMMYFUNCTION("""COMPUTED_VALUE"""),498464.0)</f>
        <v>498464</v>
      </c>
      <c r="C1176" s="14" t="str">
        <f>IFERROR(__xludf.DUMMYFUNCTION("""COMPUTED_VALUE"""),"張詠誠")</f>
        <v>張詠誠</v>
      </c>
      <c r="D1176" s="16" t="str">
        <f>IFERROR(__xludf.DUMMYFUNCTION("""COMPUTED_VALUE"""),"rde*****01@mail.edu.tw")</f>
        <v>rde*****01@mail.edu.tw</v>
      </c>
      <c r="E1176" s="17" t="str">
        <f>IFERROR(__xludf.DUMMYFUNCTION("""COMPUTED_VALUE"""),"新竹縣竹東鎮員崠國民小學")</f>
        <v>新竹縣竹東鎮員崠國民小學</v>
      </c>
      <c r="F1176" s="14" t="str">
        <f>IFERROR(__xludf.DUMMYFUNCTION("""COMPUTED_VALUE"""),"五年級")</f>
        <v>五年級</v>
      </c>
      <c r="G1176" s="14" t="str">
        <f>IFERROR(__xludf.DUMMYFUNCTION("""COMPUTED_VALUE"""),"獎狀")</f>
        <v>獎狀</v>
      </c>
      <c r="H1176" s="8"/>
    </row>
    <row r="1177">
      <c r="A1177" s="18"/>
      <c r="B1177" s="14">
        <f>IFERROR(__xludf.DUMMYFUNCTION("""COMPUTED_VALUE"""),502239.0)</f>
        <v>502239</v>
      </c>
      <c r="C1177" s="14" t="str">
        <f>IFERROR(__xludf.DUMMYFUNCTION("""COMPUTED_VALUE"""),"陳威緒")</f>
        <v>陳威緒</v>
      </c>
      <c r="D1177" s="16" t="str">
        <f>IFERROR(__xludf.DUMMYFUNCTION("""COMPUTED_VALUE"""),"rde*****03@mail.edu.tw")</f>
        <v>rde*****03@mail.edu.tw</v>
      </c>
      <c r="E1177" s="17" t="str">
        <f>IFERROR(__xludf.DUMMYFUNCTION("""COMPUTED_VALUE"""),"新竹縣竹東鎮員崠國民小學")</f>
        <v>新竹縣竹東鎮員崠國民小學</v>
      </c>
      <c r="F1177" s="14" t="str">
        <f>IFERROR(__xludf.DUMMYFUNCTION("""COMPUTED_VALUE"""),"五年級")</f>
        <v>五年級</v>
      </c>
      <c r="G1177" s="14" t="str">
        <f>IFERROR(__xludf.DUMMYFUNCTION("""COMPUTED_VALUE"""),"獎狀")</f>
        <v>獎狀</v>
      </c>
      <c r="H1177" s="8"/>
    </row>
    <row r="1178">
      <c r="A1178" s="18"/>
      <c r="B1178" s="14">
        <f>IFERROR(__xludf.DUMMYFUNCTION("""COMPUTED_VALUE"""),502280.0)</f>
        <v>502280</v>
      </c>
      <c r="C1178" s="14" t="str">
        <f>IFERROR(__xludf.DUMMYFUNCTION("""COMPUTED_VALUE"""),"彭禹欣")</f>
        <v>彭禹欣</v>
      </c>
      <c r="D1178" s="16" t="str">
        <f>IFERROR(__xludf.DUMMYFUNCTION("""COMPUTED_VALUE"""),"rde*****12@mail.edu.tw")</f>
        <v>rde*****12@mail.edu.tw</v>
      </c>
      <c r="E1178" s="17" t="str">
        <f>IFERROR(__xludf.DUMMYFUNCTION("""COMPUTED_VALUE"""),"新竹縣竹東鎮員崠國民小學")</f>
        <v>新竹縣竹東鎮員崠國民小學</v>
      </c>
      <c r="F1178" s="14" t="str">
        <f>IFERROR(__xludf.DUMMYFUNCTION("""COMPUTED_VALUE"""),"五年級")</f>
        <v>五年級</v>
      </c>
      <c r="G1178" s="14" t="str">
        <f>IFERROR(__xludf.DUMMYFUNCTION("""COMPUTED_VALUE"""),"獎狀")</f>
        <v>獎狀</v>
      </c>
      <c r="H1178" s="8"/>
    </row>
    <row r="1179">
      <c r="A1179" s="18"/>
      <c r="B1179" s="14">
        <f>IFERROR(__xludf.DUMMYFUNCTION("""COMPUTED_VALUE"""),502242.0)</f>
        <v>502242</v>
      </c>
      <c r="C1179" s="14" t="str">
        <f>IFERROR(__xludf.DUMMYFUNCTION("""COMPUTED_VALUE"""),"黃昊宇")</f>
        <v>黃昊宇</v>
      </c>
      <c r="D1179" s="16" t="str">
        <f>IFERROR(__xludf.DUMMYFUNCTION("""COMPUTED_VALUE"""),"rde*****02@mail.edu.tw")</f>
        <v>rde*****02@mail.edu.tw</v>
      </c>
      <c r="E1179" s="17" t="str">
        <f>IFERROR(__xludf.DUMMYFUNCTION("""COMPUTED_VALUE"""),"新竹縣竹東鎮員崠國民小學")</f>
        <v>新竹縣竹東鎮員崠國民小學</v>
      </c>
      <c r="F1179" s="14" t="str">
        <f>IFERROR(__xludf.DUMMYFUNCTION("""COMPUTED_VALUE"""),"五年級")</f>
        <v>五年級</v>
      </c>
      <c r="G1179" s="14" t="str">
        <f>IFERROR(__xludf.DUMMYFUNCTION("""COMPUTED_VALUE"""),"獎狀")</f>
        <v>獎狀</v>
      </c>
      <c r="H1179" s="8"/>
    </row>
    <row r="1180">
      <c r="A1180" s="18"/>
      <c r="B1180" s="14">
        <f>IFERROR(__xludf.DUMMYFUNCTION("""COMPUTED_VALUE"""),502249.0)</f>
        <v>502249</v>
      </c>
      <c r="C1180" s="14" t="str">
        <f>IFERROR(__xludf.DUMMYFUNCTION("""COMPUTED_VALUE"""),"葉子楹")</f>
        <v>葉子楹</v>
      </c>
      <c r="D1180" s="16" t="str">
        <f>IFERROR(__xludf.DUMMYFUNCTION("""COMPUTED_VALUE"""),"rde*****15@mail.edu.tw")</f>
        <v>rde*****15@mail.edu.tw</v>
      </c>
      <c r="E1180" s="17" t="str">
        <f>IFERROR(__xludf.DUMMYFUNCTION("""COMPUTED_VALUE"""),"新竹縣竹東鎮員崠國民小學")</f>
        <v>新竹縣竹東鎮員崠國民小學</v>
      </c>
      <c r="F1180" s="14" t="str">
        <f>IFERROR(__xludf.DUMMYFUNCTION("""COMPUTED_VALUE"""),"五年級")</f>
        <v>五年級</v>
      </c>
      <c r="G1180" s="14" t="str">
        <f>IFERROR(__xludf.DUMMYFUNCTION("""COMPUTED_VALUE"""),"獎狀")</f>
        <v>獎狀</v>
      </c>
      <c r="H1180" s="8"/>
    </row>
    <row r="1181">
      <c r="A1181" s="18"/>
      <c r="B1181" s="14">
        <f>IFERROR(__xludf.DUMMYFUNCTION("""COMPUTED_VALUE"""),502246.0)</f>
        <v>502246</v>
      </c>
      <c r="C1181" s="14" t="str">
        <f>IFERROR(__xludf.DUMMYFUNCTION("""COMPUTED_VALUE"""),"褚子恩")</f>
        <v>褚子恩</v>
      </c>
      <c r="D1181" s="16" t="str">
        <f>IFERROR(__xludf.DUMMYFUNCTION("""COMPUTED_VALUE"""),"rde*****11@mail.edu.tw")</f>
        <v>rde*****11@mail.edu.tw</v>
      </c>
      <c r="E1181" s="17" t="str">
        <f>IFERROR(__xludf.DUMMYFUNCTION("""COMPUTED_VALUE"""),"新竹縣竹東鎮員崠國民小學")</f>
        <v>新竹縣竹東鎮員崠國民小學</v>
      </c>
      <c r="F1181" s="14" t="str">
        <f>IFERROR(__xludf.DUMMYFUNCTION("""COMPUTED_VALUE"""),"五年級")</f>
        <v>五年級</v>
      </c>
      <c r="G1181" s="14" t="str">
        <f>IFERROR(__xludf.DUMMYFUNCTION("""COMPUTED_VALUE"""),"獎狀")</f>
        <v>獎狀</v>
      </c>
      <c r="H1181" s="8"/>
    </row>
    <row r="1182">
      <c r="A1182" s="18"/>
      <c r="B1182" s="14">
        <f>IFERROR(__xludf.DUMMYFUNCTION("""COMPUTED_VALUE"""),322348.0)</f>
        <v>322348</v>
      </c>
      <c r="C1182" s="14" t="str">
        <f>IFERROR(__xludf.DUMMYFUNCTION("""COMPUTED_VALUE"""),"彭晨翔")</f>
        <v>彭晨翔</v>
      </c>
      <c r="D1182" s="16" t="str">
        <f>IFERROR(__xludf.DUMMYFUNCTION("""COMPUTED_VALUE"""),"rde*****02@mail.edu.tw")</f>
        <v>rde*****02@mail.edu.tw</v>
      </c>
      <c r="E1182" s="17" t="str">
        <f>IFERROR(__xludf.DUMMYFUNCTION("""COMPUTED_VALUE"""),"新竹縣竹東鎮員崠國民小學")</f>
        <v>新竹縣竹東鎮員崠國民小學</v>
      </c>
      <c r="F1182" s="14" t="str">
        <f>IFERROR(__xludf.DUMMYFUNCTION("""COMPUTED_VALUE"""),"六年級")</f>
        <v>六年級</v>
      </c>
      <c r="G1182" s="14" t="str">
        <f>IFERROR(__xludf.DUMMYFUNCTION("""COMPUTED_VALUE"""),"獎狀")</f>
        <v>獎狀</v>
      </c>
      <c r="H1182" s="8"/>
    </row>
    <row r="1183">
      <c r="A1183" s="18"/>
      <c r="B1183" s="14">
        <f>IFERROR(__xludf.DUMMYFUNCTION("""COMPUTED_VALUE"""),478963.0)</f>
        <v>478963</v>
      </c>
      <c r="C1183" s="14" t="str">
        <f>IFERROR(__xludf.DUMMYFUNCTION("""COMPUTED_VALUE"""),"賴妘馜")</f>
        <v>賴妘馜</v>
      </c>
      <c r="D1183" s="16" t="str">
        <f>IFERROR(__xludf.DUMMYFUNCTION("""COMPUTED_VALUE"""),"dte*****97@mail.edu.tw")</f>
        <v>dte*****97@mail.edu.tw</v>
      </c>
      <c r="E1183" s="17" t="str">
        <f>IFERROR(__xludf.DUMMYFUNCTION("""COMPUTED_VALUE"""),"新竹縣竹東鎮大同國民小學")</f>
        <v>新竹縣竹東鎮大同國民小學</v>
      </c>
      <c r="F1183" s="14" t="str">
        <f>IFERROR(__xludf.DUMMYFUNCTION("""COMPUTED_VALUE"""),"三年級")</f>
        <v>三年級</v>
      </c>
      <c r="G1183" s="14" t="str">
        <f>IFERROR(__xludf.DUMMYFUNCTION("""COMPUTED_VALUE"""),"獎狀")</f>
        <v>獎狀</v>
      </c>
      <c r="H1183" s="8"/>
    </row>
    <row r="1184">
      <c r="A1184" s="18"/>
      <c r="B1184" s="14">
        <f>IFERROR(__xludf.DUMMYFUNCTION("""COMPUTED_VALUE"""),1082983.0)</f>
        <v>1082983</v>
      </c>
      <c r="C1184" s="14" t="str">
        <f>IFERROR(__xludf.DUMMYFUNCTION("""COMPUTED_VALUE"""),"陳永瀚")</f>
        <v>陳永瀚</v>
      </c>
      <c r="D1184" s="16" t="str">
        <f>IFERROR(__xludf.DUMMYFUNCTION("""COMPUTED_VALUE"""),"tin*****e@gmail.com")</f>
        <v>tin*****e@gmail.com</v>
      </c>
      <c r="E1184" s="17" t="str">
        <f>IFERROR(__xludf.DUMMYFUNCTION("""COMPUTED_VALUE"""),"新竹縣竹東鎮大同國民小學")</f>
        <v>新竹縣竹東鎮大同國民小學</v>
      </c>
      <c r="F1184" s="14" t="str">
        <f>IFERROR(__xludf.DUMMYFUNCTION("""COMPUTED_VALUE"""),"五年級")</f>
        <v>五年級</v>
      </c>
      <c r="G1184" s="14" t="str">
        <f>IFERROR(__xludf.DUMMYFUNCTION("""COMPUTED_VALUE"""),"●小禮物")</f>
        <v>●小禮物</v>
      </c>
      <c r="H1184" s="8"/>
    </row>
    <row r="1185">
      <c r="A1185" s="18"/>
      <c r="B1185" s="14">
        <f>IFERROR(__xludf.DUMMYFUNCTION("""COMPUTED_VALUE"""),531576.0)</f>
        <v>531576</v>
      </c>
      <c r="C1185" s="14" t="str">
        <f>IFERROR(__xludf.DUMMYFUNCTION("""COMPUTED_VALUE"""),"黃楷嘉")</f>
        <v>黃楷嘉</v>
      </c>
      <c r="D1185" s="16" t="str">
        <f>IFERROR(__xludf.DUMMYFUNCTION("""COMPUTED_VALUE"""),"vic*****014@gmail.com")</f>
        <v>vic*****014@gmail.com</v>
      </c>
      <c r="E1185" s="17" t="str">
        <f>IFERROR(__xludf.DUMMYFUNCTION("""COMPUTED_VALUE"""),"新竹縣竹東鎮大同國民小學")</f>
        <v>新竹縣竹東鎮大同國民小學</v>
      </c>
      <c r="F1185" s="14" t="str">
        <f>IFERROR(__xludf.DUMMYFUNCTION("""COMPUTED_VALUE"""),"五年級")</f>
        <v>五年級</v>
      </c>
      <c r="G1185" s="14" t="str">
        <f>IFERROR(__xludf.DUMMYFUNCTION("""COMPUTED_VALUE"""),"獎狀")</f>
        <v>獎狀</v>
      </c>
      <c r="H1185" s="8"/>
    </row>
    <row r="1186">
      <c r="A1186" s="18"/>
      <c r="B1186" s="14">
        <f>IFERROR(__xludf.DUMMYFUNCTION("""COMPUTED_VALUE"""),519866.0)</f>
        <v>519866</v>
      </c>
      <c r="C1186" s="14" t="str">
        <f>IFERROR(__xludf.DUMMYFUNCTION("""COMPUTED_VALUE"""),"劉恩睿")</f>
        <v>劉恩睿</v>
      </c>
      <c r="D1186" s="16" t="str">
        <f>IFERROR(__xludf.DUMMYFUNCTION("""COMPUTED_VALUE"""),"gra*****615@gmail.com")</f>
        <v>gra*****615@gmail.com</v>
      </c>
      <c r="E1186" s="17" t="str">
        <f>IFERROR(__xludf.DUMMYFUNCTION("""COMPUTED_VALUE"""),"新竹縣竹東鎮中山國民小學")</f>
        <v>新竹縣竹東鎮中山國民小學</v>
      </c>
      <c r="F1186" s="14" t="str">
        <f>IFERROR(__xludf.DUMMYFUNCTION("""COMPUTED_VALUE"""),"四年級")</f>
        <v>四年級</v>
      </c>
      <c r="G1186" s="14" t="str">
        <f>IFERROR(__xludf.DUMMYFUNCTION("""COMPUTED_VALUE"""),"獎狀")</f>
        <v>獎狀</v>
      </c>
      <c r="H1186" s="8"/>
    </row>
    <row r="1187">
      <c r="A1187" s="18"/>
      <c r="B1187" s="14">
        <f>IFERROR(__xludf.DUMMYFUNCTION("""COMPUTED_VALUE"""),1195472.0)</f>
        <v>1195472</v>
      </c>
      <c r="C1187" s="14" t="str">
        <f>IFERROR(__xludf.DUMMYFUNCTION("""COMPUTED_VALUE"""),"韓岩希")</f>
        <v>韓岩希</v>
      </c>
      <c r="D1187" s="16" t="str">
        <f>IFERROR(__xludf.DUMMYFUNCTION("""COMPUTED_VALUE"""),"106*****ses.hcc.edu.tw")</f>
        <v>106*****ses.hcc.edu.tw</v>
      </c>
      <c r="E1187" s="17" t="str">
        <f>IFERROR(__xludf.DUMMYFUNCTION("""COMPUTED_VALUE"""),"新竹縣竹東鎮中山國民小學")</f>
        <v>新竹縣竹東鎮中山國民小學</v>
      </c>
      <c r="F1187" s="14" t="str">
        <f>IFERROR(__xludf.DUMMYFUNCTION("""COMPUTED_VALUE"""),"六年級")</f>
        <v>六年級</v>
      </c>
      <c r="G1187" s="14" t="str">
        <f>IFERROR(__xludf.DUMMYFUNCTION("""COMPUTED_VALUE"""),"獎狀")</f>
        <v>獎狀</v>
      </c>
      <c r="H1187" s="8"/>
    </row>
    <row r="1188">
      <c r="A1188" s="18"/>
      <c r="B1188" s="14">
        <f>IFERROR(__xludf.DUMMYFUNCTION("""COMPUTED_VALUE"""),1195474.0)</f>
        <v>1195474</v>
      </c>
      <c r="C1188" s="14" t="str">
        <f>IFERROR(__xludf.DUMMYFUNCTION("""COMPUTED_VALUE"""),"陳奕澒")</f>
        <v>陳奕澒</v>
      </c>
      <c r="D1188" s="16" t="str">
        <f>IFERROR(__xludf.DUMMYFUNCTION("""COMPUTED_VALUE"""),"106*****ses.hcc.edu.tw")</f>
        <v>106*****ses.hcc.edu.tw</v>
      </c>
      <c r="E1188" s="17" t="str">
        <f>IFERROR(__xludf.DUMMYFUNCTION("""COMPUTED_VALUE"""),"新竹縣竹東鎮中山國民小學")</f>
        <v>新竹縣竹東鎮中山國民小學</v>
      </c>
      <c r="F1188" s="14" t="str">
        <f>IFERROR(__xludf.DUMMYFUNCTION("""COMPUTED_VALUE"""),"六年級")</f>
        <v>六年級</v>
      </c>
      <c r="G1188" s="14" t="str">
        <f>IFERROR(__xludf.DUMMYFUNCTION("""COMPUTED_VALUE"""),"●小禮物")</f>
        <v>●小禮物</v>
      </c>
      <c r="H1188" s="8"/>
    </row>
    <row r="1189">
      <c r="A1189" s="18"/>
      <c r="B1189" s="14">
        <f>IFERROR(__xludf.DUMMYFUNCTION("""COMPUTED_VALUE"""),1162687.0)</f>
        <v>1162687</v>
      </c>
      <c r="C1189" s="14" t="str">
        <f>IFERROR(__xludf.DUMMYFUNCTION("""COMPUTED_VALUE"""),"鍾亘菱")</f>
        <v>鍾亘菱</v>
      </c>
      <c r="D1189" s="16" t="str">
        <f>IFERROR(__xludf.DUMMYFUNCTION("""COMPUTED_VALUE"""),"106*****ses.hcc.edu.tw")</f>
        <v>106*****ses.hcc.edu.tw</v>
      </c>
      <c r="E1189" s="17" t="str">
        <f>IFERROR(__xludf.DUMMYFUNCTION("""COMPUTED_VALUE"""),"新竹縣竹東鎮中山國民小學")</f>
        <v>新竹縣竹東鎮中山國民小學</v>
      </c>
      <c r="F1189" s="14" t="str">
        <f>IFERROR(__xludf.DUMMYFUNCTION("""COMPUTED_VALUE"""),"六年級")</f>
        <v>六年級</v>
      </c>
      <c r="G1189" s="14" t="str">
        <f>IFERROR(__xludf.DUMMYFUNCTION("""COMPUTED_VALUE"""),"●小禮物")</f>
        <v>●小禮物</v>
      </c>
      <c r="H1189" s="8"/>
    </row>
    <row r="1190">
      <c r="A1190" s="18"/>
      <c r="B1190" s="14">
        <f>IFERROR(__xludf.DUMMYFUNCTION("""COMPUTED_VALUE"""),1162583.0)</f>
        <v>1162583</v>
      </c>
      <c r="C1190" s="14" t="str">
        <f>IFERROR(__xludf.DUMMYFUNCTION("""COMPUTED_VALUE"""),"李齊恩")</f>
        <v>李齊恩</v>
      </c>
      <c r="D1190" s="16" t="str">
        <f>IFERROR(__xludf.DUMMYFUNCTION("""COMPUTED_VALUE"""),"106*****ses.hcc.edu.tw")</f>
        <v>106*****ses.hcc.edu.tw</v>
      </c>
      <c r="E1190" s="17" t="str">
        <f>IFERROR(__xludf.DUMMYFUNCTION("""COMPUTED_VALUE"""),"新竹縣竹東鎮中山國民小學")</f>
        <v>新竹縣竹東鎮中山國民小學</v>
      </c>
      <c r="F1190" s="14" t="str">
        <f>IFERROR(__xludf.DUMMYFUNCTION("""COMPUTED_VALUE"""),"六年級")</f>
        <v>六年級</v>
      </c>
      <c r="G1190" s="14" t="str">
        <f>IFERROR(__xludf.DUMMYFUNCTION("""COMPUTED_VALUE"""),"●小禮物")</f>
        <v>●小禮物</v>
      </c>
      <c r="H1190" s="8"/>
    </row>
    <row r="1191">
      <c r="A1191" s="18"/>
      <c r="B1191" s="14">
        <f>IFERROR(__xludf.DUMMYFUNCTION("""COMPUTED_VALUE"""),1197378.0)</f>
        <v>1197378</v>
      </c>
      <c r="C1191" s="14" t="str">
        <f>IFERROR(__xludf.DUMMYFUNCTION("""COMPUTED_VALUE"""),"張弘毅")</f>
        <v>張弘毅</v>
      </c>
      <c r="D1191" s="16" t="str">
        <f>IFERROR(__xludf.DUMMYFUNCTION("""COMPUTED_VALUE"""),"106*****ses.hcc.edu.tw")</f>
        <v>106*****ses.hcc.edu.tw</v>
      </c>
      <c r="E1191" s="17" t="str">
        <f>IFERROR(__xludf.DUMMYFUNCTION("""COMPUTED_VALUE"""),"新竹縣竹東鎮中山國民小學")</f>
        <v>新竹縣竹東鎮中山國民小學</v>
      </c>
      <c r="F1191" s="14" t="str">
        <f>IFERROR(__xludf.DUMMYFUNCTION("""COMPUTED_VALUE"""),"六年級")</f>
        <v>六年級</v>
      </c>
      <c r="G1191" s="14" t="str">
        <f>IFERROR(__xludf.DUMMYFUNCTION("""COMPUTED_VALUE"""),"●小禮物")</f>
        <v>●小禮物</v>
      </c>
      <c r="H1191" s="8"/>
    </row>
    <row r="1192">
      <c r="A1192" s="18"/>
      <c r="B1192" s="14">
        <f>IFERROR(__xludf.DUMMYFUNCTION("""COMPUTED_VALUE"""),1205516.0)</f>
        <v>1205516</v>
      </c>
      <c r="C1192" s="14" t="str">
        <f>IFERROR(__xludf.DUMMYFUNCTION("""COMPUTED_VALUE"""),"莊于霆")</f>
        <v>莊于霆</v>
      </c>
      <c r="D1192" s="16" t="str">
        <f>IFERROR(__xludf.DUMMYFUNCTION("""COMPUTED_VALUE"""),"106*****ses.hcc.edu.tw")</f>
        <v>106*****ses.hcc.edu.tw</v>
      </c>
      <c r="E1192" s="17" t="str">
        <f>IFERROR(__xludf.DUMMYFUNCTION("""COMPUTED_VALUE"""),"新竹縣竹東鎮中山國民小學")</f>
        <v>新竹縣竹東鎮中山國民小學</v>
      </c>
      <c r="F1192" s="14" t="str">
        <f>IFERROR(__xludf.DUMMYFUNCTION("""COMPUTED_VALUE"""),"六年級")</f>
        <v>六年級</v>
      </c>
      <c r="G1192" s="14" t="str">
        <f>IFERROR(__xludf.DUMMYFUNCTION("""COMPUTED_VALUE"""),"●小禮物")</f>
        <v>●小禮物</v>
      </c>
      <c r="H1192" s="8"/>
    </row>
    <row r="1193">
      <c r="A1193" s="18"/>
      <c r="B1193" s="14">
        <f>IFERROR(__xludf.DUMMYFUNCTION("""COMPUTED_VALUE"""),1195470.0)</f>
        <v>1195470</v>
      </c>
      <c r="C1193" s="14" t="str">
        <f>IFERROR(__xludf.DUMMYFUNCTION("""COMPUTED_VALUE"""),"巫侑哲")</f>
        <v>巫侑哲</v>
      </c>
      <c r="D1193" s="16" t="str">
        <f>IFERROR(__xludf.DUMMYFUNCTION("""COMPUTED_VALUE"""),"106*****ses.hcc.edu.tw")</f>
        <v>106*****ses.hcc.edu.tw</v>
      </c>
      <c r="E1193" s="17" t="str">
        <f>IFERROR(__xludf.DUMMYFUNCTION("""COMPUTED_VALUE"""),"新竹縣竹東鎮中山國民小學")</f>
        <v>新竹縣竹東鎮中山國民小學</v>
      </c>
      <c r="F1193" s="14" t="str">
        <f>IFERROR(__xludf.DUMMYFUNCTION("""COMPUTED_VALUE"""),"六年級")</f>
        <v>六年級</v>
      </c>
      <c r="G1193" s="14" t="str">
        <f>IFERROR(__xludf.DUMMYFUNCTION("""COMPUTED_VALUE"""),"獎狀")</f>
        <v>獎狀</v>
      </c>
      <c r="H1193" s="8"/>
    </row>
    <row r="1194">
      <c r="A1194" s="18"/>
      <c r="B1194" s="14">
        <f>IFERROR(__xludf.DUMMYFUNCTION("""COMPUTED_VALUE"""),1195469.0)</f>
        <v>1195469</v>
      </c>
      <c r="C1194" s="14" t="str">
        <f>IFERROR(__xludf.DUMMYFUNCTION("""COMPUTED_VALUE"""),"陳淮宣")</f>
        <v>陳淮宣</v>
      </c>
      <c r="D1194" s="16" t="str">
        <f>IFERROR(__xludf.DUMMYFUNCTION("""COMPUTED_VALUE"""),"106*****ses.hcc.edu.tw")</f>
        <v>106*****ses.hcc.edu.tw</v>
      </c>
      <c r="E1194" s="17" t="str">
        <f>IFERROR(__xludf.DUMMYFUNCTION("""COMPUTED_VALUE"""),"新竹縣竹東鎮中山國民小學")</f>
        <v>新竹縣竹東鎮中山國民小學</v>
      </c>
      <c r="F1194" s="14" t="str">
        <f>IFERROR(__xludf.DUMMYFUNCTION("""COMPUTED_VALUE"""),"六年級")</f>
        <v>六年級</v>
      </c>
      <c r="G1194" s="14" t="str">
        <f>IFERROR(__xludf.DUMMYFUNCTION("""COMPUTED_VALUE"""),"獎狀")</f>
        <v>獎狀</v>
      </c>
      <c r="H1194" s="8"/>
    </row>
    <row r="1195">
      <c r="A1195" s="18"/>
      <c r="B1195" s="14">
        <f>IFERROR(__xludf.DUMMYFUNCTION("""COMPUTED_VALUE"""),1195471.0)</f>
        <v>1195471</v>
      </c>
      <c r="C1195" s="14" t="str">
        <f>IFERROR(__xludf.DUMMYFUNCTION("""COMPUTED_VALUE"""),"鍾宇程")</f>
        <v>鍾宇程</v>
      </c>
      <c r="D1195" s="16" t="str">
        <f>IFERROR(__xludf.DUMMYFUNCTION("""COMPUTED_VALUE"""),"106*****ses.hcc.edu.tw")</f>
        <v>106*****ses.hcc.edu.tw</v>
      </c>
      <c r="E1195" s="17" t="str">
        <f>IFERROR(__xludf.DUMMYFUNCTION("""COMPUTED_VALUE"""),"新竹縣竹東鎮中山國民小學")</f>
        <v>新竹縣竹東鎮中山國民小學</v>
      </c>
      <c r="F1195" s="14" t="str">
        <f>IFERROR(__xludf.DUMMYFUNCTION("""COMPUTED_VALUE"""),"六年級")</f>
        <v>六年級</v>
      </c>
      <c r="G1195" s="14" t="str">
        <f>IFERROR(__xludf.DUMMYFUNCTION("""COMPUTED_VALUE"""),"獎狀")</f>
        <v>獎狀</v>
      </c>
      <c r="H1195" s="8"/>
    </row>
    <row r="1196">
      <c r="A1196" s="18"/>
      <c r="B1196" s="14">
        <f>IFERROR(__xludf.DUMMYFUNCTION("""COMPUTED_VALUE"""),1154865.0)</f>
        <v>1154865</v>
      </c>
      <c r="C1196" s="14" t="str">
        <f>IFERROR(__xludf.DUMMYFUNCTION("""COMPUTED_VALUE"""),"官芸如")</f>
        <v>官芸如</v>
      </c>
      <c r="D1196" s="16" t="str">
        <f>IFERROR(__xludf.DUMMYFUNCTION("""COMPUTED_VALUE"""),"106*****ses.hcc.edu.tw")</f>
        <v>106*****ses.hcc.edu.tw</v>
      </c>
      <c r="E1196" s="17" t="str">
        <f>IFERROR(__xludf.DUMMYFUNCTION("""COMPUTED_VALUE"""),"新竹縣竹東鎮中山國民小學")</f>
        <v>新竹縣竹東鎮中山國民小學</v>
      </c>
      <c r="F1196" s="14" t="str">
        <f>IFERROR(__xludf.DUMMYFUNCTION("""COMPUTED_VALUE"""),"六年級")</f>
        <v>六年級</v>
      </c>
      <c r="G1196" s="14" t="str">
        <f>IFERROR(__xludf.DUMMYFUNCTION("""COMPUTED_VALUE"""),"●小禮物")</f>
        <v>●小禮物</v>
      </c>
      <c r="H1196" s="8"/>
    </row>
    <row r="1197">
      <c r="A1197" s="18"/>
      <c r="B1197" s="14">
        <f>IFERROR(__xludf.DUMMYFUNCTION("""COMPUTED_VALUE"""),945887.0)</f>
        <v>945887</v>
      </c>
      <c r="C1197" s="14" t="str">
        <f>IFERROR(__xludf.DUMMYFUNCTION("""COMPUTED_VALUE"""),"黃翔樂")</f>
        <v>黃翔樂</v>
      </c>
      <c r="D1197" s="16" t="str">
        <f>IFERROR(__xludf.DUMMYFUNCTION("""COMPUTED_VALUE"""),"dpe*****22@gapp.hcc.edu.tw")</f>
        <v>dpe*****22@gapp.hcc.edu.tw</v>
      </c>
      <c r="E1197" s="17" t="str">
        <f>IFERROR(__xludf.DUMMYFUNCTION("""COMPUTED_VALUE"""),"新竹縣北埔鄉大坪國民小學")</f>
        <v>新竹縣北埔鄉大坪國民小學</v>
      </c>
      <c r="F1197" s="14" t="str">
        <f>IFERROR(__xludf.DUMMYFUNCTION("""COMPUTED_VALUE"""),"六年級")</f>
        <v>六年級</v>
      </c>
      <c r="G1197" s="14" t="str">
        <f>IFERROR(__xludf.DUMMYFUNCTION("""COMPUTED_VALUE"""),"★禮券$200")</f>
        <v>★禮券$200</v>
      </c>
      <c r="H1197" s="8"/>
    </row>
    <row r="1198">
      <c r="A1198" s="18"/>
      <c r="B1198" s="14">
        <f>IFERROR(__xludf.DUMMYFUNCTION("""COMPUTED_VALUE"""),273776.0)</f>
        <v>273776</v>
      </c>
      <c r="C1198" s="14" t="str">
        <f>IFERROR(__xludf.DUMMYFUNCTION("""COMPUTED_VALUE"""),"黃冠瑜")</f>
        <v>黃冠瑜</v>
      </c>
      <c r="D1198" s="16" t="str">
        <f>IFERROR(__xludf.DUMMYFUNCTION("""COMPUTED_VALUE"""),"dpe*****09@mail.edu.tw")</f>
        <v>dpe*****09@mail.edu.tw</v>
      </c>
      <c r="E1198" s="17" t="str">
        <f>IFERROR(__xludf.DUMMYFUNCTION("""COMPUTED_VALUE"""),"新竹縣北埔鄉大坪國民小學")</f>
        <v>新竹縣北埔鄉大坪國民小學</v>
      </c>
      <c r="F1198" s="14" t="str">
        <f>IFERROR(__xludf.DUMMYFUNCTION("""COMPUTED_VALUE"""),"六年級")</f>
        <v>六年級</v>
      </c>
      <c r="G1198" s="14" t="str">
        <f>IFERROR(__xludf.DUMMYFUNCTION("""COMPUTED_VALUE"""),"獎狀")</f>
        <v>獎狀</v>
      </c>
      <c r="H1198" s="8"/>
    </row>
    <row r="1199">
      <c r="A1199" s="18"/>
      <c r="B1199" s="14">
        <f>IFERROR(__xludf.DUMMYFUNCTION("""COMPUTED_VALUE"""),945886.0)</f>
        <v>945886</v>
      </c>
      <c r="C1199" s="14" t="str">
        <f>IFERROR(__xludf.DUMMYFUNCTION("""COMPUTED_VALUE"""),"葉喬軒")</f>
        <v>葉喬軒</v>
      </c>
      <c r="D1199" s="16" t="str">
        <f>IFERROR(__xludf.DUMMYFUNCTION("""COMPUTED_VALUE"""),"dpe*****16@gapp.hcc.edu.tw")</f>
        <v>dpe*****16@gapp.hcc.edu.tw</v>
      </c>
      <c r="E1199" s="17" t="str">
        <f>IFERROR(__xludf.DUMMYFUNCTION("""COMPUTED_VALUE"""),"新竹縣北埔鄉大坪國民小學")</f>
        <v>新竹縣北埔鄉大坪國民小學</v>
      </c>
      <c r="F1199" s="14" t="str">
        <f>IFERROR(__xludf.DUMMYFUNCTION("""COMPUTED_VALUE"""),"六年級")</f>
        <v>六年級</v>
      </c>
      <c r="G1199" s="14" t="str">
        <f>IFERROR(__xludf.DUMMYFUNCTION("""COMPUTED_VALUE"""),"●小禮物")</f>
        <v>●小禮物</v>
      </c>
      <c r="H1199" s="8"/>
    </row>
    <row r="1200">
      <c r="A1200" s="18"/>
      <c r="B1200" s="14">
        <f>IFERROR(__xludf.DUMMYFUNCTION("""COMPUTED_VALUE"""),431133.0)</f>
        <v>431133</v>
      </c>
      <c r="C1200" s="14" t="str">
        <f>IFERROR(__xludf.DUMMYFUNCTION("""COMPUTED_VALUE"""),"葉思言")</f>
        <v>葉思言</v>
      </c>
      <c r="D1200" s="16" t="str">
        <f>IFERROR(__xludf.DUMMYFUNCTION("""COMPUTED_VALUE"""),"dpe*****17@gapp.hcc.edu.tw")</f>
        <v>dpe*****17@gapp.hcc.edu.tw</v>
      </c>
      <c r="E1200" s="17" t="str">
        <f>IFERROR(__xludf.DUMMYFUNCTION("""COMPUTED_VALUE"""),"新竹縣北埔鄉大坪國民小學")</f>
        <v>新竹縣北埔鄉大坪國民小學</v>
      </c>
      <c r="F1200" s="14" t="str">
        <f>IFERROR(__xludf.DUMMYFUNCTION("""COMPUTED_VALUE"""),"六年級")</f>
        <v>六年級</v>
      </c>
      <c r="G1200" s="14" t="str">
        <f>IFERROR(__xludf.DUMMYFUNCTION("""COMPUTED_VALUE"""),"獎狀")</f>
        <v>獎狀</v>
      </c>
      <c r="H1200" s="8"/>
    </row>
    <row r="1201">
      <c r="A1201" s="18"/>
      <c r="B1201" s="14">
        <f>IFERROR(__xludf.DUMMYFUNCTION("""COMPUTED_VALUE"""),273775.0)</f>
        <v>273775</v>
      </c>
      <c r="C1201" s="14" t="str">
        <f>IFERROR(__xludf.DUMMYFUNCTION("""COMPUTED_VALUE"""),"洪詠政")</f>
        <v>洪詠政</v>
      </c>
      <c r="D1201" s="16" t="str">
        <f>IFERROR(__xludf.DUMMYFUNCTION("""COMPUTED_VALUE"""),"dpe*****07@mail.edu.tw")</f>
        <v>dpe*****07@mail.edu.tw</v>
      </c>
      <c r="E1201" s="17" t="str">
        <f>IFERROR(__xludf.DUMMYFUNCTION("""COMPUTED_VALUE"""),"新竹縣北埔鄉大坪國民小學")</f>
        <v>新竹縣北埔鄉大坪國民小學</v>
      </c>
      <c r="F1201" s="14" t="str">
        <f>IFERROR(__xludf.DUMMYFUNCTION("""COMPUTED_VALUE"""),"六年級")</f>
        <v>六年級</v>
      </c>
      <c r="G1201" s="14" t="str">
        <f>IFERROR(__xludf.DUMMYFUNCTION("""COMPUTED_VALUE"""),"●小禮物")</f>
        <v>●小禮物</v>
      </c>
      <c r="H1201" s="8"/>
    </row>
    <row r="1202">
      <c r="A1202" s="18"/>
      <c r="B1202" s="14">
        <f>IFERROR(__xludf.DUMMYFUNCTION("""COMPUTED_VALUE"""),587303.0)</f>
        <v>587303</v>
      </c>
      <c r="C1202" s="14" t="str">
        <f>IFERROR(__xludf.DUMMYFUNCTION("""COMPUTED_VALUE"""),"黃泓愷")</f>
        <v>黃泓愷</v>
      </c>
      <c r="D1202" s="16" t="str">
        <f>IFERROR(__xludf.DUMMYFUNCTION("""COMPUTED_VALUE"""),"bpe*****39@mail.edu.tw")</f>
        <v>bpe*****39@mail.edu.tw</v>
      </c>
      <c r="E1202" s="17" t="str">
        <f>IFERROR(__xludf.DUMMYFUNCTION("""COMPUTED_VALUE"""),"新竹縣北埔鄉北埔國民小學")</f>
        <v>新竹縣北埔鄉北埔國民小學</v>
      </c>
      <c r="F1202" s="14" t="str">
        <f>IFERROR(__xludf.DUMMYFUNCTION("""COMPUTED_VALUE"""),"五年級")</f>
        <v>五年級</v>
      </c>
      <c r="G1202" s="14" t="str">
        <f>IFERROR(__xludf.DUMMYFUNCTION("""COMPUTED_VALUE"""),"獎狀")</f>
        <v>獎狀</v>
      </c>
      <c r="H1202" s="8"/>
    </row>
    <row r="1203">
      <c r="A1203" s="18"/>
      <c r="B1203" s="14">
        <f>IFERROR(__xludf.DUMMYFUNCTION("""COMPUTED_VALUE"""),1073065.0)</f>
        <v>1073065</v>
      </c>
      <c r="C1203" s="14" t="str">
        <f>IFERROR(__xludf.DUMMYFUNCTION("""COMPUTED_VALUE"""),"周沐心")</f>
        <v>周沐心</v>
      </c>
      <c r="D1203" s="16" t="str">
        <f>IFERROR(__xludf.DUMMYFUNCTION("""COMPUTED_VALUE"""),"eri*****9@gmail.com")</f>
        <v>eri*****9@gmail.com</v>
      </c>
      <c r="E1203" s="17" t="str">
        <f>IFERROR(__xludf.DUMMYFUNCTION("""COMPUTED_VALUE"""),"桃園市中壢區山東國民小學")</f>
        <v>桃園市中壢區山東國民小學</v>
      </c>
      <c r="F1203" s="14" t="str">
        <f>IFERROR(__xludf.DUMMYFUNCTION("""COMPUTED_VALUE"""),"五年級")</f>
        <v>五年級</v>
      </c>
      <c r="G1203" s="14" t="str">
        <f>IFERROR(__xludf.DUMMYFUNCTION("""COMPUTED_VALUE"""),"★禮券$200")</f>
        <v>★禮券$200</v>
      </c>
      <c r="H1203" s="8"/>
    </row>
    <row r="1204">
      <c r="A1204" s="18"/>
      <c r="B1204" s="14">
        <f>IFERROR(__xludf.DUMMYFUNCTION("""COMPUTED_VALUE"""),1071174.0)</f>
        <v>1071174</v>
      </c>
      <c r="C1204" s="14" t="str">
        <f>IFERROR(__xludf.DUMMYFUNCTION("""COMPUTED_VALUE"""),"李依璇")</f>
        <v>李依璇</v>
      </c>
      <c r="D1204" s="16" t="str">
        <f>IFERROR(__xludf.DUMMYFUNCTION("""COMPUTED_VALUE"""),"ire*****tw103@gmail.com")</f>
        <v>ire*****tw103@gmail.com</v>
      </c>
      <c r="E1204" s="17" t="str">
        <f>IFERROR(__xludf.DUMMYFUNCTION("""COMPUTED_VALUE"""),"桃園市中壢區中壢國民小學")</f>
        <v>桃園市中壢區中壢國民小學</v>
      </c>
      <c r="F1204" s="14" t="str">
        <f>IFERROR(__xludf.DUMMYFUNCTION("""COMPUTED_VALUE"""),"三年級")</f>
        <v>三年級</v>
      </c>
      <c r="G1204" s="14" t="str">
        <f>IFERROR(__xludf.DUMMYFUNCTION("""COMPUTED_VALUE"""),"●小禮物")</f>
        <v>●小禮物</v>
      </c>
      <c r="H1204" s="8"/>
    </row>
    <row r="1205">
      <c r="A1205" s="18"/>
      <c r="B1205" s="14">
        <f>IFERROR(__xludf.DUMMYFUNCTION("""COMPUTED_VALUE"""),178729.0)</f>
        <v>178729</v>
      </c>
      <c r="C1205" s="14" t="str">
        <f>IFERROR(__xludf.DUMMYFUNCTION("""COMPUTED_VALUE"""),"廖怡均")</f>
        <v>廖怡均</v>
      </c>
      <c r="D1205" s="16" t="str">
        <f>IFERROR(__xludf.DUMMYFUNCTION("""COMPUTED_VALUE"""),"joa*****29@mail.edu.tw")</f>
        <v>joa*****29@mail.edu.tw</v>
      </c>
      <c r="E1205" s="17" t="str">
        <f>IFERROR(__xludf.DUMMYFUNCTION("""COMPUTED_VALUE"""),"桃園市中壢區中壢國民小學")</f>
        <v>桃園市中壢區中壢國民小學</v>
      </c>
      <c r="F1205" s="14" t="str">
        <f>IFERROR(__xludf.DUMMYFUNCTION("""COMPUTED_VALUE"""),"六年級")</f>
        <v>六年級</v>
      </c>
      <c r="G1205" s="14" t="str">
        <f>IFERROR(__xludf.DUMMYFUNCTION("""COMPUTED_VALUE"""),"●小禮物")</f>
        <v>●小禮物</v>
      </c>
      <c r="H1205" s="8"/>
    </row>
    <row r="1206">
      <c r="A1206" s="18"/>
      <c r="B1206" s="14">
        <f>IFERROR(__xludf.DUMMYFUNCTION("""COMPUTED_VALUE"""),877984.0)</f>
        <v>877984</v>
      </c>
      <c r="C1206" s="14" t="str">
        <f>IFERROR(__xludf.DUMMYFUNCTION("""COMPUTED_VALUE"""),"吳佳穎")</f>
        <v>吳佳穎</v>
      </c>
      <c r="D1206" s="16" t="str">
        <f>IFERROR(__xludf.DUMMYFUNCTION("""COMPUTED_VALUE"""),"pon*****u@gmail.com")</f>
        <v>pon*****u@gmail.com</v>
      </c>
      <c r="E1206" s="17" t="str">
        <f>IFERROR(__xludf.DUMMYFUNCTION("""COMPUTED_VALUE"""),"桃園市私立有得雙語中小學國小部")</f>
        <v>桃園市私立有得雙語中小學國小部</v>
      </c>
      <c r="F1206" s="14" t="str">
        <f>IFERROR(__xludf.DUMMYFUNCTION("""COMPUTED_VALUE"""),"六年級")</f>
        <v>六年級</v>
      </c>
      <c r="G1206" s="14" t="str">
        <f>IFERROR(__xludf.DUMMYFUNCTION("""COMPUTED_VALUE"""),"●小禮物")</f>
        <v>●小禮物</v>
      </c>
      <c r="H1206" s="8"/>
    </row>
    <row r="1207">
      <c r="A1207" s="18"/>
      <c r="B1207" s="14">
        <f>IFERROR(__xludf.DUMMYFUNCTION("""COMPUTED_VALUE"""),453956.0)</f>
        <v>453956</v>
      </c>
      <c r="C1207" s="14" t="str">
        <f>IFERROR(__xludf.DUMMYFUNCTION("""COMPUTED_VALUE"""),"邱暐傑")</f>
        <v>邱暐傑</v>
      </c>
      <c r="D1207" s="16" t="str">
        <f>IFERROR(__xludf.DUMMYFUNCTION("""COMPUTED_VALUE"""),"jay*****22@yahoo.com")</f>
        <v>jay*****22@yahoo.com</v>
      </c>
      <c r="E1207" s="17" t="str">
        <f>IFERROR(__xludf.DUMMYFUNCTION("""COMPUTED_VALUE"""),"桃園市中壢區元生國民小學")</f>
        <v>桃園市中壢區元生國民小學</v>
      </c>
      <c r="F1207" s="14" t="str">
        <f>IFERROR(__xludf.DUMMYFUNCTION("""COMPUTED_VALUE"""),"五年級")</f>
        <v>五年級</v>
      </c>
      <c r="G1207" s="14" t="str">
        <f>IFERROR(__xludf.DUMMYFUNCTION("""COMPUTED_VALUE"""),"●小禮物")</f>
        <v>●小禮物</v>
      </c>
      <c r="H1207" s="8"/>
    </row>
    <row r="1208">
      <c r="A1208" s="18"/>
      <c r="B1208" s="14">
        <f>IFERROR(__xludf.DUMMYFUNCTION("""COMPUTED_VALUE"""),647201.0)</f>
        <v>647201</v>
      </c>
      <c r="C1208" s="14" t="str">
        <f>IFERROR(__xludf.DUMMYFUNCTION("""COMPUTED_VALUE"""),"陳昀萱")</f>
        <v>陳昀萱</v>
      </c>
      <c r="D1208" s="16" t="str">
        <f>IFERROR(__xludf.DUMMYFUNCTION("""COMPUTED_VALUE"""),"106*****st.lses.tyc.edu.tw")</f>
        <v>106*****st.lses.tyc.edu.tw</v>
      </c>
      <c r="E1208" s="17" t="str">
        <f>IFERROR(__xludf.DUMMYFUNCTION("""COMPUTED_VALUE"""),"桃園市中壢區林森國民小學")</f>
        <v>桃園市中壢區林森國民小學</v>
      </c>
      <c r="F1208" s="14" t="str">
        <f>IFERROR(__xludf.DUMMYFUNCTION("""COMPUTED_VALUE"""),"六年級")</f>
        <v>六年級</v>
      </c>
      <c r="G1208" s="14" t="str">
        <f>IFERROR(__xludf.DUMMYFUNCTION("""COMPUTED_VALUE"""),"●小禮物")</f>
        <v>●小禮物</v>
      </c>
      <c r="H1208" s="8"/>
    </row>
    <row r="1209">
      <c r="A1209" s="18"/>
      <c r="B1209" s="14">
        <f>IFERROR(__xludf.DUMMYFUNCTION("""COMPUTED_VALUE"""),829091.0)</f>
        <v>829091</v>
      </c>
      <c r="C1209" s="14" t="str">
        <f>IFERROR(__xludf.DUMMYFUNCTION("""COMPUTED_VALUE"""),"郭紜瑄")</f>
        <v>郭紜瑄</v>
      </c>
      <c r="D1209" s="16" t="str">
        <f>IFERROR(__xludf.DUMMYFUNCTION("""COMPUTED_VALUE"""),"106*****st.lses.tyc.edu.tw")</f>
        <v>106*****st.lses.tyc.edu.tw</v>
      </c>
      <c r="E1209" s="17" t="str">
        <f>IFERROR(__xludf.DUMMYFUNCTION("""COMPUTED_VALUE"""),"桃園市中壢區林森國民小學")</f>
        <v>桃園市中壢區林森國民小學</v>
      </c>
      <c r="F1209" s="14" t="str">
        <f>IFERROR(__xludf.DUMMYFUNCTION("""COMPUTED_VALUE"""),"六年級")</f>
        <v>六年級</v>
      </c>
      <c r="G1209" s="14" t="str">
        <f>IFERROR(__xludf.DUMMYFUNCTION("""COMPUTED_VALUE"""),"獎狀")</f>
        <v>獎狀</v>
      </c>
      <c r="H1209" s="8"/>
    </row>
    <row r="1210">
      <c r="A1210" s="18"/>
      <c r="B1210" s="14">
        <f>IFERROR(__xludf.DUMMYFUNCTION("""COMPUTED_VALUE"""),942090.0)</f>
        <v>942090</v>
      </c>
      <c r="C1210" s="14" t="str">
        <f>IFERROR(__xludf.DUMMYFUNCTION("""COMPUTED_VALUE"""),"劉君皓")</f>
        <v>劉君皓</v>
      </c>
      <c r="D1210" s="16" t="str">
        <f>IFERROR(__xludf.DUMMYFUNCTION("""COMPUTED_VALUE"""),"skd*****gmail.com")</f>
        <v>skd*****gmail.com</v>
      </c>
      <c r="E1210" s="17" t="str">
        <f>IFERROR(__xludf.DUMMYFUNCTION("""COMPUTED_VALUE"""),"桃園市中壢區信義國民小學")</f>
        <v>桃園市中壢區信義國民小學</v>
      </c>
      <c r="F1210" s="14" t="str">
        <f>IFERROR(__xludf.DUMMYFUNCTION("""COMPUTED_VALUE"""),"四年級")</f>
        <v>四年級</v>
      </c>
      <c r="G1210" s="14" t="str">
        <f>IFERROR(__xludf.DUMMYFUNCTION("""COMPUTED_VALUE"""),"獎狀")</f>
        <v>獎狀</v>
      </c>
      <c r="H1210" s="8"/>
    </row>
    <row r="1211">
      <c r="A1211" s="18"/>
      <c r="B1211" s="14">
        <f>IFERROR(__xludf.DUMMYFUNCTION("""COMPUTED_VALUE"""),831585.0)</f>
        <v>831585</v>
      </c>
      <c r="C1211" s="14" t="str">
        <f>IFERROR(__xludf.DUMMYFUNCTION("""COMPUTED_VALUE"""),"黃湘婷")</f>
        <v>黃湘婷</v>
      </c>
      <c r="D1211" s="16" t="str">
        <f>IFERROR(__xludf.DUMMYFUNCTION("""COMPUTED_VALUE"""),"san*****03@mail.edu.tw")</f>
        <v>san*****03@mail.edu.tw</v>
      </c>
      <c r="E1211" s="17" t="str">
        <f>IFERROR(__xludf.DUMMYFUNCTION("""COMPUTED_VALUE"""),"桃園市中壢區信義國民小學")</f>
        <v>桃園市中壢區信義國民小學</v>
      </c>
      <c r="F1211" s="14" t="str">
        <f>IFERROR(__xludf.DUMMYFUNCTION("""COMPUTED_VALUE"""),"五年級")</f>
        <v>五年級</v>
      </c>
      <c r="G1211" s="14" t="str">
        <f>IFERROR(__xludf.DUMMYFUNCTION("""COMPUTED_VALUE"""),"獎狀")</f>
        <v>獎狀</v>
      </c>
      <c r="H1211" s="8"/>
    </row>
    <row r="1212">
      <c r="A1212" s="18"/>
      <c r="B1212" s="14">
        <f>IFERROR(__xludf.DUMMYFUNCTION("""COMPUTED_VALUE"""),587069.0)</f>
        <v>587069</v>
      </c>
      <c r="C1212" s="14" t="str">
        <f>IFERROR(__xludf.DUMMYFUNCTION("""COMPUTED_VALUE"""),"張羽晴")</f>
        <v>張羽晴</v>
      </c>
      <c r="D1212" s="16" t="str">
        <f>IFERROR(__xludf.DUMMYFUNCTION("""COMPUTED_VALUE"""),"bal*****051@blps.tyc.edu.tw")</f>
        <v>bal*****051@blps.tyc.edu.tw</v>
      </c>
      <c r="E1212" s="17" t="str">
        <f>IFERROR(__xludf.DUMMYFUNCTION("""COMPUTED_VALUE"""),"桃園市中壢區芭里國民小學")</f>
        <v>桃園市中壢區芭里國民小學</v>
      </c>
      <c r="F1212" s="14" t="str">
        <f>IFERROR(__xludf.DUMMYFUNCTION("""COMPUTED_VALUE"""),"五年級")</f>
        <v>五年級</v>
      </c>
      <c r="G1212" s="14" t="str">
        <f>IFERROR(__xludf.DUMMYFUNCTION("""COMPUTED_VALUE"""),"●小禮物")</f>
        <v>●小禮物</v>
      </c>
      <c r="H1212" s="8"/>
    </row>
    <row r="1213">
      <c r="A1213" s="18"/>
      <c r="B1213" s="14">
        <f>IFERROR(__xludf.DUMMYFUNCTION("""COMPUTED_VALUE"""),591619.0)</f>
        <v>591619</v>
      </c>
      <c r="C1213" s="14" t="str">
        <f>IFERROR(__xludf.DUMMYFUNCTION("""COMPUTED_VALUE"""),"邱繼翰")</f>
        <v>邱繼翰</v>
      </c>
      <c r="D1213" s="16" t="str">
        <f>IFERROR(__xludf.DUMMYFUNCTION("""COMPUTED_VALUE"""),"bal*****024@blps.tyc.edu.tw")</f>
        <v>bal*****024@blps.tyc.edu.tw</v>
      </c>
      <c r="E1213" s="17" t="str">
        <f>IFERROR(__xludf.DUMMYFUNCTION("""COMPUTED_VALUE"""),"桃園市中壢區芭里國民小學")</f>
        <v>桃園市中壢區芭里國民小學</v>
      </c>
      <c r="F1213" s="14" t="str">
        <f>IFERROR(__xludf.DUMMYFUNCTION("""COMPUTED_VALUE"""),"五年級")</f>
        <v>五年級</v>
      </c>
      <c r="G1213" s="14" t="str">
        <f>IFERROR(__xludf.DUMMYFUNCTION("""COMPUTED_VALUE"""),"獎狀")</f>
        <v>獎狀</v>
      </c>
      <c r="H1213" s="8"/>
    </row>
    <row r="1214">
      <c r="A1214" s="18"/>
      <c r="B1214" s="14">
        <f>IFERROR(__xludf.DUMMYFUNCTION("""COMPUTED_VALUE"""),591606.0)</f>
        <v>591606</v>
      </c>
      <c r="C1214" s="14" t="str">
        <f>IFERROR(__xludf.DUMMYFUNCTION("""COMPUTED_VALUE"""),"楊曜瑜")</f>
        <v>楊曜瑜</v>
      </c>
      <c r="D1214" s="16" t="str">
        <f>IFERROR(__xludf.DUMMYFUNCTION("""COMPUTED_VALUE"""),"bal*****005@blps.tyc.edu.tw")</f>
        <v>bal*****005@blps.tyc.edu.tw</v>
      </c>
      <c r="E1214" s="17" t="str">
        <f>IFERROR(__xludf.DUMMYFUNCTION("""COMPUTED_VALUE"""),"桃園市中壢區芭里國民小學")</f>
        <v>桃園市中壢區芭里國民小學</v>
      </c>
      <c r="F1214" s="14" t="str">
        <f>IFERROR(__xludf.DUMMYFUNCTION("""COMPUTED_VALUE"""),"五年級")</f>
        <v>五年級</v>
      </c>
      <c r="G1214" s="14" t="str">
        <f>IFERROR(__xludf.DUMMYFUNCTION("""COMPUTED_VALUE"""),"獎狀")</f>
        <v>獎狀</v>
      </c>
      <c r="H1214" s="8"/>
    </row>
    <row r="1215">
      <c r="A1215" s="18"/>
      <c r="B1215" s="14">
        <f>IFERROR(__xludf.DUMMYFUNCTION("""COMPUTED_VALUE"""),589529.0)</f>
        <v>589529</v>
      </c>
      <c r="C1215" s="14" t="str">
        <f>IFERROR(__xludf.DUMMYFUNCTION("""COMPUTED_VALUE"""),"鄧喬尹")</f>
        <v>鄧喬尹</v>
      </c>
      <c r="D1215" s="16" t="str">
        <f>IFERROR(__xludf.DUMMYFUNCTION("""COMPUTED_VALUE"""),"bal*****047@blps.tyc.edu.tw")</f>
        <v>bal*****047@blps.tyc.edu.tw</v>
      </c>
      <c r="E1215" s="17" t="str">
        <f>IFERROR(__xludf.DUMMYFUNCTION("""COMPUTED_VALUE"""),"桃園市中壢區芭里國民小學")</f>
        <v>桃園市中壢區芭里國民小學</v>
      </c>
      <c r="F1215" s="14" t="str">
        <f>IFERROR(__xludf.DUMMYFUNCTION("""COMPUTED_VALUE"""),"五年級")</f>
        <v>五年級</v>
      </c>
      <c r="G1215" s="14" t="str">
        <f>IFERROR(__xludf.DUMMYFUNCTION("""COMPUTED_VALUE"""),"獎狀")</f>
        <v>獎狀</v>
      </c>
      <c r="H1215" s="8"/>
    </row>
    <row r="1216">
      <c r="A1216" s="18"/>
      <c r="B1216" s="14">
        <f>IFERROR(__xludf.DUMMYFUNCTION("""COMPUTED_VALUE"""),723699.0)</f>
        <v>723699</v>
      </c>
      <c r="C1216" s="14" t="str">
        <f>IFERROR(__xludf.DUMMYFUNCTION("""COMPUTED_VALUE"""),"李珍")</f>
        <v>李珍</v>
      </c>
      <c r="D1216" s="16" t="str">
        <f>IFERROR(__xludf.DUMMYFUNCTION("""COMPUTED_VALUE"""),"bal*****2@blps.tyc.edu.tw")</f>
        <v>bal*****2@blps.tyc.edu.tw</v>
      </c>
      <c r="E1216" s="17" t="str">
        <f>IFERROR(__xludf.DUMMYFUNCTION("""COMPUTED_VALUE"""),"桃園市中壢區芭里國民小學")</f>
        <v>桃園市中壢區芭里國民小學</v>
      </c>
      <c r="F1216" s="14" t="str">
        <f>IFERROR(__xludf.DUMMYFUNCTION("""COMPUTED_VALUE"""),"六年級")</f>
        <v>六年級</v>
      </c>
      <c r="G1216" s="14" t="str">
        <f>IFERROR(__xludf.DUMMYFUNCTION("""COMPUTED_VALUE"""),"獎狀")</f>
        <v>獎狀</v>
      </c>
      <c r="H1216" s="8"/>
    </row>
    <row r="1217">
      <c r="A1217" s="18"/>
      <c r="B1217" s="14">
        <f>IFERROR(__xludf.DUMMYFUNCTION("""COMPUTED_VALUE"""),723686.0)</f>
        <v>723686</v>
      </c>
      <c r="C1217" s="14" t="str">
        <f>IFERROR(__xludf.DUMMYFUNCTION("""COMPUTED_VALUE"""),"黃媖漩")</f>
        <v>黃媖漩</v>
      </c>
      <c r="D1217" s="16" t="str">
        <f>IFERROR(__xludf.DUMMYFUNCTION("""COMPUTED_VALUE"""),"bal*****049@blps.tyc.edu.tw")</f>
        <v>bal*****049@blps.tyc.edu.tw</v>
      </c>
      <c r="E1217" s="17" t="str">
        <f>IFERROR(__xludf.DUMMYFUNCTION("""COMPUTED_VALUE"""),"桃園市中壢區芭里國民小學")</f>
        <v>桃園市中壢區芭里國民小學</v>
      </c>
      <c r="F1217" s="14" t="str">
        <f>IFERROR(__xludf.DUMMYFUNCTION("""COMPUTED_VALUE"""),"六年級")</f>
        <v>六年級</v>
      </c>
      <c r="G1217" s="14" t="str">
        <f>IFERROR(__xludf.DUMMYFUNCTION("""COMPUTED_VALUE"""),"●小禮物")</f>
        <v>●小禮物</v>
      </c>
      <c r="H1217" s="8"/>
    </row>
    <row r="1218">
      <c r="A1218" s="18"/>
      <c r="B1218" s="14">
        <f>IFERROR(__xludf.DUMMYFUNCTION("""COMPUTED_VALUE"""),585396.0)</f>
        <v>585396</v>
      </c>
      <c r="C1218" s="14" t="str">
        <f>IFERROR(__xludf.DUMMYFUNCTION("""COMPUTED_VALUE"""),"于博侖")</f>
        <v>于博侖</v>
      </c>
      <c r="D1218" s="16" t="str">
        <f>IFERROR(__xludf.DUMMYFUNCTION("""COMPUTED_VALUE"""),"bal*****9@blps.tyc.edu.tw")</f>
        <v>bal*****9@blps.tyc.edu.tw</v>
      </c>
      <c r="E1218" s="17" t="str">
        <f>IFERROR(__xludf.DUMMYFUNCTION("""COMPUTED_VALUE"""),"桃園市中壢區芭里國民小學")</f>
        <v>桃園市中壢區芭里國民小學</v>
      </c>
      <c r="F1218" s="14" t="str">
        <f>IFERROR(__xludf.DUMMYFUNCTION("""COMPUTED_VALUE"""),"六年級")</f>
        <v>六年級</v>
      </c>
      <c r="G1218" s="14" t="str">
        <f>IFERROR(__xludf.DUMMYFUNCTION("""COMPUTED_VALUE"""),"●小禮物")</f>
        <v>●小禮物</v>
      </c>
      <c r="H1218" s="8"/>
    </row>
    <row r="1219">
      <c r="A1219" s="18"/>
      <c r="B1219" s="14">
        <f>IFERROR(__xludf.DUMMYFUNCTION("""COMPUTED_VALUE"""),538763.0)</f>
        <v>538763</v>
      </c>
      <c r="C1219" s="14" t="str">
        <f>IFERROR(__xludf.DUMMYFUNCTION("""COMPUTED_VALUE"""),"邱比特")</f>
        <v>邱比特</v>
      </c>
      <c r="D1219" s="16" t="str">
        <f>IFERROR(__xludf.DUMMYFUNCTION("""COMPUTED_VALUE"""),"bls*****1@blps.tyc.edu.tw")</f>
        <v>bls*****1@blps.tyc.edu.tw</v>
      </c>
      <c r="E1219" s="17" t="str">
        <f>IFERROR(__xludf.DUMMYFUNCTION("""COMPUTED_VALUE"""),"桃園市中壢區芭里國民小學")</f>
        <v>桃園市中壢區芭里國民小學</v>
      </c>
      <c r="F1219" s="14" t="str">
        <f>IFERROR(__xludf.DUMMYFUNCTION("""COMPUTED_VALUE"""),"六年級")</f>
        <v>六年級</v>
      </c>
      <c r="G1219" s="14" t="str">
        <f>IFERROR(__xludf.DUMMYFUNCTION("""COMPUTED_VALUE"""),"●小禮物")</f>
        <v>●小禮物</v>
      </c>
      <c r="H1219" s="8"/>
    </row>
    <row r="1220">
      <c r="A1220" s="18"/>
      <c r="B1220" s="14">
        <f>IFERROR(__xludf.DUMMYFUNCTION("""COMPUTED_VALUE"""),301055.0)</f>
        <v>301055</v>
      </c>
      <c r="C1220" s="14" t="str">
        <f>IFERROR(__xludf.DUMMYFUNCTION("""COMPUTED_VALUE"""),"楊蒔瑾")</f>
        <v>楊蒔瑾</v>
      </c>
      <c r="D1220" s="16" t="str">
        <f>IFERROR(__xludf.DUMMYFUNCTION("""COMPUTED_VALUE"""),"v07*****5@hotmail.com")</f>
        <v>v07*****5@hotmail.com</v>
      </c>
      <c r="E1220" s="17" t="str">
        <f>IFERROR(__xludf.DUMMYFUNCTION("""COMPUTED_VALUE"""),"桃園市中壢區芭里國民小學")</f>
        <v>桃園市中壢區芭里國民小學</v>
      </c>
      <c r="F1220" s="14" t="str">
        <f>IFERROR(__xludf.DUMMYFUNCTION("""COMPUTED_VALUE"""),"六年級")</f>
        <v>六年級</v>
      </c>
      <c r="G1220" s="14" t="str">
        <f>IFERROR(__xludf.DUMMYFUNCTION("""COMPUTED_VALUE"""),"獎狀")</f>
        <v>獎狀</v>
      </c>
      <c r="H1220" s="8"/>
    </row>
    <row r="1221">
      <c r="A1221" s="18"/>
      <c r="B1221" s="14">
        <f>IFERROR(__xludf.DUMMYFUNCTION("""COMPUTED_VALUE"""),720410.0)</f>
        <v>720410</v>
      </c>
      <c r="C1221" s="14" t="str">
        <f>IFERROR(__xludf.DUMMYFUNCTION("""COMPUTED_VALUE"""),"吳宇嵐")</f>
        <v>吳宇嵐</v>
      </c>
      <c r="D1221" s="16" t="str">
        <f>IFERROR(__xludf.DUMMYFUNCTION("""COMPUTED_VALUE"""),"bal*****012@blps.tyc.edu.tw")</f>
        <v>bal*****012@blps.tyc.edu.tw</v>
      </c>
      <c r="E1221" s="17" t="str">
        <f>IFERROR(__xludf.DUMMYFUNCTION("""COMPUTED_VALUE"""),"桃園市中壢區芭里國民小學")</f>
        <v>桃園市中壢區芭里國民小學</v>
      </c>
      <c r="F1221" s="14" t="str">
        <f>IFERROR(__xludf.DUMMYFUNCTION("""COMPUTED_VALUE"""),"六年級")</f>
        <v>六年級</v>
      </c>
      <c r="G1221" s="14" t="str">
        <f>IFERROR(__xludf.DUMMYFUNCTION("""COMPUTED_VALUE"""),"★禮券$200")</f>
        <v>★禮券$200</v>
      </c>
      <c r="H1221" s="8"/>
    </row>
    <row r="1222">
      <c r="A1222" s="18"/>
      <c r="B1222" s="14">
        <f>IFERROR(__xludf.DUMMYFUNCTION("""COMPUTED_VALUE"""),723703.0)</f>
        <v>723703</v>
      </c>
      <c r="C1222" s="14" t="str">
        <f>IFERROR(__xludf.DUMMYFUNCTION("""COMPUTED_VALUE"""),"邱玟馨")</f>
        <v>邱玟馨</v>
      </c>
      <c r="D1222" s="16" t="str">
        <f>IFERROR(__xludf.DUMMYFUNCTION("""COMPUTED_VALUE"""),"bal*****6@blps.tyc.edu.tw")</f>
        <v>bal*****6@blps.tyc.edu.tw</v>
      </c>
      <c r="E1222" s="17" t="str">
        <f>IFERROR(__xludf.DUMMYFUNCTION("""COMPUTED_VALUE"""),"桃園市中壢區芭里國民小學")</f>
        <v>桃園市中壢區芭里國民小學</v>
      </c>
      <c r="F1222" s="14" t="str">
        <f>IFERROR(__xludf.DUMMYFUNCTION("""COMPUTED_VALUE"""),"六年級")</f>
        <v>六年級</v>
      </c>
      <c r="G1222" s="14" t="str">
        <f>IFERROR(__xludf.DUMMYFUNCTION("""COMPUTED_VALUE"""),"獎狀")</f>
        <v>獎狀</v>
      </c>
      <c r="H1222" s="8"/>
    </row>
    <row r="1223">
      <c r="A1223" s="18"/>
      <c r="B1223" s="14">
        <f>IFERROR(__xludf.DUMMYFUNCTION("""COMPUTED_VALUE"""),1115806.0)</f>
        <v>1115806</v>
      </c>
      <c r="C1223" s="14" t="str">
        <f>IFERROR(__xludf.DUMMYFUNCTION("""COMPUTED_VALUE"""),"范寓愷")</f>
        <v>范寓愷</v>
      </c>
      <c r="D1223" s="16" t="str">
        <f>IFERROR(__xludf.DUMMYFUNCTION("""COMPUTED_VALUE"""),"fan*****0801@gmail.com")</f>
        <v>fan*****0801@gmail.com</v>
      </c>
      <c r="E1223" s="17" t="str">
        <f>IFERROR(__xludf.DUMMYFUNCTION("""COMPUTED_VALUE"""),"桃園市中壢區青埔國民小學")</f>
        <v>桃園市中壢區青埔國民小學</v>
      </c>
      <c r="F1223" s="14" t="str">
        <f>IFERROR(__xludf.DUMMYFUNCTION("""COMPUTED_VALUE"""),"六年級")</f>
        <v>六年級</v>
      </c>
      <c r="G1223" s="14" t="str">
        <f>IFERROR(__xludf.DUMMYFUNCTION("""COMPUTED_VALUE"""),"獎狀")</f>
        <v>獎狀</v>
      </c>
      <c r="H1223" s="8"/>
    </row>
    <row r="1224">
      <c r="A1224" s="18"/>
      <c r="B1224" s="14">
        <f>IFERROR(__xludf.DUMMYFUNCTION("""COMPUTED_VALUE"""),585406.0)</f>
        <v>585406</v>
      </c>
      <c r="C1224" s="14" t="str">
        <f>IFERROR(__xludf.DUMMYFUNCTION("""COMPUTED_VALUE"""),"黃彥期")</f>
        <v>黃彥期</v>
      </c>
      <c r="D1224" s="16" t="str">
        <f>IFERROR(__xludf.DUMMYFUNCTION("""COMPUTED_VALUE"""),"106*****ail.cpps.tyc.edu.tw")</f>
        <v>106*****ail.cpps.tyc.edu.tw</v>
      </c>
      <c r="E1224" s="17" t="str">
        <f>IFERROR(__xludf.DUMMYFUNCTION("""COMPUTED_VALUE"""),"桃園市中壢區青埔國民小學")</f>
        <v>桃園市中壢區青埔國民小學</v>
      </c>
      <c r="F1224" s="14" t="str">
        <f>IFERROR(__xludf.DUMMYFUNCTION("""COMPUTED_VALUE"""),"六年級")</f>
        <v>六年級</v>
      </c>
      <c r="G1224" s="14" t="str">
        <f>IFERROR(__xludf.DUMMYFUNCTION("""COMPUTED_VALUE"""),"獎狀")</f>
        <v>獎狀</v>
      </c>
      <c r="H1224" s="8"/>
    </row>
    <row r="1225">
      <c r="A1225" s="18"/>
      <c r="B1225" s="14">
        <f>IFERROR(__xludf.DUMMYFUNCTION("""COMPUTED_VALUE"""),271227.0)</f>
        <v>271227</v>
      </c>
      <c r="C1225" s="14" t="str">
        <f>IFERROR(__xludf.DUMMYFUNCTION("""COMPUTED_VALUE"""),"劉恩妤")</f>
        <v>劉恩妤</v>
      </c>
      <c r="D1225" s="16" t="str">
        <f>IFERROR(__xludf.DUMMYFUNCTION("""COMPUTED_VALUE"""),"h09*****383@gmail.com")</f>
        <v>h09*****383@gmail.com</v>
      </c>
      <c r="E1225" s="17" t="str">
        <f>IFERROR(__xludf.DUMMYFUNCTION("""COMPUTED_VALUE"""),"桃園市中壢區新街國民小學")</f>
        <v>桃園市中壢區新街國民小學</v>
      </c>
      <c r="F1225" s="14" t="str">
        <f>IFERROR(__xludf.DUMMYFUNCTION("""COMPUTED_VALUE"""),"六年級")</f>
        <v>六年級</v>
      </c>
      <c r="G1225" s="14" t="str">
        <f>IFERROR(__xludf.DUMMYFUNCTION("""COMPUTED_VALUE"""),"●小禮物")</f>
        <v>●小禮物</v>
      </c>
      <c r="H1225" s="8"/>
    </row>
    <row r="1226">
      <c r="A1226" s="18"/>
      <c r="B1226" s="14">
        <f>IFERROR(__xludf.DUMMYFUNCTION("""COMPUTED_VALUE"""),821232.0)</f>
        <v>821232</v>
      </c>
      <c r="C1226" s="14" t="str">
        <f>IFERROR(__xludf.DUMMYFUNCTION("""COMPUTED_VALUE"""),"薛茗華")</f>
        <v>薛茗華</v>
      </c>
      <c r="D1226" s="16" t="str">
        <f>IFERROR(__xludf.DUMMYFUNCTION("""COMPUTED_VALUE"""),"min*****427@gmail.com")</f>
        <v>min*****427@gmail.com</v>
      </c>
      <c r="E1226" s="17" t="str">
        <f>IFERROR(__xludf.DUMMYFUNCTION("""COMPUTED_VALUE"""),"桃園市中壢區中平國民小學")</f>
        <v>桃園市中壢區中平國民小學</v>
      </c>
      <c r="F1226" s="14" t="str">
        <f>IFERROR(__xludf.DUMMYFUNCTION("""COMPUTED_VALUE"""),"四年級")</f>
        <v>四年級</v>
      </c>
      <c r="G1226" s="14" t="str">
        <f>IFERROR(__xludf.DUMMYFUNCTION("""COMPUTED_VALUE"""),"獎狀")</f>
        <v>獎狀</v>
      </c>
      <c r="H1226" s="8"/>
    </row>
    <row r="1227">
      <c r="A1227" s="18"/>
      <c r="B1227" s="14">
        <f>IFERROR(__xludf.DUMMYFUNCTION("""COMPUTED_VALUE"""),758187.0)</f>
        <v>758187</v>
      </c>
      <c r="C1227" s="14" t="str">
        <f>IFERROR(__xludf.DUMMYFUNCTION("""COMPUTED_VALUE"""),"郭晏碩")</f>
        <v>郭晏碩</v>
      </c>
      <c r="D1227" s="16" t="str">
        <f>IFERROR(__xludf.DUMMYFUNCTION("""COMPUTED_VALUE"""),"ian*****1@gmail.com")</f>
        <v>ian*****1@gmail.com</v>
      </c>
      <c r="E1227" s="17" t="str">
        <f>IFERROR(__xludf.DUMMYFUNCTION("""COMPUTED_VALUE"""),"桃園市中壢區中平國民小學")</f>
        <v>桃園市中壢區中平國民小學</v>
      </c>
      <c r="F1227" s="14" t="str">
        <f>IFERROR(__xludf.DUMMYFUNCTION("""COMPUTED_VALUE"""),"五年級")</f>
        <v>五年級</v>
      </c>
      <c r="G1227" s="14" t="str">
        <f>IFERROR(__xludf.DUMMYFUNCTION("""COMPUTED_VALUE"""),"獎狀")</f>
        <v>獎狀</v>
      </c>
      <c r="H1227" s="8"/>
    </row>
    <row r="1228">
      <c r="A1228" s="18"/>
      <c r="B1228" s="14">
        <f>IFERROR(__xludf.DUMMYFUNCTION("""COMPUTED_VALUE"""),770769.0)</f>
        <v>770769</v>
      </c>
      <c r="C1228" s="14" t="str">
        <f>IFERROR(__xludf.DUMMYFUNCTION("""COMPUTED_VALUE"""),"郭晏誠")</f>
        <v>郭晏誠</v>
      </c>
      <c r="D1228" s="16" t="str">
        <f>IFERROR(__xludf.DUMMYFUNCTION("""COMPUTED_VALUE"""),"wgl*****0ft@gmail.com")</f>
        <v>wgl*****0ft@gmail.com</v>
      </c>
      <c r="E1228" s="17" t="str">
        <f>IFERROR(__xludf.DUMMYFUNCTION("""COMPUTED_VALUE"""),"桃園市中壢區中平國民小學")</f>
        <v>桃園市中壢區中平國民小學</v>
      </c>
      <c r="F1228" s="14" t="str">
        <f>IFERROR(__xludf.DUMMYFUNCTION("""COMPUTED_VALUE"""),"六年級")</f>
        <v>六年級</v>
      </c>
      <c r="G1228" s="14" t="str">
        <f>IFERROR(__xludf.DUMMYFUNCTION("""COMPUTED_VALUE"""),"●小禮物")</f>
        <v>●小禮物</v>
      </c>
      <c r="H1228" s="8"/>
    </row>
    <row r="1229">
      <c r="A1229" s="18"/>
      <c r="B1229" s="14">
        <f>IFERROR(__xludf.DUMMYFUNCTION("""COMPUTED_VALUE"""),1008291.0)</f>
        <v>1008291</v>
      </c>
      <c r="C1229" s="14" t="str">
        <f>IFERROR(__xludf.DUMMYFUNCTION("""COMPUTED_VALUE"""),"薛瑀喬")</f>
        <v>薛瑀喬</v>
      </c>
      <c r="D1229" s="16" t="str">
        <f>IFERROR(__xludf.DUMMYFUNCTION("""COMPUTED_VALUE"""),"yuq*****11@gmail.com")</f>
        <v>yuq*****11@gmail.com</v>
      </c>
      <c r="E1229" s="17" t="str">
        <f>IFERROR(__xludf.DUMMYFUNCTION("""COMPUTED_VALUE"""),"桃園市中壢區中平國民小學")</f>
        <v>桃園市中壢區中平國民小學</v>
      </c>
      <c r="F1229" s="14" t="str">
        <f>IFERROR(__xludf.DUMMYFUNCTION("""COMPUTED_VALUE"""),"六年級")</f>
        <v>六年級</v>
      </c>
      <c r="G1229" s="14" t="str">
        <f>IFERROR(__xludf.DUMMYFUNCTION("""COMPUTED_VALUE"""),"●小禮物")</f>
        <v>●小禮物</v>
      </c>
      <c r="H1229" s="8"/>
    </row>
    <row r="1230">
      <c r="A1230" s="18"/>
      <c r="B1230" s="14">
        <f>IFERROR(__xludf.DUMMYFUNCTION("""COMPUTED_VALUE"""),1119237.0)</f>
        <v>1119237</v>
      </c>
      <c r="C1230" s="14" t="str">
        <f>IFERROR(__xludf.DUMMYFUNCTION("""COMPUTED_VALUE"""),"賴品諭")</f>
        <v>賴品諭</v>
      </c>
      <c r="D1230" s="16" t="str">
        <f>IFERROR(__xludf.DUMMYFUNCTION("""COMPUTED_VALUE"""),"gin*****9@gmail.com")</f>
        <v>gin*****9@gmail.com</v>
      </c>
      <c r="E1230" s="17" t="str">
        <f>IFERROR(__xludf.DUMMYFUNCTION("""COMPUTED_VALUE"""),"桃園市中壢區華勛國民小學")</f>
        <v>桃園市中壢區華勛國民小學</v>
      </c>
      <c r="F1230" s="14" t="str">
        <f>IFERROR(__xludf.DUMMYFUNCTION("""COMPUTED_VALUE"""),"三年級")</f>
        <v>三年級</v>
      </c>
      <c r="G1230" s="14" t="str">
        <f>IFERROR(__xludf.DUMMYFUNCTION("""COMPUTED_VALUE"""),"獎狀")</f>
        <v>獎狀</v>
      </c>
      <c r="H1230" s="8"/>
    </row>
    <row r="1231">
      <c r="A1231" s="18"/>
      <c r="B1231" s="14">
        <f>IFERROR(__xludf.DUMMYFUNCTION("""COMPUTED_VALUE"""),877685.0)</f>
        <v>877685</v>
      </c>
      <c r="C1231" s="14" t="str">
        <f>IFERROR(__xludf.DUMMYFUNCTION("""COMPUTED_VALUE"""),"王璿涵")</f>
        <v>王璿涵</v>
      </c>
      <c r="D1231" s="16" t="str">
        <f>IFERROR(__xludf.DUMMYFUNCTION("""COMPUTED_VALUE"""),"c10*****stu.sres.tyc.edu.tw")</f>
        <v>c10*****stu.sres.tyc.edu.tw</v>
      </c>
      <c r="E1231" s="17" t="str">
        <f>IFERROR(__xludf.DUMMYFUNCTION("""COMPUTED_VALUE"""),"桃園市中壢區興仁國民小學")</f>
        <v>桃園市中壢區興仁國民小學</v>
      </c>
      <c r="F1231" s="14" t="str">
        <f>IFERROR(__xludf.DUMMYFUNCTION("""COMPUTED_VALUE"""),"六年級")</f>
        <v>六年級</v>
      </c>
      <c r="G1231" s="14" t="str">
        <f>IFERROR(__xludf.DUMMYFUNCTION("""COMPUTED_VALUE"""),"獎狀")</f>
        <v>獎狀</v>
      </c>
      <c r="H1231" s="8"/>
    </row>
    <row r="1232">
      <c r="A1232" s="18"/>
      <c r="B1232" s="14">
        <f>IFERROR(__xludf.DUMMYFUNCTION("""COMPUTED_VALUE"""),288631.0)</f>
        <v>288631</v>
      </c>
      <c r="C1232" s="14" t="str">
        <f>IFERROR(__xludf.DUMMYFUNCTION("""COMPUTED_VALUE"""),"李祥宇")</f>
        <v>李祥宇</v>
      </c>
      <c r="D1232" s="16" t="str">
        <f>IFERROR(__xludf.DUMMYFUNCTION("""COMPUTED_VALUE"""),"shi*****19@gmail.com")</f>
        <v>shi*****19@gmail.com</v>
      </c>
      <c r="E1232" s="17" t="str">
        <f>IFERROR(__xludf.DUMMYFUNCTION("""COMPUTED_VALUE"""),"桃園市中壢區青園國民小學")</f>
        <v>桃園市中壢區青園國民小學</v>
      </c>
      <c r="F1232" s="14" t="str">
        <f>IFERROR(__xludf.DUMMYFUNCTION("""COMPUTED_VALUE"""),"三年級")</f>
        <v>三年級</v>
      </c>
      <c r="G1232" s="14" t="str">
        <f>IFERROR(__xludf.DUMMYFUNCTION("""COMPUTED_VALUE"""),"★禮券$200")</f>
        <v>★禮券$200</v>
      </c>
      <c r="H1232" s="8"/>
    </row>
    <row r="1233">
      <c r="A1233" s="18"/>
      <c r="B1233" s="14">
        <f>IFERROR(__xludf.DUMMYFUNCTION("""COMPUTED_VALUE"""),1011137.0)</f>
        <v>1011137</v>
      </c>
      <c r="C1233" s="14" t="str">
        <f>IFERROR(__xludf.DUMMYFUNCTION("""COMPUTED_VALUE"""),"賴柏翰")</f>
        <v>賴柏翰</v>
      </c>
      <c r="D1233" s="16" t="str">
        <f>IFERROR(__xludf.DUMMYFUNCTION("""COMPUTED_VALUE"""),"may*****108@gmail.com")</f>
        <v>may*****108@gmail.com</v>
      </c>
      <c r="E1233" s="17" t="str">
        <f>IFERROR(__xludf.DUMMYFUNCTION("""COMPUTED_VALUE"""),"桃園市平鎮區新勢國民小學")</f>
        <v>桃園市平鎮區新勢國民小學</v>
      </c>
      <c r="F1233" s="14" t="str">
        <f>IFERROR(__xludf.DUMMYFUNCTION("""COMPUTED_VALUE"""),"五年級")</f>
        <v>五年級</v>
      </c>
      <c r="G1233" s="14" t="str">
        <f>IFERROR(__xludf.DUMMYFUNCTION("""COMPUTED_VALUE"""),"●小禮物")</f>
        <v>●小禮物</v>
      </c>
      <c r="H1233" s="8"/>
    </row>
    <row r="1234">
      <c r="A1234" s="18"/>
      <c r="B1234" s="14">
        <f>IFERROR(__xludf.DUMMYFUNCTION("""COMPUTED_VALUE"""),1168431.0)</f>
        <v>1168431</v>
      </c>
      <c r="C1234" s="14" t="str">
        <f>IFERROR(__xludf.DUMMYFUNCTION("""COMPUTED_VALUE"""),"宋曜廷")</f>
        <v>宋曜廷</v>
      </c>
      <c r="D1234" s="16" t="str">
        <f>IFERROR(__xludf.DUMMYFUNCTION("""COMPUTED_VALUE"""),"mom*****rkshop@gmail.com")</f>
        <v>mom*****rkshop@gmail.com</v>
      </c>
      <c r="E1234" s="17" t="str">
        <f>IFERROR(__xludf.DUMMYFUNCTION("""COMPUTED_VALUE"""),"桃園市平鎮區宋屋國民小學")</f>
        <v>桃園市平鎮區宋屋國民小學</v>
      </c>
      <c r="F1234" s="14" t="str">
        <f>IFERROR(__xludf.DUMMYFUNCTION("""COMPUTED_VALUE"""),"三年級")</f>
        <v>三年級</v>
      </c>
      <c r="G1234" s="14" t="str">
        <f>IFERROR(__xludf.DUMMYFUNCTION("""COMPUTED_VALUE"""),"●小禮物")</f>
        <v>●小禮物</v>
      </c>
      <c r="H1234" s="8"/>
    </row>
    <row r="1235">
      <c r="A1235" s="18"/>
      <c r="B1235" s="14">
        <f>IFERROR(__xludf.DUMMYFUNCTION("""COMPUTED_VALUE"""),568831.0)</f>
        <v>568831</v>
      </c>
      <c r="C1235" s="14" t="str">
        <f>IFERROR(__xludf.DUMMYFUNCTION("""COMPUTED_VALUE"""),"湯宇翔")</f>
        <v>湯宇翔</v>
      </c>
      <c r="D1235" s="16" t="str">
        <f>IFERROR(__xludf.DUMMYFUNCTION("""COMPUTED_VALUE"""),"vic*****701@gmail.com")</f>
        <v>vic*****701@gmail.com</v>
      </c>
      <c r="E1235" s="17" t="str">
        <f>IFERROR(__xludf.DUMMYFUNCTION("""COMPUTED_VALUE"""),"桃園市平鎮區義興國民小學")</f>
        <v>桃園市平鎮區義興國民小學</v>
      </c>
      <c r="F1235" s="14" t="str">
        <f>IFERROR(__xludf.DUMMYFUNCTION("""COMPUTED_VALUE"""),"三年級")</f>
        <v>三年級</v>
      </c>
      <c r="G1235" s="14" t="str">
        <f>IFERROR(__xludf.DUMMYFUNCTION("""COMPUTED_VALUE"""),"獎狀")</f>
        <v>獎狀</v>
      </c>
      <c r="H1235" s="8"/>
    </row>
    <row r="1236">
      <c r="A1236" s="18"/>
      <c r="B1236" s="14">
        <f>IFERROR(__xludf.DUMMYFUNCTION("""COMPUTED_VALUE"""),1115080.0)</f>
        <v>1115080</v>
      </c>
      <c r="C1236" s="14" t="str">
        <f>IFERROR(__xludf.DUMMYFUNCTION("""COMPUTED_VALUE"""),"王睿晟")</f>
        <v>王睿晟</v>
      </c>
      <c r="D1236" s="16" t="str">
        <f>IFERROR(__xludf.DUMMYFUNCTION("""COMPUTED_VALUE"""),"108*****s2.yhes.tyc.edu.tw")</f>
        <v>108*****s2.yhes.tyc.edu.tw</v>
      </c>
      <c r="E1236" s="17" t="str">
        <f>IFERROR(__xludf.DUMMYFUNCTION("""COMPUTED_VALUE"""),"桃園市平鎮區義興國民小學")</f>
        <v>桃園市平鎮區義興國民小學</v>
      </c>
      <c r="F1236" s="14" t="str">
        <f>IFERROR(__xludf.DUMMYFUNCTION("""COMPUTED_VALUE"""),"四年級")</f>
        <v>四年級</v>
      </c>
      <c r="G1236" s="14" t="str">
        <f>IFERROR(__xludf.DUMMYFUNCTION("""COMPUTED_VALUE"""),"獎狀")</f>
        <v>獎狀</v>
      </c>
      <c r="H1236" s="8"/>
    </row>
    <row r="1237">
      <c r="A1237" s="18"/>
      <c r="B1237" s="14">
        <f>IFERROR(__xludf.DUMMYFUNCTION("""COMPUTED_VALUE"""),858817.0)</f>
        <v>858817</v>
      </c>
      <c r="C1237" s="14" t="str">
        <f>IFERROR(__xludf.DUMMYFUNCTION("""COMPUTED_VALUE"""),"柯炳綸")</f>
        <v>柯炳綸</v>
      </c>
      <c r="D1237" s="16" t="str">
        <f>IFERROR(__xludf.DUMMYFUNCTION("""COMPUTED_VALUE"""),"ban*****3@gmail.com")</f>
        <v>ban*****3@gmail.com</v>
      </c>
      <c r="E1237" s="17" t="str">
        <f>IFERROR(__xludf.DUMMYFUNCTION("""COMPUTED_VALUE"""),"桃園市平鎮區義興國民小學")</f>
        <v>桃園市平鎮區義興國民小學</v>
      </c>
      <c r="F1237" s="14" t="str">
        <f>IFERROR(__xludf.DUMMYFUNCTION("""COMPUTED_VALUE"""),"四年級")</f>
        <v>四年級</v>
      </c>
      <c r="G1237" s="14" t="str">
        <f>IFERROR(__xludf.DUMMYFUNCTION("""COMPUTED_VALUE"""),"獎狀")</f>
        <v>獎狀</v>
      </c>
      <c r="H1237" s="8"/>
    </row>
    <row r="1238">
      <c r="A1238" s="18"/>
      <c r="B1238" s="14">
        <f>IFERROR(__xludf.DUMMYFUNCTION("""COMPUTED_VALUE"""),1119721.0)</f>
        <v>1119721</v>
      </c>
      <c r="C1238" s="14" t="str">
        <f>IFERROR(__xludf.DUMMYFUNCTION("""COMPUTED_VALUE"""),"沈聖諺")</f>
        <v>沈聖諺</v>
      </c>
      <c r="D1238" s="16" t="str">
        <f>IFERROR(__xludf.DUMMYFUNCTION("""COMPUTED_VALUE"""),"s92*****outlook.com")</f>
        <v>s92*****outlook.com</v>
      </c>
      <c r="E1238" s="17" t="str">
        <f>IFERROR(__xludf.DUMMYFUNCTION("""COMPUTED_VALUE"""),"桃園市平鎮區義興國民小學")</f>
        <v>桃園市平鎮區義興國民小學</v>
      </c>
      <c r="F1238" s="14" t="str">
        <f>IFERROR(__xludf.DUMMYFUNCTION("""COMPUTED_VALUE"""),"四年級")</f>
        <v>四年級</v>
      </c>
      <c r="G1238" s="14" t="str">
        <f>IFERROR(__xludf.DUMMYFUNCTION("""COMPUTED_VALUE"""),"●小禮物")</f>
        <v>●小禮物</v>
      </c>
      <c r="H1238" s="8"/>
    </row>
    <row r="1239">
      <c r="A1239" s="18"/>
      <c r="B1239" s="14">
        <f>IFERROR(__xludf.DUMMYFUNCTION("""COMPUTED_VALUE"""),747301.0)</f>
        <v>747301</v>
      </c>
      <c r="C1239" s="14" t="str">
        <f>IFERROR(__xludf.DUMMYFUNCTION("""COMPUTED_VALUE"""),"劉宇涵")</f>
        <v>劉宇涵</v>
      </c>
      <c r="D1239" s="16" t="str">
        <f>IFERROR(__xludf.DUMMYFUNCTION("""COMPUTED_VALUE"""),"han*****724@gmail.com")</f>
        <v>han*****724@gmail.com</v>
      </c>
      <c r="E1239" s="17" t="str">
        <f>IFERROR(__xludf.DUMMYFUNCTION("""COMPUTED_VALUE"""),"桃園市平鎮區義興國民小學")</f>
        <v>桃園市平鎮區義興國民小學</v>
      </c>
      <c r="F1239" s="14" t="str">
        <f>IFERROR(__xludf.DUMMYFUNCTION("""COMPUTED_VALUE"""),"五年級")</f>
        <v>五年級</v>
      </c>
      <c r="G1239" s="14" t="str">
        <f>IFERROR(__xludf.DUMMYFUNCTION("""COMPUTED_VALUE"""),"●小禮物")</f>
        <v>●小禮物</v>
      </c>
      <c r="H1239" s="8"/>
    </row>
    <row r="1240">
      <c r="A1240" s="18"/>
      <c r="B1240" s="14">
        <f>IFERROR(__xludf.DUMMYFUNCTION("""COMPUTED_VALUE"""),1153405.0)</f>
        <v>1153405</v>
      </c>
      <c r="C1240" s="14" t="str">
        <f>IFERROR(__xludf.DUMMYFUNCTION("""COMPUTED_VALUE"""),"王愷新")</f>
        <v>王愷新</v>
      </c>
      <c r="D1240" s="16" t="str">
        <f>IFERROR(__xludf.DUMMYFUNCTION("""COMPUTED_VALUE"""),"106*****s2.yhes.tyc.edu.tw")</f>
        <v>106*****s2.yhes.tyc.edu.tw</v>
      </c>
      <c r="E1240" s="17" t="str">
        <f>IFERROR(__xludf.DUMMYFUNCTION("""COMPUTED_VALUE"""),"桃園市平鎮區義興國民小學")</f>
        <v>桃園市平鎮區義興國民小學</v>
      </c>
      <c r="F1240" s="14" t="str">
        <f>IFERROR(__xludf.DUMMYFUNCTION("""COMPUTED_VALUE"""),"六年級")</f>
        <v>六年級</v>
      </c>
      <c r="G1240" s="14" t="str">
        <f>IFERROR(__xludf.DUMMYFUNCTION("""COMPUTED_VALUE"""),"獎狀")</f>
        <v>獎狀</v>
      </c>
      <c r="H1240" s="8"/>
    </row>
    <row r="1241">
      <c r="A1241" s="18"/>
      <c r="B1241" s="14">
        <f>IFERROR(__xludf.DUMMYFUNCTION("""COMPUTED_VALUE"""),561439.0)</f>
        <v>561439</v>
      </c>
      <c r="C1241" s="14" t="str">
        <f>IFERROR(__xludf.DUMMYFUNCTION("""COMPUTED_VALUE"""),"洪梓瑄")</f>
        <v>洪梓瑄</v>
      </c>
      <c r="D1241" s="16" t="str">
        <f>IFERROR(__xludf.DUMMYFUNCTION("""COMPUTED_VALUE"""),"107*****gm.psees.tyc.edu.tw")</f>
        <v>107*****gm.psees.tyc.edu.tw</v>
      </c>
      <c r="E1241" s="17" t="str">
        <f>IFERROR(__xludf.DUMMYFUNCTION("""COMPUTED_VALUE"""),"桃園市平鎮區平興國民小學")</f>
        <v>桃園市平鎮區平興國民小學</v>
      </c>
      <c r="F1241" s="14" t="str">
        <f>IFERROR(__xludf.DUMMYFUNCTION("""COMPUTED_VALUE"""),"五年級")</f>
        <v>五年級</v>
      </c>
      <c r="G1241" s="14" t="str">
        <f>IFERROR(__xludf.DUMMYFUNCTION("""COMPUTED_VALUE"""),"●小禮物")</f>
        <v>●小禮物</v>
      </c>
      <c r="H1241" s="8"/>
    </row>
    <row r="1242">
      <c r="A1242" s="18"/>
      <c r="B1242" s="14">
        <f>IFERROR(__xludf.DUMMYFUNCTION("""COMPUTED_VALUE"""),844989.0)</f>
        <v>844989</v>
      </c>
      <c r="C1242" s="14" t="str">
        <f>IFERROR(__xludf.DUMMYFUNCTION("""COMPUTED_VALUE"""),"李彥餘")</f>
        <v>李彥餘</v>
      </c>
      <c r="D1242" s="16" t="str">
        <f>IFERROR(__xludf.DUMMYFUNCTION("""COMPUTED_VALUE"""),"luc*****36@mail.edu.tw")</f>
        <v>luc*****36@mail.edu.tw</v>
      </c>
      <c r="E1242" s="17" t="str">
        <f>IFERROR(__xludf.DUMMYFUNCTION("""COMPUTED_VALUE"""),"桃園市平鎮區忠貞國民小學")</f>
        <v>桃園市平鎮區忠貞國民小學</v>
      </c>
      <c r="F1242" s="14" t="str">
        <f>IFERROR(__xludf.DUMMYFUNCTION("""COMPUTED_VALUE"""),"六年級")</f>
        <v>六年級</v>
      </c>
      <c r="G1242" s="14" t="str">
        <f>IFERROR(__xludf.DUMMYFUNCTION("""COMPUTED_VALUE"""),"獎狀")</f>
        <v>獎狀</v>
      </c>
      <c r="H1242" s="8"/>
    </row>
    <row r="1243">
      <c r="A1243" s="18"/>
      <c r="B1243" s="14">
        <f>IFERROR(__xludf.DUMMYFUNCTION("""COMPUTED_VALUE"""),613777.0)</f>
        <v>613777</v>
      </c>
      <c r="C1243" s="14" t="str">
        <f>IFERROR(__xludf.DUMMYFUNCTION("""COMPUTED_VALUE"""),"陸宥學")</f>
        <v>陸宥學</v>
      </c>
      <c r="D1243" s="16" t="str">
        <f>IFERROR(__xludf.DUMMYFUNCTION("""COMPUTED_VALUE"""),"a54*****mail.edu.tw")</f>
        <v>a54*****mail.edu.tw</v>
      </c>
      <c r="E1243" s="17" t="str">
        <f>IFERROR(__xludf.DUMMYFUNCTION("""COMPUTED_VALUE"""),"桃園市平鎮區忠貞國民小學")</f>
        <v>桃園市平鎮區忠貞國民小學</v>
      </c>
      <c r="F1243" s="14" t="str">
        <f>IFERROR(__xludf.DUMMYFUNCTION("""COMPUTED_VALUE"""),"六年級")</f>
        <v>六年級</v>
      </c>
      <c r="G1243" s="14" t="str">
        <f>IFERROR(__xludf.DUMMYFUNCTION("""COMPUTED_VALUE"""),"獎狀")</f>
        <v>獎狀</v>
      </c>
      <c r="H1243" s="8"/>
    </row>
    <row r="1244">
      <c r="A1244" s="18"/>
      <c r="B1244" s="14">
        <f>IFERROR(__xludf.DUMMYFUNCTION("""COMPUTED_VALUE"""),845010.0)</f>
        <v>845010</v>
      </c>
      <c r="C1244" s="14" t="str">
        <f>IFERROR(__xludf.DUMMYFUNCTION("""COMPUTED_VALUE"""),"葉秀霆")</f>
        <v>葉秀霆</v>
      </c>
      <c r="D1244" s="16" t="str">
        <f>IFERROR(__xludf.DUMMYFUNCTION("""COMPUTED_VALUE"""),"asa*****ail.edu.tw")</f>
        <v>asa*****ail.edu.tw</v>
      </c>
      <c r="E1244" s="17" t="str">
        <f>IFERROR(__xludf.DUMMYFUNCTION("""COMPUTED_VALUE"""),"桃園市平鎮區忠貞國民小學")</f>
        <v>桃園市平鎮區忠貞國民小學</v>
      </c>
      <c r="F1244" s="14" t="str">
        <f>IFERROR(__xludf.DUMMYFUNCTION("""COMPUTED_VALUE"""),"六年級")</f>
        <v>六年級</v>
      </c>
      <c r="G1244" s="14" t="str">
        <f>IFERROR(__xludf.DUMMYFUNCTION("""COMPUTED_VALUE"""),"獎狀")</f>
        <v>獎狀</v>
      </c>
      <c r="H1244" s="8"/>
    </row>
    <row r="1245">
      <c r="A1245" s="18"/>
      <c r="B1245" s="14">
        <f>IFERROR(__xludf.DUMMYFUNCTION("""COMPUTED_VALUE"""),844982.0)</f>
        <v>844982</v>
      </c>
      <c r="C1245" s="14" t="str">
        <f>IFERROR(__xludf.DUMMYFUNCTION("""COMPUTED_VALUE"""),"蔡瑞恩")</f>
        <v>蔡瑞恩</v>
      </c>
      <c r="D1245" s="16" t="str">
        <f>IFERROR(__xludf.DUMMYFUNCTION("""COMPUTED_VALUE"""),"idc*****@mail.edu.tw")</f>
        <v>idc*****@mail.edu.tw</v>
      </c>
      <c r="E1245" s="17" t="str">
        <f>IFERROR(__xludf.DUMMYFUNCTION("""COMPUTED_VALUE"""),"桃園市平鎮區忠貞國民小學")</f>
        <v>桃園市平鎮區忠貞國民小學</v>
      </c>
      <c r="F1245" s="14" t="str">
        <f>IFERROR(__xludf.DUMMYFUNCTION("""COMPUTED_VALUE"""),"六年級")</f>
        <v>六年級</v>
      </c>
      <c r="G1245" s="14" t="str">
        <f>IFERROR(__xludf.DUMMYFUNCTION("""COMPUTED_VALUE"""),"獎狀")</f>
        <v>獎狀</v>
      </c>
      <c r="H1245" s="8"/>
    </row>
    <row r="1246">
      <c r="A1246" s="18"/>
      <c r="B1246" s="14">
        <f>IFERROR(__xludf.DUMMYFUNCTION("""COMPUTED_VALUE"""),800385.0)</f>
        <v>800385</v>
      </c>
      <c r="C1246" s="14" t="str">
        <f>IFERROR(__xludf.DUMMYFUNCTION("""COMPUTED_VALUE"""),"蕭御辰")</f>
        <v>蕭御辰</v>
      </c>
      <c r="D1246" s="16" t="str">
        <f>IFERROR(__xludf.DUMMYFUNCTION("""COMPUTED_VALUE"""),"st0*****8@mail.edu.tw")</f>
        <v>st0*****8@mail.edu.tw</v>
      </c>
      <c r="E1246" s="17" t="str">
        <f>IFERROR(__xludf.DUMMYFUNCTION("""COMPUTED_VALUE"""),"桃園市平鎮區忠貞國民小學")</f>
        <v>桃園市平鎮區忠貞國民小學</v>
      </c>
      <c r="F1246" s="14" t="str">
        <f>IFERROR(__xludf.DUMMYFUNCTION("""COMPUTED_VALUE"""),"六年級")</f>
        <v>六年級</v>
      </c>
      <c r="G1246" s="14" t="str">
        <f>IFERROR(__xludf.DUMMYFUNCTION("""COMPUTED_VALUE"""),"獎狀")</f>
        <v>獎狀</v>
      </c>
      <c r="H1246" s="8"/>
    </row>
    <row r="1247">
      <c r="A1247" s="18"/>
      <c r="B1247" s="14">
        <f>IFERROR(__xludf.DUMMYFUNCTION("""COMPUTED_VALUE"""),608313.0)</f>
        <v>608313</v>
      </c>
      <c r="C1247" s="14" t="str">
        <f>IFERROR(__xludf.DUMMYFUNCTION("""COMPUTED_VALUE"""),"謝愛妮")</f>
        <v>謝愛妮</v>
      </c>
      <c r="D1247" s="16" t="str">
        <f>IFERROR(__xludf.DUMMYFUNCTION("""COMPUTED_VALUE"""),"a99*****mail.edu.tw")</f>
        <v>a99*****mail.edu.tw</v>
      </c>
      <c r="E1247" s="17" t="str">
        <f>IFERROR(__xludf.DUMMYFUNCTION("""COMPUTED_VALUE"""),"桃園市平鎮區忠貞國民小學")</f>
        <v>桃園市平鎮區忠貞國民小學</v>
      </c>
      <c r="F1247" s="14" t="str">
        <f>IFERROR(__xludf.DUMMYFUNCTION("""COMPUTED_VALUE"""),"六年級")</f>
        <v>六年級</v>
      </c>
      <c r="G1247" s="14" t="str">
        <f>IFERROR(__xludf.DUMMYFUNCTION("""COMPUTED_VALUE"""),"獎狀")</f>
        <v>獎狀</v>
      </c>
      <c r="H1247" s="8"/>
    </row>
    <row r="1248">
      <c r="A1248" s="18"/>
      <c r="B1248" s="14">
        <f>IFERROR(__xludf.DUMMYFUNCTION("""COMPUTED_VALUE"""),844998.0)</f>
        <v>844998</v>
      </c>
      <c r="C1248" s="14" t="str">
        <f>IFERROR(__xludf.DUMMYFUNCTION("""COMPUTED_VALUE"""),"饒芷瑜")</f>
        <v>饒芷瑜</v>
      </c>
      <c r="D1248" s="16" t="str">
        <f>IFERROR(__xludf.DUMMYFUNCTION("""COMPUTED_VALUE"""),"a99*****mail.edu.tw")</f>
        <v>a99*****mail.edu.tw</v>
      </c>
      <c r="E1248" s="17" t="str">
        <f>IFERROR(__xludf.DUMMYFUNCTION("""COMPUTED_VALUE"""),"桃園市平鎮區忠貞國民小學")</f>
        <v>桃園市平鎮區忠貞國民小學</v>
      </c>
      <c r="F1248" s="14" t="str">
        <f>IFERROR(__xludf.DUMMYFUNCTION("""COMPUTED_VALUE"""),"六年級")</f>
        <v>六年級</v>
      </c>
      <c r="G1248" s="14" t="str">
        <f>IFERROR(__xludf.DUMMYFUNCTION("""COMPUTED_VALUE"""),"獎狀")</f>
        <v>獎狀</v>
      </c>
      <c r="H1248" s="8"/>
    </row>
    <row r="1249">
      <c r="A1249" s="18"/>
      <c r="B1249" s="14">
        <f>IFERROR(__xludf.DUMMYFUNCTION("""COMPUTED_VALUE"""),628269.0)</f>
        <v>628269</v>
      </c>
      <c r="C1249" s="14" t="str">
        <f>IFERROR(__xludf.DUMMYFUNCTION("""COMPUTED_VALUE"""),"張軒凡")</f>
        <v>張軒凡</v>
      </c>
      <c r="D1249" s="16" t="str">
        <f>IFERROR(__xludf.DUMMYFUNCTION("""COMPUTED_VALUE"""),"a46*****@mail.edu.tw")</f>
        <v>a46*****@mail.edu.tw</v>
      </c>
      <c r="E1249" s="17" t="str">
        <f>IFERROR(__xludf.DUMMYFUNCTION("""COMPUTED_VALUE"""),"桃園市平鎮區忠貞國民小學")</f>
        <v>桃園市平鎮區忠貞國民小學</v>
      </c>
      <c r="F1249" s="14" t="str">
        <f>IFERROR(__xludf.DUMMYFUNCTION("""COMPUTED_VALUE"""),"六年級")</f>
        <v>六年級</v>
      </c>
      <c r="G1249" s="14" t="str">
        <f>IFERROR(__xludf.DUMMYFUNCTION("""COMPUTED_VALUE"""),"●小禮物")</f>
        <v>●小禮物</v>
      </c>
      <c r="H1249" s="8"/>
    </row>
    <row r="1250">
      <c r="A1250" s="18"/>
      <c r="B1250" s="14">
        <f>IFERROR(__xludf.DUMMYFUNCTION("""COMPUTED_VALUE"""),870930.0)</f>
        <v>870930</v>
      </c>
      <c r="C1250" s="14" t="str">
        <f>IFERROR(__xludf.DUMMYFUNCTION("""COMPUTED_VALUE"""),"陳薇芯")</f>
        <v>陳薇芯</v>
      </c>
      <c r="D1250" s="16" t="str">
        <f>IFERROR(__xludf.DUMMYFUNCTION("""COMPUTED_VALUE"""),"tyc*****61@mail.edu.tw")</f>
        <v>tyc*****61@mail.edu.tw</v>
      </c>
      <c r="E1250" s="17" t="str">
        <f>IFERROR(__xludf.DUMMYFUNCTION("""COMPUTED_VALUE"""),"桃園市平鎮區忠貞國民小學")</f>
        <v>桃園市平鎮區忠貞國民小學</v>
      </c>
      <c r="F1250" s="14" t="str">
        <f>IFERROR(__xludf.DUMMYFUNCTION("""COMPUTED_VALUE"""),"六年級")</f>
        <v>六年級</v>
      </c>
      <c r="G1250" s="14" t="str">
        <f>IFERROR(__xludf.DUMMYFUNCTION("""COMPUTED_VALUE"""),"●小禮物")</f>
        <v>●小禮物</v>
      </c>
      <c r="H1250" s="8"/>
    </row>
    <row r="1251">
      <c r="A1251" s="18"/>
      <c r="B1251" s="14">
        <f>IFERROR(__xludf.DUMMYFUNCTION("""COMPUTED_VALUE"""),621467.0)</f>
        <v>621467</v>
      </c>
      <c r="C1251" s="14" t="str">
        <f>IFERROR(__xludf.DUMMYFUNCTION("""COMPUTED_VALUE"""),"謝欣晏")</f>
        <v>謝欣晏</v>
      </c>
      <c r="D1251" s="16" t="str">
        <f>IFERROR(__xludf.DUMMYFUNCTION("""COMPUTED_VALUE"""),"can*****911@mail.edu.tw")</f>
        <v>can*****911@mail.edu.tw</v>
      </c>
      <c r="E1251" s="17" t="str">
        <f>IFERROR(__xludf.DUMMYFUNCTION("""COMPUTED_VALUE"""),"桃園市平鎮區忠貞國民小學")</f>
        <v>桃園市平鎮區忠貞國民小學</v>
      </c>
      <c r="F1251" s="14" t="str">
        <f>IFERROR(__xludf.DUMMYFUNCTION("""COMPUTED_VALUE"""),"六年級")</f>
        <v>六年級</v>
      </c>
      <c r="G1251" s="14" t="str">
        <f>IFERROR(__xludf.DUMMYFUNCTION("""COMPUTED_VALUE"""),"●小禮物")</f>
        <v>●小禮物</v>
      </c>
      <c r="H1251" s="8"/>
    </row>
    <row r="1252">
      <c r="A1252" s="18"/>
      <c r="B1252" s="14">
        <f>IFERROR(__xludf.DUMMYFUNCTION("""COMPUTED_VALUE"""),652543.0)</f>
        <v>652543</v>
      </c>
      <c r="C1252" s="14" t="str">
        <f>IFERROR(__xludf.DUMMYFUNCTION("""COMPUTED_VALUE"""),"沈立晴")</f>
        <v>沈立晴</v>
      </c>
      <c r="D1252" s="16" t="str">
        <f>IFERROR(__xludf.DUMMYFUNCTION("""COMPUTED_VALUE"""),"cla*****528650@mail.edu.tw")</f>
        <v>cla*****528650@mail.edu.tw</v>
      </c>
      <c r="E1252" s="17" t="str">
        <f>IFERROR(__xludf.DUMMYFUNCTION("""COMPUTED_VALUE"""),"桃園市平鎮區忠貞國民小學")</f>
        <v>桃園市平鎮區忠貞國民小學</v>
      </c>
      <c r="F1252" s="14" t="str">
        <f>IFERROR(__xludf.DUMMYFUNCTION("""COMPUTED_VALUE"""),"六年級")</f>
        <v>六年級</v>
      </c>
      <c r="G1252" s="14" t="str">
        <f>IFERROR(__xludf.DUMMYFUNCTION("""COMPUTED_VALUE"""),"獎狀")</f>
        <v>獎狀</v>
      </c>
      <c r="H1252" s="8"/>
    </row>
    <row r="1253">
      <c r="A1253" s="18"/>
      <c r="B1253" s="14">
        <f>IFERROR(__xludf.DUMMYFUNCTION("""COMPUTED_VALUE"""),664712.0)</f>
        <v>664712</v>
      </c>
      <c r="C1253" s="14" t="str">
        <f>IFERROR(__xludf.DUMMYFUNCTION("""COMPUTED_VALUE"""),"徐睿晨")</f>
        <v>徐睿晨</v>
      </c>
      <c r="D1253" s="16" t="str">
        <f>IFERROR(__xludf.DUMMYFUNCTION("""COMPUTED_VALUE"""),"tyc*****84@mail.edu.tw")</f>
        <v>tyc*****84@mail.edu.tw</v>
      </c>
      <c r="E1253" s="17" t="str">
        <f>IFERROR(__xludf.DUMMYFUNCTION("""COMPUTED_VALUE"""),"桃園市平鎮區忠貞國民小學")</f>
        <v>桃園市平鎮區忠貞國民小學</v>
      </c>
      <c r="F1253" s="14" t="str">
        <f>IFERROR(__xludf.DUMMYFUNCTION("""COMPUTED_VALUE"""),"六年級")</f>
        <v>六年級</v>
      </c>
      <c r="G1253" s="14" t="str">
        <f>IFERROR(__xludf.DUMMYFUNCTION("""COMPUTED_VALUE"""),"獎狀")</f>
        <v>獎狀</v>
      </c>
      <c r="H1253" s="8"/>
    </row>
    <row r="1254">
      <c r="A1254" s="18"/>
      <c r="B1254" s="14">
        <f>IFERROR(__xludf.DUMMYFUNCTION("""COMPUTED_VALUE"""),608288.0)</f>
        <v>608288</v>
      </c>
      <c r="C1254" s="14" t="str">
        <f>IFERROR(__xludf.DUMMYFUNCTION("""COMPUTED_VALUE"""),"陳宗誠")</f>
        <v>陳宗誠</v>
      </c>
      <c r="D1254" s="16" t="str">
        <f>IFERROR(__xludf.DUMMYFUNCTION("""COMPUTED_VALUE"""),"a20*****0@mail.edu.tw")</f>
        <v>a20*****0@mail.edu.tw</v>
      </c>
      <c r="E1254" s="17" t="str">
        <f>IFERROR(__xludf.DUMMYFUNCTION("""COMPUTED_VALUE"""),"桃園市平鎮區忠貞國民小學")</f>
        <v>桃園市平鎮區忠貞國民小學</v>
      </c>
      <c r="F1254" s="14" t="str">
        <f>IFERROR(__xludf.DUMMYFUNCTION("""COMPUTED_VALUE"""),"六年級")</f>
        <v>六年級</v>
      </c>
      <c r="G1254" s="14" t="str">
        <f>IFERROR(__xludf.DUMMYFUNCTION("""COMPUTED_VALUE"""),"獎狀")</f>
        <v>獎狀</v>
      </c>
      <c r="H1254" s="8"/>
    </row>
    <row r="1255">
      <c r="A1255" s="18"/>
      <c r="B1255" s="14">
        <f>IFERROR(__xludf.DUMMYFUNCTION("""COMPUTED_VALUE"""),870913.0)</f>
        <v>870913</v>
      </c>
      <c r="C1255" s="14" t="str">
        <f>IFERROR(__xludf.DUMMYFUNCTION("""COMPUTED_VALUE"""),"陳宥廷")</f>
        <v>陳宥廷</v>
      </c>
      <c r="D1255" s="16" t="str">
        <f>IFERROR(__xludf.DUMMYFUNCTION("""COMPUTED_VALUE"""),"tyc*****90@mail.edu.tw")</f>
        <v>tyc*****90@mail.edu.tw</v>
      </c>
      <c r="E1255" s="17" t="str">
        <f>IFERROR(__xludf.DUMMYFUNCTION("""COMPUTED_VALUE"""),"桃園市平鎮區忠貞國民小學")</f>
        <v>桃園市平鎮區忠貞國民小學</v>
      </c>
      <c r="F1255" s="14" t="str">
        <f>IFERROR(__xludf.DUMMYFUNCTION("""COMPUTED_VALUE"""),"六年級")</f>
        <v>六年級</v>
      </c>
      <c r="G1255" s="14" t="str">
        <f>IFERROR(__xludf.DUMMYFUNCTION("""COMPUTED_VALUE"""),"獎狀")</f>
        <v>獎狀</v>
      </c>
      <c r="H1255" s="8"/>
    </row>
    <row r="1256">
      <c r="A1256" s="18"/>
      <c r="B1256" s="14">
        <f>IFERROR(__xludf.DUMMYFUNCTION("""COMPUTED_VALUE"""),608094.0)</f>
        <v>608094</v>
      </c>
      <c r="C1256" s="14" t="str">
        <f>IFERROR(__xludf.DUMMYFUNCTION("""COMPUTED_VALUE"""),"陳偉祥")</f>
        <v>陳偉祥</v>
      </c>
      <c r="D1256" s="16" t="str">
        <f>IFERROR(__xludf.DUMMYFUNCTION("""COMPUTED_VALUE"""),"luk*****mail.edu.tw")</f>
        <v>luk*****mail.edu.tw</v>
      </c>
      <c r="E1256" s="17" t="str">
        <f>IFERROR(__xludf.DUMMYFUNCTION("""COMPUTED_VALUE"""),"桃園市平鎮區忠貞國民小學")</f>
        <v>桃園市平鎮區忠貞國民小學</v>
      </c>
      <c r="F1256" s="14" t="str">
        <f>IFERROR(__xludf.DUMMYFUNCTION("""COMPUTED_VALUE"""),"六年級")</f>
        <v>六年級</v>
      </c>
      <c r="G1256" s="14" t="str">
        <f>IFERROR(__xludf.DUMMYFUNCTION("""COMPUTED_VALUE"""),"獎狀")</f>
        <v>獎狀</v>
      </c>
      <c r="H1256" s="8"/>
    </row>
    <row r="1257">
      <c r="A1257" s="18"/>
      <c r="B1257" s="14">
        <f>IFERROR(__xludf.DUMMYFUNCTION("""COMPUTED_VALUE"""),845616.0)</f>
        <v>845616</v>
      </c>
      <c r="C1257" s="14" t="str">
        <f>IFERROR(__xludf.DUMMYFUNCTION("""COMPUTED_VALUE"""),"黃禹翔")</f>
        <v>黃禹翔</v>
      </c>
      <c r="D1257" s="16" t="str">
        <f>IFERROR(__xludf.DUMMYFUNCTION("""COMPUTED_VALUE"""),"tyc*****29@mail.edu.tw")</f>
        <v>tyc*****29@mail.edu.tw</v>
      </c>
      <c r="E1257" s="17" t="str">
        <f>IFERROR(__xludf.DUMMYFUNCTION("""COMPUTED_VALUE"""),"桃園市平鎮區忠貞國民小學")</f>
        <v>桃園市平鎮區忠貞國民小學</v>
      </c>
      <c r="F1257" s="14" t="str">
        <f>IFERROR(__xludf.DUMMYFUNCTION("""COMPUTED_VALUE"""),"六年級")</f>
        <v>六年級</v>
      </c>
      <c r="G1257" s="14" t="str">
        <f>IFERROR(__xludf.DUMMYFUNCTION("""COMPUTED_VALUE"""),"★禮券$200")</f>
        <v>★禮券$200</v>
      </c>
      <c r="H1257" s="8"/>
    </row>
    <row r="1258">
      <c r="A1258" s="18"/>
      <c r="B1258" s="14">
        <f>IFERROR(__xludf.DUMMYFUNCTION("""COMPUTED_VALUE"""),632303.0)</f>
        <v>632303</v>
      </c>
      <c r="C1258" s="14" t="str">
        <f>IFERROR(__xludf.DUMMYFUNCTION("""COMPUTED_VALUE"""),"莊峻睿")</f>
        <v>莊峻睿</v>
      </c>
      <c r="D1258" s="16" t="str">
        <f>IFERROR(__xludf.DUMMYFUNCTION("""COMPUTED_VALUE"""),"a15*****36@mail.edu.tw")</f>
        <v>a15*****36@mail.edu.tw</v>
      </c>
      <c r="E1258" s="17" t="str">
        <f>IFERROR(__xludf.DUMMYFUNCTION("""COMPUTED_VALUE"""),"桃園市平鎮區忠貞國民小學")</f>
        <v>桃園市平鎮區忠貞國民小學</v>
      </c>
      <c r="F1258" s="14" t="str">
        <f>IFERROR(__xludf.DUMMYFUNCTION("""COMPUTED_VALUE"""),"六年級")</f>
        <v>六年級</v>
      </c>
      <c r="G1258" s="14" t="str">
        <f>IFERROR(__xludf.DUMMYFUNCTION("""COMPUTED_VALUE"""),"獎狀")</f>
        <v>獎狀</v>
      </c>
      <c r="H1258" s="8"/>
    </row>
    <row r="1259">
      <c r="A1259" s="18"/>
      <c r="B1259" s="14">
        <f>IFERROR(__xludf.DUMMYFUNCTION("""COMPUTED_VALUE"""),843243.0)</f>
        <v>843243</v>
      </c>
      <c r="C1259" s="14" t="str">
        <f>IFERROR(__xludf.DUMMYFUNCTION("""COMPUTED_VALUE"""),"何紹揚")</f>
        <v>何紹揚</v>
      </c>
      <c r="D1259" s="16" t="str">
        <f>IFERROR(__xludf.DUMMYFUNCTION("""COMPUTED_VALUE"""),"s10*****mail.edu.tw")</f>
        <v>s10*****mail.edu.tw</v>
      </c>
      <c r="E1259" s="17" t="str">
        <f>IFERROR(__xludf.DUMMYFUNCTION("""COMPUTED_VALUE"""),"桃園市平鎮區忠貞國民小學")</f>
        <v>桃園市平鎮區忠貞國民小學</v>
      </c>
      <c r="F1259" s="14" t="str">
        <f>IFERROR(__xludf.DUMMYFUNCTION("""COMPUTED_VALUE"""),"六年級")</f>
        <v>六年級</v>
      </c>
      <c r="G1259" s="14" t="str">
        <f>IFERROR(__xludf.DUMMYFUNCTION("""COMPUTED_VALUE"""),"●小禮物")</f>
        <v>●小禮物</v>
      </c>
      <c r="H1259" s="8"/>
    </row>
    <row r="1260">
      <c r="A1260" s="18"/>
      <c r="B1260" s="14">
        <f>IFERROR(__xludf.DUMMYFUNCTION("""COMPUTED_VALUE"""),843246.0)</f>
        <v>843246</v>
      </c>
      <c r="C1260" s="14" t="str">
        <f>IFERROR(__xludf.DUMMYFUNCTION("""COMPUTED_VALUE"""),"吳嘉倩")</f>
        <v>吳嘉倩</v>
      </c>
      <c r="D1260" s="16" t="str">
        <f>IFERROR(__xludf.DUMMYFUNCTION("""COMPUTED_VALUE"""),"tyc*****0@mail.edu.tw")</f>
        <v>tyc*****0@mail.edu.tw</v>
      </c>
      <c r="E1260" s="17" t="str">
        <f>IFERROR(__xludf.DUMMYFUNCTION("""COMPUTED_VALUE"""),"桃園市平鎮區忠貞國民小學")</f>
        <v>桃園市平鎮區忠貞國民小學</v>
      </c>
      <c r="F1260" s="14" t="str">
        <f>IFERROR(__xludf.DUMMYFUNCTION("""COMPUTED_VALUE"""),"六年級")</f>
        <v>六年級</v>
      </c>
      <c r="G1260" s="14" t="str">
        <f>IFERROR(__xludf.DUMMYFUNCTION("""COMPUTED_VALUE"""),"★禮券$500")</f>
        <v>★禮券$500</v>
      </c>
      <c r="H1260" s="8"/>
    </row>
    <row r="1261">
      <c r="A1261" s="18"/>
      <c r="B1261" s="14">
        <f>IFERROR(__xludf.DUMMYFUNCTION("""COMPUTED_VALUE"""),843241.0)</f>
        <v>843241</v>
      </c>
      <c r="C1261" s="14" t="str">
        <f>IFERROR(__xludf.DUMMYFUNCTION("""COMPUTED_VALUE"""),"王品涵")</f>
        <v>王品涵</v>
      </c>
      <c r="D1261" s="16" t="str">
        <f>IFERROR(__xludf.DUMMYFUNCTION("""COMPUTED_VALUE"""),"tyc*****27@mail.edu.tw")</f>
        <v>tyc*****27@mail.edu.tw</v>
      </c>
      <c r="E1261" s="17" t="str">
        <f>IFERROR(__xludf.DUMMYFUNCTION("""COMPUTED_VALUE"""),"桃園市平鎮區忠貞國民小學")</f>
        <v>桃園市平鎮區忠貞國民小學</v>
      </c>
      <c r="F1261" s="14" t="str">
        <f>IFERROR(__xludf.DUMMYFUNCTION("""COMPUTED_VALUE"""),"六年級")</f>
        <v>六年級</v>
      </c>
      <c r="G1261" s="14" t="str">
        <f>IFERROR(__xludf.DUMMYFUNCTION("""COMPUTED_VALUE"""),"獎狀")</f>
        <v>獎狀</v>
      </c>
      <c r="H1261" s="8"/>
    </row>
    <row r="1262">
      <c r="A1262" s="18"/>
      <c r="B1262" s="14">
        <f>IFERROR(__xludf.DUMMYFUNCTION("""COMPUTED_VALUE"""),843248.0)</f>
        <v>843248</v>
      </c>
      <c r="C1262" s="14" t="str">
        <f>IFERROR(__xludf.DUMMYFUNCTION("""COMPUTED_VALUE"""),"余映玥")</f>
        <v>余映玥</v>
      </c>
      <c r="D1262" s="16" t="str">
        <f>IFERROR(__xludf.DUMMYFUNCTION("""COMPUTED_VALUE"""),"tyc*****32@mail.edu.tw")</f>
        <v>tyc*****32@mail.edu.tw</v>
      </c>
      <c r="E1262" s="17" t="str">
        <f>IFERROR(__xludf.DUMMYFUNCTION("""COMPUTED_VALUE"""),"桃園市平鎮區忠貞國民小學")</f>
        <v>桃園市平鎮區忠貞國民小學</v>
      </c>
      <c r="F1262" s="14" t="str">
        <f>IFERROR(__xludf.DUMMYFUNCTION("""COMPUTED_VALUE"""),"六年級")</f>
        <v>六年級</v>
      </c>
      <c r="G1262" s="14" t="str">
        <f>IFERROR(__xludf.DUMMYFUNCTION("""COMPUTED_VALUE"""),"獎狀")</f>
        <v>獎狀</v>
      </c>
      <c r="H1262" s="8"/>
    </row>
    <row r="1263">
      <c r="A1263" s="18"/>
      <c r="B1263" s="14">
        <f>IFERROR(__xludf.DUMMYFUNCTION("""COMPUTED_VALUE"""),843240.0)</f>
        <v>843240</v>
      </c>
      <c r="C1263" s="14" t="str">
        <f>IFERROR(__xludf.DUMMYFUNCTION("""COMPUTED_VALUE"""),"邱品承")</f>
        <v>邱品承</v>
      </c>
      <c r="D1263" s="16" t="str">
        <f>IFERROR(__xludf.DUMMYFUNCTION("""COMPUTED_VALUE"""),"vbj*****ail.edu.tw")</f>
        <v>vbj*****ail.edu.tw</v>
      </c>
      <c r="E1263" s="17" t="str">
        <f>IFERROR(__xludf.DUMMYFUNCTION("""COMPUTED_VALUE"""),"桃園市平鎮區忠貞國民小學")</f>
        <v>桃園市平鎮區忠貞國民小學</v>
      </c>
      <c r="F1263" s="14" t="str">
        <f>IFERROR(__xludf.DUMMYFUNCTION("""COMPUTED_VALUE"""),"六年級")</f>
        <v>六年級</v>
      </c>
      <c r="G1263" s="14" t="str">
        <f>IFERROR(__xludf.DUMMYFUNCTION("""COMPUTED_VALUE"""),"獎狀")</f>
        <v>獎狀</v>
      </c>
      <c r="H1263" s="8"/>
    </row>
    <row r="1264">
      <c r="A1264" s="18"/>
      <c r="B1264" s="14">
        <f>IFERROR(__xludf.DUMMYFUNCTION("""COMPUTED_VALUE"""),884017.0)</f>
        <v>884017</v>
      </c>
      <c r="C1264" s="14" t="str">
        <f>IFERROR(__xludf.DUMMYFUNCTION("""COMPUTED_VALUE"""),"張庭硯")</f>
        <v>張庭硯</v>
      </c>
      <c r="D1264" s="16" t="str">
        <f>IFERROR(__xludf.DUMMYFUNCTION("""COMPUTED_VALUE"""),"a99*****mail.edu.tw")</f>
        <v>a99*****mail.edu.tw</v>
      </c>
      <c r="E1264" s="17" t="str">
        <f>IFERROR(__xludf.DUMMYFUNCTION("""COMPUTED_VALUE"""),"桃園市平鎮區忠貞國民小學")</f>
        <v>桃園市平鎮區忠貞國民小學</v>
      </c>
      <c r="F1264" s="14" t="str">
        <f>IFERROR(__xludf.DUMMYFUNCTION("""COMPUTED_VALUE"""),"六年級")</f>
        <v>六年級</v>
      </c>
      <c r="G1264" s="14" t="str">
        <f>IFERROR(__xludf.DUMMYFUNCTION("""COMPUTED_VALUE"""),"●小禮物")</f>
        <v>●小禮物</v>
      </c>
      <c r="H1264" s="8"/>
    </row>
    <row r="1265">
      <c r="A1265" s="18"/>
      <c r="B1265" s="14">
        <f>IFERROR(__xludf.DUMMYFUNCTION("""COMPUTED_VALUE"""),797414.0)</f>
        <v>797414</v>
      </c>
      <c r="C1265" s="14" t="str">
        <f>IFERROR(__xludf.DUMMYFUNCTION("""COMPUTED_VALUE"""),"陳婕寧")</f>
        <v>陳婕寧</v>
      </c>
      <c r="D1265" s="16" t="str">
        <f>IFERROR(__xludf.DUMMYFUNCTION("""COMPUTED_VALUE"""),"a99*****mail.edu.tw")</f>
        <v>a99*****mail.edu.tw</v>
      </c>
      <c r="E1265" s="17" t="str">
        <f>IFERROR(__xludf.DUMMYFUNCTION("""COMPUTED_VALUE"""),"桃園市平鎮區忠貞國民小學")</f>
        <v>桃園市平鎮區忠貞國民小學</v>
      </c>
      <c r="F1265" s="14" t="str">
        <f>IFERROR(__xludf.DUMMYFUNCTION("""COMPUTED_VALUE"""),"六年級")</f>
        <v>六年級</v>
      </c>
      <c r="G1265" s="14" t="str">
        <f>IFERROR(__xludf.DUMMYFUNCTION("""COMPUTED_VALUE"""),"●小禮物")</f>
        <v>●小禮物</v>
      </c>
      <c r="H1265" s="8"/>
    </row>
    <row r="1266">
      <c r="A1266" s="18"/>
      <c r="B1266" s="14">
        <f>IFERROR(__xludf.DUMMYFUNCTION("""COMPUTED_VALUE"""),612345.0)</f>
        <v>612345</v>
      </c>
      <c r="C1266" s="14" t="str">
        <f>IFERROR(__xludf.DUMMYFUNCTION("""COMPUTED_VALUE"""),"向識安")</f>
        <v>向識安</v>
      </c>
      <c r="D1266" s="16" t="str">
        <f>IFERROR(__xludf.DUMMYFUNCTION("""COMPUTED_VALUE"""),"all*****0@mail.edu.tw")</f>
        <v>all*****0@mail.edu.tw</v>
      </c>
      <c r="E1266" s="17" t="str">
        <f>IFERROR(__xludf.DUMMYFUNCTION("""COMPUTED_VALUE"""),"桃園市平鎮區忠貞國民小學")</f>
        <v>桃園市平鎮區忠貞國民小學</v>
      </c>
      <c r="F1266" s="14" t="str">
        <f>IFERROR(__xludf.DUMMYFUNCTION("""COMPUTED_VALUE"""),"六年級")</f>
        <v>六年級</v>
      </c>
      <c r="G1266" s="14" t="str">
        <f>IFERROR(__xludf.DUMMYFUNCTION("""COMPUTED_VALUE"""),"獎狀")</f>
        <v>獎狀</v>
      </c>
      <c r="H1266" s="8"/>
    </row>
    <row r="1267">
      <c r="A1267" s="18"/>
      <c r="B1267" s="14">
        <f>IFERROR(__xludf.DUMMYFUNCTION("""COMPUTED_VALUE"""),612632.0)</f>
        <v>612632</v>
      </c>
      <c r="C1267" s="14" t="str">
        <f>IFERROR(__xludf.DUMMYFUNCTION("""COMPUTED_VALUE"""),"余泰甫")</f>
        <v>余泰甫</v>
      </c>
      <c r="D1267" s="16" t="str">
        <f>IFERROR(__xludf.DUMMYFUNCTION("""COMPUTED_VALUE"""),"tyc*****65@mail.edu.tw")</f>
        <v>tyc*****65@mail.edu.tw</v>
      </c>
      <c r="E1267" s="17" t="str">
        <f>IFERROR(__xludf.DUMMYFUNCTION("""COMPUTED_VALUE"""),"桃園市平鎮區忠貞國民小學")</f>
        <v>桃園市平鎮區忠貞國民小學</v>
      </c>
      <c r="F1267" s="14" t="str">
        <f>IFERROR(__xludf.DUMMYFUNCTION("""COMPUTED_VALUE"""),"六年級")</f>
        <v>六年級</v>
      </c>
      <c r="G1267" s="14" t="str">
        <f>IFERROR(__xludf.DUMMYFUNCTION("""COMPUTED_VALUE"""),"獎狀")</f>
        <v>獎狀</v>
      </c>
      <c r="H1267" s="8"/>
    </row>
    <row r="1268">
      <c r="A1268" s="18"/>
      <c r="B1268" s="14">
        <f>IFERROR(__xludf.DUMMYFUNCTION("""COMPUTED_VALUE"""),608331.0)</f>
        <v>608331</v>
      </c>
      <c r="C1268" s="14" t="str">
        <f>IFERROR(__xludf.DUMMYFUNCTION("""COMPUTED_VALUE"""),"許家硯")</f>
        <v>許家硯</v>
      </c>
      <c r="D1268" s="16" t="str">
        <f>IFERROR(__xludf.DUMMYFUNCTION("""COMPUTED_VALUE"""),"a10*****mail.edu.tw")</f>
        <v>a10*****mail.edu.tw</v>
      </c>
      <c r="E1268" s="17" t="str">
        <f>IFERROR(__xludf.DUMMYFUNCTION("""COMPUTED_VALUE"""),"桃園市平鎮區忠貞國民小學")</f>
        <v>桃園市平鎮區忠貞國民小學</v>
      </c>
      <c r="F1268" s="14" t="str">
        <f>IFERROR(__xludf.DUMMYFUNCTION("""COMPUTED_VALUE"""),"六年級")</f>
        <v>六年級</v>
      </c>
      <c r="G1268" s="14" t="str">
        <f>IFERROR(__xludf.DUMMYFUNCTION("""COMPUTED_VALUE"""),"獎狀")</f>
        <v>獎狀</v>
      </c>
      <c r="H1268" s="8"/>
    </row>
    <row r="1269">
      <c r="A1269" s="18"/>
      <c r="B1269" s="14">
        <f>IFERROR(__xludf.DUMMYFUNCTION("""COMPUTED_VALUE"""),797645.0)</f>
        <v>797645</v>
      </c>
      <c r="C1269" s="14" t="str">
        <f>IFERROR(__xludf.DUMMYFUNCTION("""COMPUTED_VALUE"""),"黄宥維")</f>
        <v>黄宥維</v>
      </c>
      <c r="D1269" s="16" t="str">
        <f>IFERROR(__xludf.DUMMYFUNCTION("""COMPUTED_VALUE"""),"way*****00903@mail.edu.tw")</f>
        <v>way*****00903@mail.edu.tw</v>
      </c>
      <c r="E1269" s="17" t="str">
        <f>IFERROR(__xludf.DUMMYFUNCTION("""COMPUTED_VALUE"""),"桃園市平鎮區忠貞國民小學")</f>
        <v>桃園市平鎮區忠貞國民小學</v>
      </c>
      <c r="F1269" s="14" t="str">
        <f>IFERROR(__xludf.DUMMYFUNCTION("""COMPUTED_VALUE"""),"六年級")</f>
        <v>六年級</v>
      </c>
      <c r="G1269" s="14" t="str">
        <f>IFERROR(__xludf.DUMMYFUNCTION("""COMPUTED_VALUE"""),"獎狀")</f>
        <v>獎狀</v>
      </c>
      <c r="H1269" s="8"/>
    </row>
    <row r="1270">
      <c r="A1270" s="18"/>
      <c r="B1270" s="14">
        <f>IFERROR(__xludf.DUMMYFUNCTION("""COMPUTED_VALUE"""),877340.0)</f>
        <v>877340</v>
      </c>
      <c r="C1270" s="14" t="str">
        <f>IFERROR(__xludf.DUMMYFUNCTION("""COMPUTED_VALUE"""),"劉紫妮")</f>
        <v>劉紫妮</v>
      </c>
      <c r="D1270" s="16" t="str">
        <f>IFERROR(__xludf.DUMMYFUNCTION("""COMPUTED_VALUE"""),"a10*****mail.edu.tw")</f>
        <v>a10*****mail.edu.tw</v>
      </c>
      <c r="E1270" s="17" t="str">
        <f>IFERROR(__xludf.DUMMYFUNCTION("""COMPUTED_VALUE"""),"桃園市平鎮區忠貞國民小學")</f>
        <v>桃園市平鎮區忠貞國民小學</v>
      </c>
      <c r="F1270" s="14" t="str">
        <f>IFERROR(__xludf.DUMMYFUNCTION("""COMPUTED_VALUE"""),"六年級")</f>
        <v>六年級</v>
      </c>
      <c r="G1270" s="14" t="str">
        <f>IFERROR(__xludf.DUMMYFUNCTION("""COMPUTED_VALUE"""),"獎狀")</f>
        <v>獎狀</v>
      </c>
      <c r="H1270" s="8"/>
    </row>
    <row r="1271">
      <c r="A1271" s="18"/>
      <c r="B1271" s="14">
        <f>IFERROR(__xludf.DUMMYFUNCTION("""COMPUTED_VALUE"""),614994.0)</f>
        <v>614994</v>
      </c>
      <c r="C1271" s="14" t="str">
        <f>IFERROR(__xludf.DUMMYFUNCTION("""COMPUTED_VALUE"""),"李瑀庭")</f>
        <v>李瑀庭</v>
      </c>
      <c r="D1271" s="16" t="str">
        <f>IFERROR(__xludf.DUMMYFUNCTION("""COMPUTED_VALUE"""),"tif*****90929@mail.edu.tw")</f>
        <v>tif*****90929@mail.edu.tw</v>
      </c>
      <c r="E1271" s="17" t="str">
        <f>IFERROR(__xludf.DUMMYFUNCTION("""COMPUTED_VALUE"""),"桃園市平鎮區忠貞國民小學")</f>
        <v>桃園市平鎮區忠貞國民小學</v>
      </c>
      <c r="F1271" s="14" t="str">
        <f>IFERROR(__xludf.DUMMYFUNCTION("""COMPUTED_VALUE"""),"六年級")</f>
        <v>六年級</v>
      </c>
      <c r="G1271" s="14" t="str">
        <f>IFERROR(__xludf.DUMMYFUNCTION("""COMPUTED_VALUE"""),"●小禮物")</f>
        <v>●小禮物</v>
      </c>
      <c r="H1271" s="8"/>
    </row>
    <row r="1272">
      <c r="A1272" s="18"/>
      <c r="B1272" s="14">
        <f>IFERROR(__xludf.DUMMYFUNCTION("""COMPUTED_VALUE"""),613916.0)</f>
        <v>613916</v>
      </c>
      <c r="C1272" s="14" t="str">
        <f>IFERROR(__xludf.DUMMYFUNCTION("""COMPUTED_VALUE"""),"呂其恩")</f>
        <v>呂其恩</v>
      </c>
      <c r="D1272" s="16" t="str">
        <f>IFERROR(__xludf.DUMMYFUNCTION("""COMPUTED_VALUE"""),"a10*****mail.edu.tw")</f>
        <v>a10*****mail.edu.tw</v>
      </c>
      <c r="E1272" s="17" t="str">
        <f>IFERROR(__xludf.DUMMYFUNCTION("""COMPUTED_VALUE"""),"桃園市平鎮區忠貞國民小學")</f>
        <v>桃園市平鎮區忠貞國民小學</v>
      </c>
      <c r="F1272" s="14" t="str">
        <f>IFERROR(__xludf.DUMMYFUNCTION("""COMPUTED_VALUE"""),"六年級")</f>
        <v>六年級</v>
      </c>
      <c r="G1272" s="14" t="str">
        <f>IFERROR(__xludf.DUMMYFUNCTION("""COMPUTED_VALUE"""),"獎狀")</f>
        <v>獎狀</v>
      </c>
      <c r="H1272" s="8"/>
    </row>
    <row r="1273">
      <c r="A1273" s="18"/>
      <c r="B1273" s="14">
        <f>IFERROR(__xludf.DUMMYFUNCTION("""COMPUTED_VALUE"""),844700.0)</f>
        <v>844700</v>
      </c>
      <c r="C1273" s="14" t="str">
        <f>IFERROR(__xludf.DUMMYFUNCTION("""COMPUTED_VALUE"""),"李品萱")</f>
        <v>李品萱</v>
      </c>
      <c r="D1273" s="16" t="str">
        <f>IFERROR(__xludf.DUMMYFUNCTION("""COMPUTED_VALUE"""),"a99*****mail.edu.tw")</f>
        <v>a99*****mail.edu.tw</v>
      </c>
      <c r="E1273" s="17" t="str">
        <f>IFERROR(__xludf.DUMMYFUNCTION("""COMPUTED_VALUE"""),"桃園市平鎮區忠貞國民小學")</f>
        <v>桃園市平鎮區忠貞國民小學</v>
      </c>
      <c r="F1273" s="14" t="str">
        <f>IFERROR(__xludf.DUMMYFUNCTION("""COMPUTED_VALUE"""),"六年級")</f>
        <v>六年級</v>
      </c>
      <c r="G1273" s="14" t="str">
        <f>IFERROR(__xludf.DUMMYFUNCTION("""COMPUTED_VALUE"""),"獎狀")</f>
        <v>獎狀</v>
      </c>
      <c r="H1273" s="8"/>
    </row>
    <row r="1274">
      <c r="A1274" s="18"/>
      <c r="B1274" s="14">
        <f>IFERROR(__xludf.DUMMYFUNCTION("""COMPUTED_VALUE"""),753120.0)</f>
        <v>753120</v>
      </c>
      <c r="C1274" s="14" t="str">
        <f>IFERROR(__xludf.DUMMYFUNCTION("""COMPUTED_VALUE"""),"林頌恩")</f>
        <v>林頌恩</v>
      </c>
      <c r="D1274" s="16" t="str">
        <f>IFERROR(__xludf.DUMMYFUNCTION("""COMPUTED_VALUE"""),"tyc*****92@mail.edu.tw")</f>
        <v>tyc*****92@mail.edu.tw</v>
      </c>
      <c r="E1274" s="17" t="str">
        <f>IFERROR(__xludf.DUMMYFUNCTION("""COMPUTED_VALUE"""),"桃園市平鎮區忠貞國民小學")</f>
        <v>桃園市平鎮區忠貞國民小學</v>
      </c>
      <c r="F1274" s="14" t="str">
        <f>IFERROR(__xludf.DUMMYFUNCTION("""COMPUTED_VALUE"""),"六年級")</f>
        <v>六年級</v>
      </c>
      <c r="G1274" s="14" t="str">
        <f>IFERROR(__xludf.DUMMYFUNCTION("""COMPUTED_VALUE"""),"獎狀")</f>
        <v>獎狀</v>
      </c>
      <c r="H1274" s="8"/>
    </row>
    <row r="1275">
      <c r="A1275" s="18"/>
      <c r="B1275" s="14">
        <f>IFERROR(__xludf.DUMMYFUNCTION("""COMPUTED_VALUE"""),844725.0)</f>
        <v>844725</v>
      </c>
      <c r="C1275" s="14" t="str">
        <f>IFERROR(__xludf.DUMMYFUNCTION("""COMPUTED_VALUE"""),"費郁涵")</f>
        <v>費郁涵</v>
      </c>
      <c r="D1275" s="16" t="str">
        <f>IFERROR(__xludf.DUMMYFUNCTION("""COMPUTED_VALUE"""),"jud*****3@mail.edu.tw")</f>
        <v>jud*****3@mail.edu.tw</v>
      </c>
      <c r="E1275" s="17" t="str">
        <f>IFERROR(__xludf.DUMMYFUNCTION("""COMPUTED_VALUE"""),"桃園市平鎮區忠貞國民小學")</f>
        <v>桃園市平鎮區忠貞國民小學</v>
      </c>
      <c r="F1275" s="14" t="str">
        <f>IFERROR(__xludf.DUMMYFUNCTION("""COMPUTED_VALUE"""),"六年級")</f>
        <v>六年級</v>
      </c>
      <c r="G1275" s="14" t="str">
        <f>IFERROR(__xludf.DUMMYFUNCTION("""COMPUTED_VALUE"""),"獎狀")</f>
        <v>獎狀</v>
      </c>
      <c r="H1275" s="8"/>
    </row>
    <row r="1276">
      <c r="A1276" s="18"/>
      <c r="B1276" s="14">
        <f>IFERROR(__xludf.DUMMYFUNCTION("""COMPUTED_VALUE"""),844228.0)</f>
        <v>844228</v>
      </c>
      <c r="C1276" s="14" t="str">
        <f>IFERROR(__xludf.DUMMYFUNCTION("""COMPUTED_VALUE"""),"張宇芳")</f>
        <v>張宇芳</v>
      </c>
      <c r="D1276" s="16" t="str">
        <f>IFERROR(__xludf.DUMMYFUNCTION("""COMPUTED_VALUE"""),"tyc*****41@mail.edu.tw")</f>
        <v>tyc*****41@mail.edu.tw</v>
      </c>
      <c r="E1276" s="17" t="str">
        <f>IFERROR(__xludf.DUMMYFUNCTION("""COMPUTED_VALUE"""),"桃園市平鎮區忠貞國民小學")</f>
        <v>桃園市平鎮區忠貞國民小學</v>
      </c>
      <c r="F1276" s="14" t="str">
        <f>IFERROR(__xludf.DUMMYFUNCTION("""COMPUTED_VALUE"""),"六年級")</f>
        <v>六年級</v>
      </c>
      <c r="G1276" s="14" t="str">
        <f>IFERROR(__xludf.DUMMYFUNCTION("""COMPUTED_VALUE"""),"獎狀")</f>
        <v>獎狀</v>
      </c>
      <c r="H1276" s="8"/>
    </row>
    <row r="1277">
      <c r="A1277" s="18"/>
      <c r="B1277" s="14">
        <f>IFERROR(__xludf.DUMMYFUNCTION("""COMPUTED_VALUE"""),608363.0)</f>
        <v>608363</v>
      </c>
      <c r="C1277" s="14" t="str">
        <f>IFERROR(__xludf.DUMMYFUNCTION("""COMPUTED_VALUE"""),"謝慧心")</f>
        <v>謝慧心</v>
      </c>
      <c r="D1277" s="16" t="str">
        <f>IFERROR(__xludf.DUMMYFUNCTION("""COMPUTED_VALUE"""),"a99*****mail.edu.tw")</f>
        <v>a99*****mail.edu.tw</v>
      </c>
      <c r="E1277" s="17" t="str">
        <f>IFERROR(__xludf.DUMMYFUNCTION("""COMPUTED_VALUE"""),"桃園市平鎮區忠貞國民小學")</f>
        <v>桃園市平鎮區忠貞國民小學</v>
      </c>
      <c r="F1277" s="14" t="str">
        <f>IFERROR(__xludf.DUMMYFUNCTION("""COMPUTED_VALUE"""),"六年級")</f>
        <v>六年級</v>
      </c>
      <c r="G1277" s="14" t="str">
        <f>IFERROR(__xludf.DUMMYFUNCTION("""COMPUTED_VALUE"""),"獎狀")</f>
        <v>獎狀</v>
      </c>
      <c r="H1277" s="8"/>
    </row>
    <row r="1278">
      <c r="A1278" s="18"/>
      <c r="B1278" s="14">
        <f>IFERROR(__xludf.DUMMYFUNCTION("""COMPUTED_VALUE"""),613868.0)</f>
        <v>613868</v>
      </c>
      <c r="C1278" s="14" t="str">
        <f>IFERROR(__xludf.DUMMYFUNCTION("""COMPUTED_VALUE"""),"謝馥竹")</f>
        <v>謝馥竹</v>
      </c>
      <c r="D1278" s="16" t="str">
        <f>IFERROR(__xludf.DUMMYFUNCTION("""COMPUTED_VALUE"""),"lal*****@mail.edu.tw")</f>
        <v>lal*****@mail.edu.tw</v>
      </c>
      <c r="E1278" s="17" t="str">
        <f>IFERROR(__xludf.DUMMYFUNCTION("""COMPUTED_VALUE"""),"桃園市平鎮區忠貞國民小學")</f>
        <v>桃園市平鎮區忠貞國民小學</v>
      </c>
      <c r="F1278" s="14" t="str">
        <f>IFERROR(__xludf.DUMMYFUNCTION("""COMPUTED_VALUE"""),"六年級")</f>
        <v>六年級</v>
      </c>
      <c r="G1278" s="14" t="str">
        <f>IFERROR(__xludf.DUMMYFUNCTION("""COMPUTED_VALUE"""),"獎狀")</f>
        <v>獎狀</v>
      </c>
      <c r="H1278" s="8"/>
    </row>
    <row r="1279">
      <c r="A1279" s="18"/>
      <c r="B1279" s="14">
        <f>IFERROR(__xludf.DUMMYFUNCTION("""COMPUTED_VALUE"""),754943.0)</f>
        <v>754943</v>
      </c>
      <c r="C1279" s="14" t="str">
        <f>IFERROR(__xludf.DUMMYFUNCTION("""COMPUTED_VALUE"""),"陳享裕")</f>
        <v>陳享裕</v>
      </c>
      <c r="D1279" s="16" t="str">
        <f>IFERROR(__xludf.DUMMYFUNCTION("""COMPUTED_VALUE"""),"tyc*****25@mail.edu.tw")</f>
        <v>tyc*****25@mail.edu.tw</v>
      </c>
      <c r="E1279" s="17" t="str">
        <f>IFERROR(__xludf.DUMMYFUNCTION("""COMPUTED_VALUE"""),"桃園市平鎮區忠貞國民小學")</f>
        <v>桃園市平鎮區忠貞國民小學</v>
      </c>
      <c r="F1279" s="14" t="str">
        <f>IFERROR(__xludf.DUMMYFUNCTION("""COMPUTED_VALUE"""),"六年級")</f>
        <v>六年級</v>
      </c>
      <c r="G1279" s="14" t="str">
        <f>IFERROR(__xludf.DUMMYFUNCTION("""COMPUTED_VALUE"""),"●小禮物")</f>
        <v>●小禮物</v>
      </c>
      <c r="H1279" s="8"/>
    </row>
    <row r="1280">
      <c r="A1280" s="18"/>
      <c r="B1280" s="14">
        <f>IFERROR(__xludf.DUMMYFUNCTION("""COMPUTED_VALUE"""),678243.0)</f>
        <v>678243</v>
      </c>
      <c r="C1280" s="14" t="str">
        <f>IFERROR(__xludf.DUMMYFUNCTION("""COMPUTED_VALUE"""),"劉芯霓")</f>
        <v>劉芯霓</v>
      </c>
      <c r="D1280" s="16" t="str">
        <f>IFERROR(__xludf.DUMMYFUNCTION("""COMPUTED_VALUE"""),"ice*****0920@mail.edu.tw")</f>
        <v>ice*****0920@mail.edu.tw</v>
      </c>
      <c r="E1280" s="17" t="str">
        <f>IFERROR(__xludf.DUMMYFUNCTION("""COMPUTED_VALUE"""),"桃園市平鎮區忠貞國民小學")</f>
        <v>桃園市平鎮區忠貞國民小學</v>
      </c>
      <c r="F1280" s="14" t="str">
        <f>IFERROR(__xludf.DUMMYFUNCTION("""COMPUTED_VALUE"""),"六年級")</f>
        <v>六年級</v>
      </c>
      <c r="G1280" s="14" t="str">
        <f>IFERROR(__xludf.DUMMYFUNCTION("""COMPUTED_VALUE"""),"●小禮物")</f>
        <v>●小禮物</v>
      </c>
      <c r="H1280" s="8"/>
    </row>
    <row r="1281">
      <c r="A1281" s="18"/>
      <c r="B1281" s="14">
        <f>IFERROR(__xludf.DUMMYFUNCTION("""COMPUTED_VALUE"""),614663.0)</f>
        <v>614663</v>
      </c>
      <c r="C1281" s="14" t="str">
        <f>IFERROR(__xludf.DUMMYFUNCTION("""COMPUTED_VALUE"""),"馬靖幃")</f>
        <v>馬靖幃</v>
      </c>
      <c r="D1281" s="16" t="str">
        <f>IFERROR(__xludf.DUMMYFUNCTION("""COMPUTED_VALUE"""),"q87*****ail.edu.tw")</f>
        <v>q87*****ail.edu.tw</v>
      </c>
      <c r="E1281" s="17" t="str">
        <f>IFERROR(__xludf.DUMMYFUNCTION("""COMPUTED_VALUE"""),"桃園市平鎮區忠貞國民小學")</f>
        <v>桃園市平鎮區忠貞國民小學</v>
      </c>
      <c r="F1281" s="14" t="str">
        <f>IFERROR(__xludf.DUMMYFUNCTION("""COMPUTED_VALUE"""),"六年級")</f>
        <v>六年級</v>
      </c>
      <c r="G1281" s="14" t="str">
        <f>IFERROR(__xludf.DUMMYFUNCTION("""COMPUTED_VALUE"""),"獎狀")</f>
        <v>獎狀</v>
      </c>
      <c r="H1281" s="8"/>
    </row>
    <row r="1282">
      <c r="A1282" s="18"/>
      <c r="B1282" s="14">
        <f>IFERROR(__xludf.DUMMYFUNCTION("""COMPUTED_VALUE"""),613665.0)</f>
        <v>613665</v>
      </c>
      <c r="C1282" s="14" t="str">
        <f>IFERROR(__xludf.DUMMYFUNCTION("""COMPUTED_VALUE"""),"張靜雯")</f>
        <v>張靜雯</v>
      </c>
      <c r="D1282" s="16" t="str">
        <f>IFERROR(__xludf.DUMMYFUNCTION("""COMPUTED_VALUE"""),"wen*****27@mail.edu.tw")</f>
        <v>wen*****27@mail.edu.tw</v>
      </c>
      <c r="E1282" s="17" t="str">
        <f>IFERROR(__xludf.DUMMYFUNCTION("""COMPUTED_VALUE"""),"桃園市平鎮區忠貞國民小學")</f>
        <v>桃園市平鎮區忠貞國民小學</v>
      </c>
      <c r="F1282" s="14" t="str">
        <f>IFERROR(__xludf.DUMMYFUNCTION("""COMPUTED_VALUE"""),"六年級")</f>
        <v>六年級</v>
      </c>
      <c r="G1282" s="14" t="str">
        <f>IFERROR(__xludf.DUMMYFUNCTION("""COMPUTED_VALUE"""),"獎狀")</f>
        <v>獎狀</v>
      </c>
      <c r="H1282" s="8"/>
    </row>
    <row r="1283">
      <c r="A1283" s="18"/>
      <c r="B1283" s="14">
        <f>IFERROR(__xludf.DUMMYFUNCTION("""COMPUTED_VALUE"""),613966.0)</f>
        <v>613966</v>
      </c>
      <c r="C1283" s="14" t="str">
        <f>IFERROR(__xludf.DUMMYFUNCTION("""COMPUTED_VALUE"""),"楊苡琪")</f>
        <v>楊苡琪</v>
      </c>
      <c r="D1283" s="16" t="str">
        <f>IFERROR(__xludf.DUMMYFUNCTION("""COMPUTED_VALUE"""),"vic*****5@mail.edu.tw")</f>
        <v>vic*****5@mail.edu.tw</v>
      </c>
      <c r="E1283" s="17" t="str">
        <f>IFERROR(__xludf.DUMMYFUNCTION("""COMPUTED_VALUE"""),"桃園市平鎮區忠貞國民小學")</f>
        <v>桃園市平鎮區忠貞國民小學</v>
      </c>
      <c r="F1283" s="14" t="str">
        <f>IFERROR(__xludf.DUMMYFUNCTION("""COMPUTED_VALUE"""),"六年級")</f>
        <v>六年級</v>
      </c>
      <c r="G1283" s="14" t="str">
        <f>IFERROR(__xludf.DUMMYFUNCTION("""COMPUTED_VALUE"""),"獎狀")</f>
        <v>獎狀</v>
      </c>
      <c r="H1283" s="8"/>
    </row>
    <row r="1284">
      <c r="A1284" s="18"/>
      <c r="B1284" s="14">
        <f>IFERROR(__xludf.DUMMYFUNCTION("""COMPUTED_VALUE"""),606427.0)</f>
        <v>606427</v>
      </c>
      <c r="C1284" s="14" t="str">
        <f>IFERROR(__xludf.DUMMYFUNCTION("""COMPUTED_VALUE"""),"朱定安")</f>
        <v>朱定安</v>
      </c>
      <c r="D1284" s="16" t="str">
        <f>IFERROR(__xludf.DUMMYFUNCTION("""COMPUTED_VALUE"""),"a20*****27@mail.edu.tw")</f>
        <v>a20*****27@mail.edu.tw</v>
      </c>
      <c r="E1284" s="17" t="str">
        <f>IFERROR(__xludf.DUMMYFUNCTION("""COMPUTED_VALUE"""),"桃園市平鎮區忠貞國民小學")</f>
        <v>桃園市平鎮區忠貞國民小學</v>
      </c>
      <c r="F1284" s="14" t="str">
        <f>IFERROR(__xludf.DUMMYFUNCTION("""COMPUTED_VALUE"""),"六年級")</f>
        <v>六年級</v>
      </c>
      <c r="G1284" s="14" t="str">
        <f>IFERROR(__xludf.DUMMYFUNCTION("""COMPUTED_VALUE"""),"獎狀")</f>
        <v>獎狀</v>
      </c>
      <c r="H1284" s="8"/>
    </row>
    <row r="1285">
      <c r="A1285" s="18"/>
      <c r="B1285" s="14">
        <f>IFERROR(__xludf.DUMMYFUNCTION("""COMPUTED_VALUE"""),853215.0)</f>
        <v>853215</v>
      </c>
      <c r="C1285" s="14" t="str">
        <f>IFERROR(__xludf.DUMMYFUNCTION("""COMPUTED_VALUE"""),"邵滿惠")</f>
        <v>邵滿惠</v>
      </c>
      <c r="D1285" s="16" t="str">
        <f>IFERROR(__xludf.DUMMYFUNCTION("""COMPUTED_VALUE"""),"tyc*****52@mail.edu.tw")</f>
        <v>tyc*****52@mail.edu.tw</v>
      </c>
      <c r="E1285" s="17" t="str">
        <f>IFERROR(__xludf.DUMMYFUNCTION("""COMPUTED_VALUE"""),"桃園市平鎮區忠貞國民小學")</f>
        <v>桃園市平鎮區忠貞國民小學</v>
      </c>
      <c r="F1285" s="14" t="str">
        <f>IFERROR(__xludf.DUMMYFUNCTION("""COMPUTED_VALUE"""),"六年級")</f>
        <v>六年級</v>
      </c>
      <c r="G1285" s="14" t="str">
        <f>IFERROR(__xludf.DUMMYFUNCTION("""COMPUTED_VALUE"""),"獎狀")</f>
        <v>獎狀</v>
      </c>
      <c r="H1285" s="8"/>
    </row>
    <row r="1286">
      <c r="A1286" s="18"/>
      <c r="B1286" s="14">
        <f>IFERROR(__xludf.DUMMYFUNCTION("""COMPUTED_VALUE"""),687306.0)</f>
        <v>687306</v>
      </c>
      <c r="C1286" s="14" t="str">
        <f>IFERROR(__xludf.DUMMYFUNCTION("""COMPUTED_VALUE"""),"林洺喆")</f>
        <v>林洺喆</v>
      </c>
      <c r="D1286" s="16" t="str">
        <f>IFERROR(__xludf.DUMMYFUNCTION("""COMPUTED_VALUE"""),"tyc*****46@mail.edu.tw")</f>
        <v>tyc*****46@mail.edu.tw</v>
      </c>
      <c r="E1286" s="17" t="str">
        <f>IFERROR(__xludf.DUMMYFUNCTION("""COMPUTED_VALUE"""),"桃園市平鎮區忠貞國民小學")</f>
        <v>桃園市平鎮區忠貞國民小學</v>
      </c>
      <c r="F1286" s="14" t="str">
        <f>IFERROR(__xludf.DUMMYFUNCTION("""COMPUTED_VALUE"""),"六年級")</f>
        <v>六年級</v>
      </c>
      <c r="G1286" s="14" t="str">
        <f>IFERROR(__xludf.DUMMYFUNCTION("""COMPUTED_VALUE"""),"●小禮物")</f>
        <v>●小禮物</v>
      </c>
      <c r="H1286" s="8"/>
    </row>
    <row r="1287">
      <c r="A1287" s="18"/>
      <c r="B1287" s="14">
        <f>IFERROR(__xludf.DUMMYFUNCTION("""COMPUTED_VALUE"""),608382.0)</f>
        <v>608382</v>
      </c>
      <c r="C1287" s="14" t="str">
        <f>IFERROR(__xludf.DUMMYFUNCTION("""COMPUTED_VALUE"""),"許芯瑜")</f>
        <v>許芯瑜</v>
      </c>
      <c r="D1287" s="16" t="str">
        <f>IFERROR(__xludf.DUMMYFUNCTION("""COMPUTED_VALUE"""),"a10*****@mail.edu.tw")</f>
        <v>a10*****@mail.edu.tw</v>
      </c>
      <c r="E1287" s="17" t="str">
        <f>IFERROR(__xludf.DUMMYFUNCTION("""COMPUTED_VALUE"""),"桃園市平鎮區忠貞國民小學")</f>
        <v>桃園市平鎮區忠貞國民小學</v>
      </c>
      <c r="F1287" s="14" t="str">
        <f>IFERROR(__xludf.DUMMYFUNCTION("""COMPUTED_VALUE"""),"六年級")</f>
        <v>六年級</v>
      </c>
      <c r="G1287" s="14" t="str">
        <f>IFERROR(__xludf.DUMMYFUNCTION("""COMPUTED_VALUE"""),"●小禮物")</f>
        <v>●小禮物</v>
      </c>
      <c r="H1287" s="8"/>
    </row>
    <row r="1288">
      <c r="A1288" s="18"/>
      <c r="B1288" s="14">
        <f>IFERROR(__xludf.DUMMYFUNCTION("""COMPUTED_VALUE"""),608243.0)</f>
        <v>608243</v>
      </c>
      <c r="C1288" s="14" t="str">
        <f>IFERROR(__xludf.DUMMYFUNCTION("""COMPUTED_VALUE"""),"陳品涵")</f>
        <v>陳品涵</v>
      </c>
      <c r="D1288" s="16" t="str">
        <f>IFERROR(__xludf.DUMMYFUNCTION("""COMPUTED_VALUE"""),"a10*****@mail.edu.tw")</f>
        <v>a10*****@mail.edu.tw</v>
      </c>
      <c r="E1288" s="17" t="str">
        <f>IFERROR(__xludf.DUMMYFUNCTION("""COMPUTED_VALUE"""),"桃園市平鎮區忠貞國民小學")</f>
        <v>桃園市平鎮區忠貞國民小學</v>
      </c>
      <c r="F1288" s="14" t="str">
        <f>IFERROR(__xludf.DUMMYFUNCTION("""COMPUTED_VALUE"""),"六年級")</f>
        <v>六年級</v>
      </c>
      <c r="G1288" s="14" t="str">
        <f>IFERROR(__xludf.DUMMYFUNCTION("""COMPUTED_VALUE"""),"●小禮物")</f>
        <v>●小禮物</v>
      </c>
      <c r="H1288" s="8"/>
    </row>
    <row r="1289">
      <c r="A1289" s="18"/>
      <c r="B1289" s="14">
        <f>IFERROR(__xludf.DUMMYFUNCTION("""COMPUTED_VALUE"""),679389.0)</f>
        <v>679389</v>
      </c>
      <c r="C1289" s="14" t="str">
        <f>IFERROR(__xludf.DUMMYFUNCTION("""COMPUTED_VALUE"""),"陳柏全")</f>
        <v>陳柏全</v>
      </c>
      <c r="D1289" s="16" t="str">
        <f>IFERROR(__xludf.DUMMYFUNCTION("""COMPUTED_VALUE"""),"jef*****@mail.edu.tw")</f>
        <v>jef*****@mail.edu.tw</v>
      </c>
      <c r="E1289" s="17" t="str">
        <f>IFERROR(__xludf.DUMMYFUNCTION("""COMPUTED_VALUE"""),"桃園市平鎮區忠貞國民小學")</f>
        <v>桃園市平鎮區忠貞國民小學</v>
      </c>
      <c r="F1289" s="14" t="str">
        <f>IFERROR(__xludf.DUMMYFUNCTION("""COMPUTED_VALUE"""),"六年級")</f>
        <v>六年級</v>
      </c>
      <c r="G1289" s="14" t="str">
        <f>IFERROR(__xludf.DUMMYFUNCTION("""COMPUTED_VALUE"""),"●小禮物")</f>
        <v>●小禮物</v>
      </c>
      <c r="H1289" s="8"/>
    </row>
    <row r="1290">
      <c r="A1290" s="18"/>
      <c r="B1290" s="14">
        <f>IFERROR(__xludf.DUMMYFUNCTION("""COMPUTED_VALUE"""),612429.0)</f>
        <v>612429</v>
      </c>
      <c r="C1290" s="14" t="str">
        <f>IFERROR(__xludf.DUMMYFUNCTION("""COMPUTED_VALUE"""),"許紫綾")</f>
        <v>許紫綾</v>
      </c>
      <c r="D1290" s="16" t="str">
        <f>IFERROR(__xludf.DUMMYFUNCTION("""COMPUTED_VALUE"""),"jea*****13@mail.edu.tw")</f>
        <v>jea*****13@mail.edu.tw</v>
      </c>
      <c r="E1290" s="17" t="str">
        <f>IFERROR(__xludf.DUMMYFUNCTION("""COMPUTED_VALUE"""),"桃園市平鎮區忠貞國民小學")</f>
        <v>桃園市平鎮區忠貞國民小學</v>
      </c>
      <c r="F1290" s="14" t="str">
        <f>IFERROR(__xludf.DUMMYFUNCTION("""COMPUTED_VALUE"""),"六年級")</f>
        <v>六年級</v>
      </c>
      <c r="G1290" s="14" t="str">
        <f>IFERROR(__xludf.DUMMYFUNCTION("""COMPUTED_VALUE"""),"獎狀")</f>
        <v>獎狀</v>
      </c>
      <c r="H1290" s="8"/>
    </row>
    <row r="1291">
      <c r="A1291" s="18"/>
      <c r="B1291" s="14">
        <f>IFERROR(__xludf.DUMMYFUNCTION("""COMPUTED_VALUE"""),1183509.0)</f>
        <v>1183509</v>
      </c>
      <c r="C1291" s="14" t="str">
        <f>IFERROR(__xludf.DUMMYFUNCTION("""COMPUTED_VALUE"""),"康本揚")</f>
        <v>康本揚</v>
      </c>
      <c r="D1291" s="16" t="str">
        <f>IFERROR(__xludf.DUMMYFUNCTION("""COMPUTED_VALUE"""),"107*****ies.tyc.edu.tw")</f>
        <v>107*****ies.tyc.edu.tw</v>
      </c>
      <c r="E1291" s="17" t="str">
        <f>IFERROR(__xludf.DUMMYFUNCTION("""COMPUTED_VALUE"""),"桃園市私立福祿貝爾雙語小學")</f>
        <v>桃園市私立福祿貝爾雙語小學</v>
      </c>
      <c r="F1291" s="14" t="str">
        <f>IFERROR(__xludf.DUMMYFUNCTION("""COMPUTED_VALUE"""),"五年級")</f>
        <v>五年級</v>
      </c>
      <c r="G1291" s="14" t="str">
        <f>IFERROR(__xludf.DUMMYFUNCTION("""COMPUTED_VALUE"""),"●小禮物")</f>
        <v>●小禮物</v>
      </c>
      <c r="H1291" s="8"/>
    </row>
    <row r="1292">
      <c r="A1292" s="18"/>
      <c r="B1292" s="14">
        <f>IFERROR(__xludf.DUMMYFUNCTION("""COMPUTED_VALUE"""),1179818.0)</f>
        <v>1179818</v>
      </c>
      <c r="C1292" s="14" t="str">
        <f>IFERROR(__xludf.DUMMYFUNCTION("""COMPUTED_VALUE"""),"劉立凡")</f>
        <v>劉立凡</v>
      </c>
      <c r="D1292" s="16" t="str">
        <f>IFERROR(__xludf.DUMMYFUNCTION("""COMPUTED_VALUE"""),"yul*****g1973@gmail.com")</f>
        <v>yul*****g1973@gmail.com</v>
      </c>
      <c r="E1292" s="17" t="str">
        <f>IFERROR(__xludf.DUMMYFUNCTION("""COMPUTED_VALUE"""),"桃園市私立福祿貝爾雙語小學")</f>
        <v>桃園市私立福祿貝爾雙語小學</v>
      </c>
      <c r="F1292" s="14" t="str">
        <f>IFERROR(__xludf.DUMMYFUNCTION("""COMPUTED_VALUE"""),"六年級")</f>
        <v>六年級</v>
      </c>
      <c r="G1292" s="14" t="str">
        <f>IFERROR(__xludf.DUMMYFUNCTION("""COMPUTED_VALUE"""),"獎狀")</f>
        <v>獎狀</v>
      </c>
      <c r="H1292" s="8"/>
    </row>
    <row r="1293">
      <c r="A1293" s="18"/>
      <c r="B1293" s="14">
        <f>IFERROR(__xludf.DUMMYFUNCTION("""COMPUTED_VALUE"""),1209933.0)</f>
        <v>1209933</v>
      </c>
      <c r="C1293" s="14" t="str">
        <f>IFERROR(__xludf.DUMMYFUNCTION("""COMPUTED_VALUE"""),"何妍貞")</f>
        <v>何妍貞</v>
      </c>
      <c r="D1293" s="16" t="str">
        <f>IFERROR(__xludf.DUMMYFUNCTION("""COMPUTED_VALUE"""),"107*****es.tyc.edu.tw")</f>
        <v>107*****es.tyc.edu.tw</v>
      </c>
      <c r="E1293" s="17" t="str">
        <f>IFERROR(__xludf.DUMMYFUNCTION("""COMPUTED_VALUE"""),"桃園市龍潭區三和國民小學")</f>
        <v>桃園市龍潭區三和國民小學</v>
      </c>
      <c r="F1293" s="14" t="str">
        <f>IFERROR(__xludf.DUMMYFUNCTION("""COMPUTED_VALUE"""),"五年級")</f>
        <v>五年級</v>
      </c>
      <c r="G1293" s="14" t="str">
        <f>IFERROR(__xludf.DUMMYFUNCTION("""COMPUTED_VALUE"""),"獎狀")</f>
        <v>獎狀</v>
      </c>
      <c r="H1293" s="8"/>
    </row>
    <row r="1294">
      <c r="A1294" s="18"/>
      <c r="B1294" s="14">
        <f>IFERROR(__xludf.DUMMYFUNCTION("""COMPUTED_VALUE"""),844973.0)</f>
        <v>844973</v>
      </c>
      <c r="C1294" s="14" t="str">
        <f>IFERROR(__xludf.DUMMYFUNCTION("""COMPUTED_VALUE"""),"徐寧")</f>
        <v>徐寧</v>
      </c>
      <c r="D1294" s="16" t="str">
        <f>IFERROR(__xludf.DUMMYFUNCTION("""COMPUTED_VALUE"""),"401*****es.tyc.edu.tw")</f>
        <v>401*****es.tyc.edu.tw</v>
      </c>
      <c r="E1294" s="17" t="str">
        <f>IFERROR(__xludf.DUMMYFUNCTION("""COMPUTED_VALUE"""),"桃園市龍潭區龍潭國民小學")</f>
        <v>桃園市龍潭區龍潭國民小學</v>
      </c>
      <c r="F1294" s="14" t="str">
        <f>IFERROR(__xludf.DUMMYFUNCTION("""COMPUTED_VALUE"""),"四年級")</f>
        <v>四年級</v>
      </c>
      <c r="G1294" s="14" t="str">
        <f>IFERROR(__xludf.DUMMYFUNCTION("""COMPUTED_VALUE"""),"獎狀")</f>
        <v>獎狀</v>
      </c>
      <c r="H1294" s="8"/>
    </row>
    <row r="1295">
      <c r="A1295" s="18"/>
      <c r="B1295" s="14">
        <f>IFERROR(__xludf.DUMMYFUNCTION("""COMPUTED_VALUE"""),1177560.0)</f>
        <v>1177560</v>
      </c>
      <c r="C1295" s="14" t="str">
        <f>IFERROR(__xludf.DUMMYFUNCTION("""COMPUTED_VALUE"""),"李宗諺")</f>
        <v>李宗諺</v>
      </c>
      <c r="D1295" s="16" t="str">
        <f>IFERROR(__xludf.DUMMYFUNCTION("""COMPUTED_VALUE"""),"402*****es.tyc.edu.tw")</f>
        <v>402*****es.tyc.edu.tw</v>
      </c>
      <c r="E1295" s="17" t="str">
        <f>IFERROR(__xludf.DUMMYFUNCTION("""COMPUTED_VALUE"""),"桃園市龍潭區龍潭國民小學")</f>
        <v>桃園市龍潭區龍潭國民小學</v>
      </c>
      <c r="F1295" s="14" t="str">
        <f>IFERROR(__xludf.DUMMYFUNCTION("""COMPUTED_VALUE"""),"四年級")</f>
        <v>四年級</v>
      </c>
      <c r="G1295" s="14" t="str">
        <f>IFERROR(__xludf.DUMMYFUNCTION("""COMPUTED_VALUE"""),"獎狀")</f>
        <v>獎狀</v>
      </c>
      <c r="H1295" s="8"/>
    </row>
    <row r="1296">
      <c r="A1296" s="18"/>
      <c r="B1296" s="14">
        <f>IFERROR(__xludf.DUMMYFUNCTION("""COMPUTED_VALUE"""),1177309.0)</f>
        <v>1177309</v>
      </c>
      <c r="C1296" s="14" t="str">
        <f>IFERROR(__xludf.DUMMYFUNCTION("""COMPUTED_VALUE"""),"施柔潔")</f>
        <v>施柔潔</v>
      </c>
      <c r="D1296" s="16" t="str">
        <f>IFERROR(__xludf.DUMMYFUNCTION("""COMPUTED_VALUE"""),"401*****es.tyc.edu.tw")</f>
        <v>401*****es.tyc.edu.tw</v>
      </c>
      <c r="E1296" s="17" t="str">
        <f>IFERROR(__xludf.DUMMYFUNCTION("""COMPUTED_VALUE"""),"桃園市龍潭區龍潭國民小學")</f>
        <v>桃園市龍潭區龍潭國民小學</v>
      </c>
      <c r="F1296" s="14" t="str">
        <f>IFERROR(__xludf.DUMMYFUNCTION("""COMPUTED_VALUE"""),"四年級")</f>
        <v>四年級</v>
      </c>
      <c r="G1296" s="14" t="str">
        <f>IFERROR(__xludf.DUMMYFUNCTION("""COMPUTED_VALUE"""),"●小禮物")</f>
        <v>●小禮物</v>
      </c>
      <c r="H1296" s="8"/>
    </row>
    <row r="1297">
      <c r="A1297" s="18"/>
      <c r="B1297" s="14">
        <f>IFERROR(__xludf.DUMMYFUNCTION("""COMPUTED_VALUE"""),1178235.0)</f>
        <v>1178235</v>
      </c>
      <c r="C1297" s="14" t="str">
        <f>IFERROR(__xludf.DUMMYFUNCTION("""COMPUTED_VALUE"""),"張晉瑋")</f>
        <v>張晉瑋</v>
      </c>
      <c r="D1297" s="16" t="str">
        <f>IFERROR(__xludf.DUMMYFUNCTION("""COMPUTED_VALUE"""),"403*****es.tyc.edu.tw")</f>
        <v>403*****es.tyc.edu.tw</v>
      </c>
      <c r="E1297" s="17" t="str">
        <f>IFERROR(__xludf.DUMMYFUNCTION("""COMPUTED_VALUE"""),"桃園市龍潭區龍潭國民小學")</f>
        <v>桃園市龍潭區龍潭國民小學</v>
      </c>
      <c r="F1297" s="14" t="str">
        <f>IFERROR(__xludf.DUMMYFUNCTION("""COMPUTED_VALUE"""),"四年級")</f>
        <v>四年級</v>
      </c>
      <c r="G1297" s="14" t="str">
        <f>IFERROR(__xludf.DUMMYFUNCTION("""COMPUTED_VALUE"""),"●小禮物")</f>
        <v>●小禮物</v>
      </c>
      <c r="H1297" s="8"/>
    </row>
    <row r="1298">
      <c r="A1298" s="18"/>
      <c r="B1298" s="14">
        <f>IFERROR(__xludf.DUMMYFUNCTION("""COMPUTED_VALUE"""),1181815.0)</f>
        <v>1181815</v>
      </c>
      <c r="C1298" s="14" t="str">
        <f>IFERROR(__xludf.DUMMYFUNCTION("""COMPUTED_VALUE"""),"傅可妮")</f>
        <v>傅可妮</v>
      </c>
      <c r="D1298" s="16" t="str">
        <f>IFERROR(__xludf.DUMMYFUNCTION("""COMPUTED_VALUE"""),"403*****es.tyc.edu.tw")</f>
        <v>403*****es.tyc.edu.tw</v>
      </c>
      <c r="E1298" s="17" t="str">
        <f>IFERROR(__xludf.DUMMYFUNCTION("""COMPUTED_VALUE"""),"桃園市龍潭區龍潭國民小學")</f>
        <v>桃園市龍潭區龍潭國民小學</v>
      </c>
      <c r="F1298" s="14" t="str">
        <f>IFERROR(__xludf.DUMMYFUNCTION("""COMPUTED_VALUE"""),"四年級")</f>
        <v>四年級</v>
      </c>
      <c r="G1298" s="14" t="str">
        <f>IFERROR(__xludf.DUMMYFUNCTION("""COMPUTED_VALUE"""),"★禮券$200")</f>
        <v>★禮券$200</v>
      </c>
      <c r="H1298" s="8"/>
    </row>
    <row r="1299">
      <c r="A1299" s="18"/>
      <c r="B1299" s="14">
        <f>IFERROR(__xludf.DUMMYFUNCTION("""COMPUTED_VALUE"""),1049290.0)</f>
        <v>1049290</v>
      </c>
      <c r="C1299" s="14" t="str">
        <f>IFERROR(__xludf.DUMMYFUNCTION("""COMPUTED_VALUE"""),"黃聖倡")</f>
        <v>黃聖倡</v>
      </c>
      <c r="D1299" s="16" t="str">
        <f>IFERROR(__xludf.DUMMYFUNCTION("""COMPUTED_VALUE"""),"502*****es.tyc.edu.tw")</f>
        <v>502*****es.tyc.edu.tw</v>
      </c>
      <c r="E1299" s="17" t="str">
        <f>IFERROR(__xludf.DUMMYFUNCTION("""COMPUTED_VALUE"""),"桃園市龍潭區龍潭國民小學")</f>
        <v>桃園市龍潭區龍潭國民小學</v>
      </c>
      <c r="F1299" s="14" t="str">
        <f>IFERROR(__xludf.DUMMYFUNCTION("""COMPUTED_VALUE"""),"五年級")</f>
        <v>五年級</v>
      </c>
      <c r="G1299" s="14" t="str">
        <f>IFERROR(__xludf.DUMMYFUNCTION("""COMPUTED_VALUE"""),"獎狀")</f>
        <v>獎狀</v>
      </c>
      <c r="H1299" s="8"/>
    </row>
    <row r="1300">
      <c r="A1300" s="18"/>
      <c r="B1300" s="14">
        <f>IFERROR(__xludf.DUMMYFUNCTION("""COMPUTED_VALUE"""),1200382.0)</f>
        <v>1200382</v>
      </c>
      <c r="C1300" s="14" t="str">
        <f>IFERROR(__xludf.DUMMYFUNCTION("""COMPUTED_VALUE"""),"陳姵蓁")</f>
        <v>陳姵蓁</v>
      </c>
      <c r="D1300" s="16" t="str">
        <f>IFERROR(__xludf.DUMMYFUNCTION("""COMPUTED_VALUE"""),"501*****es.tyc.edu.tw")</f>
        <v>501*****es.tyc.edu.tw</v>
      </c>
      <c r="E1300" s="17" t="str">
        <f>IFERROR(__xludf.DUMMYFUNCTION("""COMPUTED_VALUE"""),"桃園市龍潭區龍潭國民小學")</f>
        <v>桃園市龍潭區龍潭國民小學</v>
      </c>
      <c r="F1300" s="14" t="str">
        <f>IFERROR(__xludf.DUMMYFUNCTION("""COMPUTED_VALUE"""),"五年級")</f>
        <v>五年級</v>
      </c>
      <c r="G1300" s="14" t="str">
        <f>IFERROR(__xludf.DUMMYFUNCTION("""COMPUTED_VALUE"""),"獎狀")</f>
        <v>獎狀</v>
      </c>
      <c r="H1300" s="8"/>
    </row>
    <row r="1301">
      <c r="A1301" s="18"/>
      <c r="B1301" s="14">
        <f>IFERROR(__xludf.DUMMYFUNCTION("""COMPUTED_VALUE"""),1181796.0)</f>
        <v>1181796</v>
      </c>
      <c r="C1301" s="14" t="str">
        <f>IFERROR(__xludf.DUMMYFUNCTION("""COMPUTED_VALUE"""),"卞品舒")</f>
        <v>卞品舒</v>
      </c>
      <c r="D1301" s="16" t="str">
        <f>IFERROR(__xludf.DUMMYFUNCTION("""COMPUTED_VALUE"""),"501*****es.tyc.edu.tw")</f>
        <v>501*****es.tyc.edu.tw</v>
      </c>
      <c r="E1301" s="17" t="str">
        <f>IFERROR(__xludf.DUMMYFUNCTION("""COMPUTED_VALUE"""),"桃園市龍潭區龍潭國民小學")</f>
        <v>桃園市龍潭區龍潭國民小學</v>
      </c>
      <c r="F1301" s="14" t="str">
        <f>IFERROR(__xludf.DUMMYFUNCTION("""COMPUTED_VALUE"""),"五年級")</f>
        <v>五年級</v>
      </c>
      <c r="G1301" s="14" t="str">
        <f>IFERROR(__xludf.DUMMYFUNCTION("""COMPUTED_VALUE"""),"●小禮物")</f>
        <v>●小禮物</v>
      </c>
      <c r="H1301" s="8"/>
    </row>
    <row r="1302">
      <c r="A1302" s="18"/>
      <c r="B1302" s="14">
        <f>IFERROR(__xludf.DUMMYFUNCTION("""COMPUTED_VALUE"""),1183544.0)</f>
        <v>1183544</v>
      </c>
      <c r="C1302" s="14" t="str">
        <f>IFERROR(__xludf.DUMMYFUNCTION("""COMPUTED_VALUE"""),"李昱澄")</f>
        <v>李昱澄</v>
      </c>
      <c r="D1302" s="16" t="str">
        <f>IFERROR(__xludf.DUMMYFUNCTION("""COMPUTED_VALUE"""),"501*****es.tyc.edu.tw")</f>
        <v>501*****es.tyc.edu.tw</v>
      </c>
      <c r="E1302" s="17" t="str">
        <f>IFERROR(__xludf.DUMMYFUNCTION("""COMPUTED_VALUE"""),"桃園市龍潭區龍潭國民小學")</f>
        <v>桃園市龍潭區龍潭國民小學</v>
      </c>
      <c r="F1302" s="14" t="str">
        <f>IFERROR(__xludf.DUMMYFUNCTION("""COMPUTED_VALUE"""),"五年級")</f>
        <v>五年級</v>
      </c>
      <c r="G1302" s="14" t="str">
        <f>IFERROR(__xludf.DUMMYFUNCTION("""COMPUTED_VALUE"""),"●小禮物")</f>
        <v>●小禮物</v>
      </c>
      <c r="H1302" s="8"/>
    </row>
    <row r="1303">
      <c r="A1303" s="18"/>
      <c r="B1303" s="14">
        <f>IFERROR(__xludf.DUMMYFUNCTION("""COMPUTED_VALUE"""),1181595.0)</f>
        <v>1181595</v>
      </c>
      <c r="C1303" s="14" t="str">
        <f>IFERROR(__xludf.DUMMYFUNCTION("""COMPUTED_VALUE"""),"龍尚澤")</f>
        <v>龍尚澤</v>
      </c>
      <c r="D1303" s="16" t="str">
        <f>IFERROR(__xludf.DUMMYFUNCTION("""COMPUTED_VALUE"""),"501*****es.tyc.edu.tw")</f>
        <v>501*****es.tyc.edu.tw</v>
      </c>
      <c r="E1303" s="17" t="str">
        <f>IFERROR(__xludf.DUMMYFUNCTION("""COMPUTED_VALUE"""),"桃園市龍潭區龍潭國民小學")</f>
        <v>桃園市龍潭區龍潭國民小學</v>
      </c>
      <c r="F1303" s="14" t="str">
        <f>IFERROR(__xludf.DUMMYFUNCTION("""COMPUTED_VALUE"""),"五年級")</f>
        <v>五年級</v>
      </c>
      <c r="G1303" s="14" t="str">
        <f>IFERROR(__xludf.DUMMYFUNCTION("""COMPUTED_VALUE"""),"●小禮物")</f>
        <v>●小禮物</v>
      </c>
      <c r="H1303" s="8"/>
    </row>
    <row r="1304">
      <c r="A1304" s="18"/>
      <c r="B1304" s="14">
        <f>IFERROR(__xludf.DUMMYFUNCTION("""COMPUTED_VALUE"""),1181448.0)</f>
        <v>1181448</v>
      </c>
      <c r="C1304" s="14" t="str">
        <f>IFERROR(__xludf.DUMMYFUNCTION("""COMPUTED_VALUE"""),"葉柏萱")</f>
        <v>葉柏萱</v>
      </c>
      <c r="D1304" s="16" t="str">
        <f>IFERROR(__xludf.DUMMYFUNCTION("""COMPUTED_VALUE"""),"501*****es.tyc.edu.tw")</f>
        <v>501*****es.tyc.edu.tw</v>
      </c>
      <c r="E1304" s="17" t="str">
        <f>IFERROR(__xludf.DUMMYFUNCTION("""COMPUTED_VALUE"""),"桃園市龍潭區龍潭國民小學")</f>
        <v>桃園市龍潭區龍潭國民小學</v>
      </c>
      <c r="F1304" s="14" t="str">
        <f>IFERROR(__xludf.DUMMYFUNCTION("""COMPUTED_VALUE"""),"五年級")</f>
        <v>五年級</v>
      </c>
      <c r="G1304" s="14" t="str">
        <f>IFERROR(__xludf.DUMMYFUNCTION("""COMPUTED_VALUE"""),"★禮券$1000")</f>
        <v>★禮券$1000</v>
      </c>
      <c r="H1304" s="8"/>
    </row>
    <row r="1305">
      <c r="A1305" s="18"/>
      <c r="B1305" s="14">
        <f>IFERROR(__xludf.DUMMYFUNCTION("""COMPUTED_VALUE"""),1184483.0)</f>
        <v>1184483</v>
      </c>
      <c r="C1305" s="14" t="str">
        <f>IFERROR(__xludf.DUMMYFUNCTION("""COMPUTED_VALUE"""),"傅煥庭")</f>
        <v>傅煥庭</v>
      </c>
      <c r="D1305" s="16" t="str">
        <f>IFERROR(__xludf.DUMMYFUNCTION("""COMPUTED_VALUE"""),"501*****es.tyc.edu.tw")</f>
        <v>501*****es.tyc.edu.tw</v>
      </c>
      <c r="E1305" s="17" t="str">
        <f>IFERROR(__xludf.DUMMYFUNCTION("""COMPUTED_VALUE"""),"桃園市龍潭區龍潭國民小學")</f>
        <v>桃園市龍潭區龍潭國民小學</v>
      </c>
      <c r="F1305" s="14" t="str">
        <f>IFERROR(__xludf.DUMMYFUNCTION("""COMPUTED_VALUE"""),"五年級")</f>
        <v>五年級</v>
      </c>
      <c r="G1305" s="14" t="str">
        <f>IFERROR(__xludf.DUMMYFUNCTION("""COMPUTED_VALUE"""),"★禮券$200")</f>
        <v>★禮券$200</v>
      </c>
      <c r="H1305" s="8"/>
    </row>
    <row r="1306">
      <c r="A1306" s="18"/>
      <c r="B1306" s="14">
        <f>IFERROR(__xludf.DUMMYFUNCTION("""COMPUTED_VALUE"""),1200385.0)</f>
        <v>1200385</v>
      </c>
      <c r="C1306" s="14" t="str">
        <f>IFERROR(__xludf.DUMMYFUNCTION("""COMPUTED_VALUE"""),"丁品馨")</f>
        <v>丁品馨</v>
      </c>
      <c r="D1306" s="16" t="str">
        <f>IFERROR(__xludf.DUMMYFUNCTION("""COMPUTED_VALUE"""),"501*****es.tyc.edu.tw")</f>
        <v>501*****es.tyc.edu.tw</v>
      </c>
      <c r="E1306" s="17" t="str">
        <f>IFERROR(__xludf.DUMMYFUNCTION("""COMPUTED_VALUE"""),"桃園市龍潭區龍潭國民小學")</f>
        <v>桃園市龍潭區龍潭國民小學</v>
      </c>
      <c r="F1306" s="14" t="str">
        <f>IFERROR(__xludf.DUMMYFUNCTION("""COMPUTED_VALUE"""),"五年級")</f>
        <v>五年級</v>
      </c>
      <c r="G1306" s="14" t="str">
        <f>IFERROR(__xludf.DUMMYFUNCTION("""COMPUTED_VALUE"""),"獎狀")</f>
        <v>獎狀</v>
      </c>
      <c r="H1306" s="8"/>
    </row>
    <row r="1307">
      <c r="A1307" s="18"/>
      <c r="B1307" s="14">
        <f>IFERROR(__xludf.DUMMYFUNCTION("""COMPUTED_VALUE"""),1183476.0)</f>
        <v>1183476</v>
      </c>
      <c r="C1307" s="14" t="str">
        <f>IFERROR(__xludf.DUMMYFUNCTION("""COMPUTED_VALUE"""),"林雨萱")</f>
        <v>林雨萱</v>
      </c>
      <c r="D1307" s="16" t="str">
        <f>IFERROR(__xludf.DUMMYFUNCTION("""COMPUTED_VALUE"""),"501*****es.tyc.edu.tw")</f>
        <v>501*****es.tyc.edu.tw</v>
      </c>
      <c r="E1307" s="17" t="str">
        <f>IFERROR(__xludf.DUMMYFUNCTION("""COMPUTED_VALUE"""),"桃園市龍潭區龍潭國民小學")</f>
        <v>桃園市龍潭區龍潭國民小學</v>
      </c>
      <c r="F1307" s="14" t="str">
        <f>IFERROR(__xludf.DUMMYFUNCTION("""COMPUTED_VALUE"""),"五年級")</f>
        <v>五年級</v>
      </c>
      <c r="G1307" s="14" t="str">
        <f>IFERROR(__xludf.DUMMYFUNCTION("""COMPUTED_VALUE"""),"獎狀")</f>
        <v>獎狀</v>
      </c>
      <c r="H1307" s="8"/>
    </row>
    <row r="1308">
      <c r="A1308" s="18"/>
      <c r="B1308" s="14">
        <f>IFERROR(__xludf.DUMMYFUNCTION("""COMPUTED_VALUE"""),1183464.0)</f>
        <v>1183464</v>
      </c>
      <c r="C1308" s="14" t="str">
        <f>IFERROR(__xludf.DUMMYFUNCTION("""COMPUTED_VALUE"""),"賈尚傑")</f>
        <v>賈尚傑</v>
      </c>
      <c r="D1308" s="16" t="str">
        <f>IFERROR(__xludf.DUMMYFUNCTION("""COMPUTED_VALUE"""),"501*****es.tyc.edu.tw")</f>
        <v>501*****es.tyc.edu.tw</v>
      </c>
      <c r="E1308" s="17" t="str">
        <f>IFERROR(__xludf.DUMMYFUNCTION("""COMPUTED_VALUE"""),"桃園市龍潭區龍潭國民小學")</f>
        <v>桃園市龍潭區龍潭國民小學</v>
      </c>
      <c r="F1308" s="14" t="str">
        <f>IFERROR(__xludf.DUMMYFUNCTION("""COMPUTED_VALUE"""),"五年級")</f>
        <v>五年級</v>
      </c>
      <c r="G1308" s="14" t="str">
        <f>IFERROR(__xludf.DUMMYFUNCTION("""COMPUTED_VALUE"""),"獎狀")</f>
        <v>獎狀</v>
      </c>
      <c r="H1308" s="8"/>
    </row>
    <row r="1309">
      <c r="A1309" s="18"/>
      <c r="B1309" s="14">
        <f>IFERROR(__xludf.DUMMYFUNCTION("""COMPUTED_VALUE"""),1181536.0)</f>
        <v>1181536</v>
      </c>
      <c r="C1309" s="14" t="str">
        <f>IFERROR(__xludf.DUMMYFUNCTION("""COMPUTED_VALUE"""),"劉奇睿")</f>
        <v>劉奇睿</v>
      </c>
      <c r="D1309" s="16" t="str">
        <f>IFERROR(__xludf.DUMMYFUNCTION("""COMPUTED_VALUE"""),"501*****es.tyc.edu.tw")</f>
        <v>501*****es.tyc.edu.tw</v>
      </c>
      <c r="E1309" s="17" t="str">
        <f>IFERROR(__xludf.DUMMYFUNCTION("""COMPUTED_VALUE"""),"桃園市龍潭區龍潭國民小學")</f>
        <v>桃園市龍潭區龍潭國民小學</v>
      </c>
      <c r="F1309" s="14" t="str">
        <f>IFERROR(__xludf.DUMMYFUNCTION("""COMPUTED_VALUE"""),"五年級")</f>
        <v>五年級</v>
      </c>
      <c r="G1309" s="14" t="str">
        <f>IFERROR(__xludf.DUMMYFUNCTION("""COMPUTED_VALUE"""),"獎狀")</f>
        <v>獎狀</v>
      </c>
      <c r="H1309" s="8"/>
    </row>
    <row r="1310">
      <c r="A1310" s="18"/>
      <c r="B1310" s="14">
        <f>IFERROR(__xludf.DUMMYFUNCTION("""COMPUTED_VALUE"""),812578.0)</f>
        <v>812578</v>
      </c>
      <c r="C1310" s="14" t="str">
        <f>IFERROR(__xludf.DUMMYFUNCTION("""COMPUTED_VALUE"""),"陳泳廷")</f>
        <v>陳泳廷</v>
      </c>
      <c r="D1310" s="16" t="str">
        <f>IFERROR(__xludf.DUMMYFUNCTION("""COMPUTED_VALUE"""),"502*****es.tyc.edu.tw")</f>
        <v>502*****es.tyc.edu.tw</v>
      </c>
      <c r="E1310" s="17" t="str">
        <f>IFERROR(__xludf.DUMMYFUNCTION("""COMPUTED_VALUE"""),"桃園市龍潭區龍潭國民小學")</f>
        <v>桃園市龍潭區龍潭國民小學</v>
      </c>
      <c r="F1310" s="14" t="str">
        <f>IFERROR(__xludf.DUMMYFUNCTION("""COMPUTED_VALUE"""),"五年級")</f>
        <v>五年級</v>
      </c>
      <c r="G1310" s="14" t="str">
        <f>IFERROR(__xludf.DUMMYFUNCTION("""COMPUTED_VALUE"""),"●小禮物")</f>
        <v>●小禮物</v>
      </c>
      <c r="H1310" s="8"/>
    </row>
    <row r="1311">
      <c r="A1311" s="18"/>
      <c r="B1311" s="14">
        <f>IFERROR(__xludf.DUMMYFUNCTION("""COMPUTED_VALUE"""),1049299.0)</f>
        <v>1049299</v>
      </c>
      <c r="C1311" s="14" t="str">
        <f>IFERROR(__xludf.DUMMYFUNCTION("""COMPUTED_VALUE"""),"黃咨喬")</f>
        <v>黃咨喬</v>
      </c>
      <c r="D1311" s="16" t="str">
        <f>IFERROR(__xludf.DUMMYFUNCTION("""COMPUTED_VALUE"""),"502*****es.tyc.edu.tw")</f>
        <v>502*****es.tyc.edu.tw</v>
      </c>
      <c r="E1311" s="17" t="str">
        <f>IFERROR(__xludf.DUMMYFUNCTION("""COMPUTED_VALUE"""),"桃園市龍潭區龍潭國民小學")</f>
        <v>桃園市龍潭區龍潭國民小學</v>
      </c>
      <c r="F1311" s="14" t="str">
        <f>IFERROR(__xludf.DUMMYFUNCTION("""COMPUTED_VALUE"""),"五年級")</f>
        <v>五年級</v>
      </c>
      <c r="G1311" s="14" t="str">
        <f>IFERROR(__xludf.DUMMYFUNCTION("""COMPUTED_VALUE"""),"●小禮物")</f>
        <v>●小禮物</v>
      </c>
      <c r="H1311" s="8"/>
    </row>
    <row r="1312">
      <c r="A1312" s="18"/>
      <c r="B1312" s="14">
        <f>IFERROR(__xludf.DUMMYFUNCTION("""COMPUTED_VALUE"""),812574.0)</f>
        <v>812574</v>
      </c>
      <c r="C1312" s="14" t="str">
        <f>IFERROR(__xludf.DUMMYFUNCTION("""COMPUTED_VALUE"""),"鍾之熙")</f>
        <v>鍾之熙</v>
      </c>
      <c r="D1312" s="16" t="str">
        <f>IFERROR(__xludf.DUMMYFUNCTION("""COMPUTED_VALUE"""),"502*****es.tyc.edu.tw")</f>
        <v>502*****es.tyc.edu.tw</v>
      </c>
      <c r="E1312" s="17" t="str">
        <f>IFERROR(__xludf.DUMMYFUNCTION("""COMPUTED_VALUE"""),"桃園市龍潭區龍潭國民小學")</f>
        <v>桃園市龍潭區龍潭國民小學</v>
      </c>
      <c r="F1312" s="14" t="str">
        <f>IFERROR(__xludf.DUMMYFUNCTION("""COMPUTED_VALUE"""),"五年級")</f>
        <v>五年級</v>
      </c>
      <c r="G1312" s="14" t="str">
        <f>IFERROR(__xludf.DUMMYFUNCTION("""COMPUTED_VALUE"""),"●小禮物")</f>
        <v>●小禮物</v>
      </c>
      <c r="H1312" s="8"/>
    </row>
    <row r="1313">
      <c r="A1313" s="18"/>
      <c r="B1313" s="14">
        <f>IFERROR(__xludf.DUMMYFUNCTION("""COMPUTED_VALUE"""),1049288.0)</f>
        <v>1049288</v>
      </c>
      <c r="C1313" s="14" t="str">
        <f>IFERROR(__xludf.DUMMYFUNCTION("""COMPUTED_VALUE"""),"翁茂竣")</f>
        <v>翁茂竣</v>
      </c>
      <c r="D1313" s="16" t="str">
        <f>IFERROR(__xludf.DUMMYFUNCTION("""COMPUTED_VALUE"""),"502*****es.tyc.edu.tw")</f>
        <v>502*****es.tyc.edu.tw</v>
      </c>
      <c r="E1313" s="17" t="str">
        <f>IFERROR(__xludf.DUMMYFUNCTION("""COMPUTED_VALUE"""),"桃園市龍潭區龍潭國民小學")</f>
        <v>桃園市龍潭區龍潭國民小學</v>
      </c>
      <c r="F1313" s="14" t="str">
        <f>IFERROR(__xludf.DUMMYFUNCTION("""COMPUTED_VALUE"""),"五年級")</f>
        <v>五年級</v>
      </c>
      <c r="G1313" s="14" t="str">
        <f>IFERROR(__xludf.DUMMYFUNCTION("""COMPUTED_VALUE"""),"★禮券$500")</f>
        <v>★禮券$500</v>
      </c>
      <c r="H1313" s="8"/>
    </row>
    <row r="1314">
      <c r="A1314" s="18"/>
      <c r="B1314" s="14">
        <f>IFERROR(__xludf.DUMMYFUNCTION("""COMPUTED_VALUE"""),1049289.0)</f>
        <v>1049289</v>
      </c>
      <c r="C1314" s="14" t="str">
        <f>IFERROR(__xludf.DUMMYFUNCTION("""COMPUTED_VALUE"""),"邱仲浩")</f>
        <v>邱仲浩</v>
      </c>
      <c r="D1314" s="16" t="str">
        <f>IFERROR(__xludf.DUMMYFUNCTION("""COMPUTED_VALUE"""),"502*****es.tyc.edu.tw")</f>
        <v>502*****es.tyc.edu.tw</v>
      </c>
      <c r="E1314" s="17" t="str">
        <f>IFERROR(__xludf.DUMMYFUNCTION("""COMPUTED_VALUE"""),"桃園市龍潭區龍潭國民小學")</f>
        <v>桃園市龍潭區龍潭國民小學</v>
      </c>
      <c r="F1314" s="14" t="str">
        <f>IFERROR(__xludf.DUMMYFUNCTION("""COMPUTED_VALUE"""),"五年級")</f>
        <v>五年級</v>
      </c>
      <c r="G1314" s="14" t="str">
        <f>IFERROR(__xludf.DUMMYFUNCTION("""COMPUTED_VALUE"""),"獎狀")</f>
        <v>獎狀</v>
      </c>
      <c r="H1314" s="8"/>
    </row>
    <row r="1315">
      <c r="A1315" s="18"/>
      <c r="B1315" s="14">
        <f>IFERROR(__xludf.DUMMYFUNCTION("""COMPUTED_VALUE"""),1049302.0)</f>
        <v>1049302</v>
      </c>
      <c r="C1315" s="14" t="str">
        <f>IFERROR(__xludf.DUMMYFUNCTION("""COMPUTED_VALUE"""),"袁妤婕")</f>
        <v>袁妤婕</v>
      </c>
      <c r="D1315" s="16" t="str">
        <f>IFERROR(__xludf.DUMMYFUNCTION("""COMPUTED_VALUE"""),"502*****es.tyc.edu.tw")</f>
        <v>502*****es.tyc.edu.tw</v>
      </c>
      <c r="E1315" s="17" t="str">
        <f>IFERROR(__xludf.DUMMYFUNCTION("""COMPUTED_VALUE"""),"桃園市龍潭區龍潭國民小學")</f>
        <v>桃園市龍潭區龍潭國民小學</v>
      </c>
      <c r="F1315" s="14" t="str">
        <f>IFERROR(__xludf.DUMMYFUNCTION("""COMPUTED_VALUE"""),"五年級")</f>
        <v>五年級</v>
      </c>
      <c r="G1315" s="14" t="str">
        <f>IFERROR(__xludf.DUMMYFUNCTION("""COMPUTED_VALUE"""),"獎狀")</f>
        <v>獎狀</v>
      </c>
      <c r="H1315" s="8"/>
    </row>
    <row r="1316">
      <c r="A1316" s="18"/>
      <c r="B1316" s="14">
        <f>IFERROR(__xludf.DUMMYFUNCTION("""COMPUTED_VALUE"""),1049298.0)</f>
        <v>1049298</v>
      </c>
      <c r="C1316" s="14" t="str">
        <f>IFERROR(__xludf.DUMMYFUNCTION("""COMPUTED_VALUE"""),"游采恩")</f>
        <v>游采恩</v>
      </c>
      <c r="D1316" s="16" t="str">
        <f>IFERROR(__xludf.DUMMYFUNCTION("""COMPUTED_VALUE"""),"502*****es.tyc.edu.tw")</f>
        <v>502*****es.tyc.edu.tw</v>
      </c>
      <c r="E1316" s="17" t="str">
        <f>IFERROR(__xludf.DUMMYFUNCTION("""COMPUTED_VALUE"""),"桃園市龍潭區龍潭國民小學")</f>
        <v>桃園市龍潭區龍潭國民小學</v>
      </c>
      <c r="F1316" s="14" t="str">
        <f>IFERROR(__xludf.DUMMYFUNCTION("""COMPUTED_VALUE"""),"五年級")</f>
        <v>五年級</v>
      </c>
      <c r="G1316" s="14" t="str">
        <f>IFERROR(__xludf.DUMMYFUNCTION("""COMPUTED_VALUE"""),"獎狀")</f>
        <v>獎狀</v>
      </c>
      <c r="H1316" s="8"/>
    </row>
    <row r="1317">
      <c r="A1317" s="18"/>
      <c r="B1317" s="14">
        <f>IFERROR(__xludf.DUMMYFUNCTION("""COMPUTED_VALUE"""),1049287.0)</f>
        <v>1049287</v>
      </c>
      <c r="C1317" s="14" t="str">
        <f>IFERROR(__xludf.DUMMYFUNCTION("""COMPUTED_VALUE"""),"黃宇成")</f>
        <v>黃宇成</v>
      </c>
      <c r="D1317" s="16" t="str">
        <f>IFERROR(__xludf.DUMMYFUNCTION("""COMPUTED_VALUE"""),"502*****es.tyc.edu.tw")</f>
        <v>502*****es.tyc.edu.tw</v>
      </c>
      <c r="E1317" s="17" t="str">
        <f>IFERROR(__xludf.DUMMYFUNCTION("""COMPUTED_VALUE"""),"桃園市龍潭區龍潭國民小學")</f>
        <v>桃園市龍潭區龍潭國民小學</v>
      </c>
      <c r="F1317" s="14" t="str">
        <f>IFERROR(__xludf.DUMMYFUNCTION("""COMPUTED_VALUE"""),"五年級")</f>
        <v>五年級</v>
      </c>
      <c r="G1317" s="14" t="str">
        <f>IFERROR(__xludf.DUMMYFUNCTION("""COMPUTED_VALUE"""),"獎狀")</f>
        <v>獎狀</v>
      </c>
      <c r="H1317" s="8"/>
    </row>
    <row r="1318">
      <c r="A1318" s="18"/>
      <c r="B1318" s="14">
        <f>IFERROR(__xludf.DUMMYFUNCTION("""COMPUTED_VALUE"""),1049300.0)</f>
        <v>1049300</v>
      </c>
      <c r="C1318" s="14" t="str">
        <f>IFERROR(__xludf.DUMMYFUNCTION("""COMPUTED_VALUE"""),"黃咨甯")</f>
        <v>黃咨甯</v>
      </c>
      <c r="D1318" s="16" t="str">
        <f>IFERROR(__xludf.DUMMYFUNCTION("""COMPUTED_VALUE"""),"502*****es.tyc.edu.tw")</f>
        <v>502*****es.tyc.edu.tw</v>
      </c>
      <c r="E1318" s="17" t="str">
        <f>IFERROR(__xludf.DUMMYFUNCTION("""COMPUTED_VALUE"""),"桃園市龍潭區龍潭國民小學")</f>
        <v>桃園市龍潭區龍潭國民小學</v>
      </c>
      <c r="F1318" s="14" t="str">
        <f>IFERROR(__xludf.DUMMYFUNCTION("""COMPUTED_VALUE"""),"五年級")</f>
        <v>五年級</v>
      </c>
      <c r="G1318" s="14" t="str">
        <f>IFERROR(__xludf.DUMMYFUNCTION("""COMPUTED_VALUE"""),"獎狀")</f>
        <v>獎狀</v>
      </c>
      <c r="H1318" s="8"/>
    </row>
    <row r="1319">
      <c r="A1319" s="18"/>
      <c r="B1319" s="14">
        <f>IFERROR(__xludf.DUMMYFUNCTION("""COMPUTED_VALUE"""),824610.0)</f>
        <v>824610</v>
      </c>
      <c r="C1319" s="14" t="str">
        <f>IFERROR(__xludf.DUMMYFUNCTION("""COMPUTED_VALUE"""),"黃禹諾")</f>
        <v>黃禹諾</v>
      </c>
      <c r="D1319" s="16" t="str">
        <f>IFERROR(__xludf.DUMMYFUNCTION("""COMPUTED_VALUE"""),"502*****es.tyc.edu.tw")</f>
        <v>502*****es.tyc.edu.tw</v>
      </c>
      <c r="E1319" s="17" t="str">
        <f>IFERROR(__xludf.DUMMYFUNCTION("""COMPUTED_VALUE"""),"桃園市龍潭區龍潭國民小學")</f>
        <v>桃園市龍潭區龍潭國民小學</v>
      </c>
      <c r="F1319" s="14" t="str">
        <f>IFERROR(__xludf.DUMMYFUNCTION("""COMPUTED_VALUE"""),"五年級")</f>
        <v>五年級</v>
      </c>
      <c r="G1319" s="14" t="str">
        <f>IFERROR(__xludf.DUMMYFUNCTION("""COMPUTED_VALUE"""),"獎狀")</f>
        <v>獎狀</v>
      </c>
      <c r="H1319" s="8"/>
    </row>
    <row r="1320">
      <c r="A1320" s="18"/>
      <c r="B1320" s="14">
        <f>IFERROR(__xludf.DUMMYFUNCTION("""COMPUTED_VALUE"""),756020.0)</f>
        <v>756020</v>
      </c>
      <c r="C1320" s="14" t="str">
        <f>IFERROR(__xludf.DUMMYFUNCTION("""COMPUTED_VALUE"""),"吳承熹")</f>
        <v>吳承熹</v>
      </c>
      <c r="D1320" s="16" t="str">
        <f>IFERROR(__xludf.DUMMYFUNCTION("""COMPUTED_VALUE"""),"503*****es.tyc.edu.tw")</f>
        <v>503*****es.tyc.edu.tw</v>
      </c>
      <c r="E1320" s="17" t="str">
        <f>IFERROR(__xludf.DUMMYFUNCTION("""COMPUTED_VALUE"""),"桃園市龍潭區龍潭國民小學")</f>
        <v>桃園市龍潭區龍潭國民小學</v>
      </c>
      <c r="F1320" s="14" t="str">
        <f>IFERROR(__xludf.DUMMYFUNCTION("""COMPUTED_VALUE"""),"五年級")</f>
        <v>五年級</v>
      </c>
      <c r="G1320" s="14" t="str">
        <f>IFERROR(__xludf.DUMMYFUNCTION("""COMPUTED_VALUE"""),"●小禮物")</f>
        <v>●小禮物</v>
      </c>
      <c r="H1320" s="8"/>
    </row>
    <row r="1321">
      <c r="A1321" s="18"/>
      <c r="B1321" s="14">
        <f>IFERROR(__xludf.DUMMYFUNCTION("""COMPUTED_VALUE"""),733311.0)</f>
        <v>733311</v>
      </c>
      <c r="C1321" s="14" t="str">
        <f>IFERROR(__xludf.DUMMYFUNCTION("""COMPUTED_VALUE"""),"李以晴")</f>
        <v>李以晴</v>
      </c>
      <c r="D1321" s="16" t="str">
        <f>IFERROR(__xludf.DUMMYFUNCTION("""COMPUTED_VALUE"""),"503*****es.tyc.edu.tw")</f>
        <v>503*****es.tyc.edu.tw</v>
      </c>
      <c r="E1321" s="17" t="str">
        <f>IFERROR(__xludf.DUMMYFUNCTION("""COMPUTED_VALUE"""),"桃園市龍潭區龍潭國民小學")</f>
        <v>桃園市龍潭區龍潭國民小學</v>
      </c>
      <c r="F1321" s="14" t="str">
        <f>IFERROR(__xludf.DUMMYFUNCTION("""COMPUTED_VALUE"""),"五年級")</f>
        <v>五年級</v>
      </c>
      <c r="G1321" s="14" t="str">
        <f>IFERROR(__xludf.DUMMYFUNCTION("""COMPUTED_VALUE"""),"●小禮物")</f>
        <v>●小禮物</v>
      </c>
      <c r="H1321" s="8"/>
    </row>
    <row r="1322">
      <c r="A1322" s="18"/>
      <c r="B1322" s="14">
        <f>IFERROR(__xludf.DUMMYFUNCTION("""COMPUTED_VALUE"""),756474.0)</f>
        <v>756474</v>
      </c>
      <c r="C1322" s="14" t="str">
        <f>IFERROR(__xludf.DUMMYFUNCTION("""COMPUTED_VALUE"""),"徐翊傑")</f>
        <v>徐翊傑</v>
      </c>
      <c r="D1322" s="16" t="str">
        <f>IFERROR(__xludf.DUMMYFUNCTION("""COMPUTED_VALUE"""),"503*****es.tyc.edu.tw")</f>
        <v>503*****es.tyc.edu.tw</v>
      </c>
      <c r="E1322" s="17" t="str">
        <f>IFERROR(__xludf.DUMMYFUNCTION("""COMPUTED_VALUE"""),"桃園市龍潭區龍潭國民小學")</f>
        <v>桃園市龍潭區龍潭國民小學</v>
      </c>
      <c r="F1322" s="14" t="str">
        <f>IFERROR(__xludf.DUMMYFUNCTION("""COMPUTED_VALUE"""),"五年級")</f>
        <v>五年級</v>
      </c>
      <c r="G1322" s="14" t="str">
        <f>IFERROR(__xludf.DUMMYFUNCTION("""COMPUTED_VALUE"""),"●小禮物")</f>
        <v>●小禮物</v>
      </c>
      <c r="H1322" s="8"/>
    </row>
    <row r="1323">
      <c r="A1323" s="18"/>
      <c r="B1323" s="14">
        <f>IFERROR(__xludf.DUMMYFUNCTION("""COMPUTED_VALUE"""),754288.0)</f>
        <v>754288</v>
      </c>
      <c r="C1323" s="14" t="str">
        <f>IFERROR(__xludf.DUMMYFUNCTION("""COMPUTED_VALUE"""),"張庭睿")</f>
        <v>張庭睿</v>
      </c>
      <c r="D1323" s="16" t="str">
        <f>IFERROR(__xludf.DUMMYFUNCTION("""COMPUTED_VALUE"""),"503*****es.tyc.edu.tw")</f>
        <v>503*****es.tyc.edu.tw</v>
      </c>
      <c r="E1323" s="17" t="str">
        <f>IFERROR(__xludf.DUMMYFUNCTION("""COMPUTED_VALUE"""),"桃園市龍潭區龍潭國民小學")</f>
        <v>桃園市龍潭區龍潭國民小學</v>
      </c>
      <c r="F1323" s="14" t="str">
        <f>IFERROR(__xludf.DUMMYFUNCTION("""COMPUTED_VALUE"""),"五年級")</f>
        <v>五年級</v>
      </c>
      <c r="G1323" s="14" t="str">
        <f>IFERROR(__xludf.DUMMYFUNCTION("""COMPUTED_VALUE"""),"●小禮物")</f>
        <v>●小禮物</v>
      </c>
      <c r="H1323" s="8"/>
    </row>
    <row r="1324">
      <c r="A1324" s="18"/>
      <c r="B1324" s="14">
        <f>IFERROR(__xludf.DUMMYFUNCTION("""COMPUTED_VALUE"""),1191200.0)</f>
        <v>1191200</v>
      </c>
      <c r="C1324" s="14" t="str">
        <f>IFERROR(__xludf.DUMMYFUNCTION("""COMPUTED_VALUE"""),"劉彥霆")</f>
        <v>劉彥霆</v>
      </c>
      <c r="D1324" s="16" t="str">
        <f>IFERROR(__xludf.DUMMYFUNCTION("""COMPUTED_VALUE"""),"503*****es.tyc.edu.tw")</f>
        <v>503*****es.tyc.edu.tw</v>
      </c>
      <c r="E1324" s="17" t="str">
        <f>IFERROR(__xludf.DUMMYFUNCTION("""COMPUTED_VALUE"""),"桃園市龍潭區龍潭國民小學")</f>
        <v>桃園市龍潭區龍潭國民小學</v>
      </c>
      <c r="F1324" s="14" t="str">
        <f>IFERROR(__xludf.DUMMYFUNCTION("""COMPUTED_VALUE"""),"五年級")</f>
        <v>五年級</v>
      </c>
      <c r="G1324" s="14" t="str">
        <f>IFERROR(__xludf.DUMMYFUNCTION("""COMPUTED_VALUE"""),"●小禮物")</f>
        <v>●小禮物</v>
      </c>
      <c r="H1324" s="8"/>
    </row>
    <row r="1325">
      <c r="A1325" s="18"/>
      <c r="B1325" s="14">
        <f>IFERROR(__xludf.DUMMYFUNCTION("""COMPUTED_VALUE"""),747276.0)</f>
        <v>747276</v>
      </c>
      <c r="C1325" s="14" t="str">
        <f>IFERROR(__xludf.DUMMYFUNCTION("""COMPUTED_VALUE"""),"沈楷潔")</f>
        <v>沈楷潔</v>
      </c>
      <c r="D1325" s="16" t="str">
        <f>IFERROR(__xludf.DUMMYFUNCTION("""COMPUTED_VALUE"""),"503*****es.tyc.edu.tw")</f>
        <v>503*****es.tyc.edu.tw</v>
      </c>
      <c r="E1325" s="17" t="str">
        <f>IFERROR(__xludf.DUMMYFUNCTION("""COMPUTED_VALUE"""),"桃園市龍潭區龍潭國民小學")</f>
        <v>桃園市龍潭區龍潭國民小學</v>
      </c>
      <c r="F1325" s="14" t="str">
        <f>IFERROR(__xludf.DUMMYFUNCTION("""COMPUTED_VALUE"""),"五年級")</f>
        <v>五年級</v>
      </c>
      <c r="G1325" s="14" t="str">
        <f>IFERROR(__xludf.DUMMYFUNCTION("""COMPUTED_VALUE"""),"獎狀")</f>
        <v>獎狀</v>
      </c>
      <c r="H1325" s="8"/>
    </row>
    <row r="1326">
      <c r="A1326" s="18"/>
      <c r="B1326" s="14">
        <f>IFERROR(__xludf.DUMMYFUNCTION("""COMPUTED_VALUE"""),1179595.0)</f>
        <v>1179595</v>
      </c>
      <c r="C1326" s="14" t="str">
        <f>IFERROR(__xludf.DUMMYFUNCTION("""COMPUTED_VALUE"""),"羅羽絹")</f>
        <v>羅羽絹</v>
      </c>
      <c r="D1326" s="16" t="str">
        <f>IFERROR(__xludf.DUMMYFUNCTION("""COMPUTED_VALUE"""),"503*****es.tyc.edu.tw")</f>
        <v>503*****es.tyc.edu.tw</v>
      </c>
      <c r="E1326" s="17" t="str">
        <f>IFERROR(__xludf.DUMMYFUNCTION("""COMPUTED_VALUE"""),"桃園市龍潭區龍潭國民小學")</f>
        <v>桃園市龍潭區龍潭國民小學</v>
      </c>
      <c r="F1326" s="14" t="str">
        <f>IFERROR(__xludf.DUMMYFUNCTION("""COMPUTED_VALUE"""),"五年級")</f>
        <v>五年級</v>
      </c>
      <c r="G1326" s="14" t="str">
        <f>IFERROR(__xludf.DUMMYFUNCTION("""COMPUTED_VALUE"""),"獎狀")</f>
        <v>獎狀</v>
      </c>
      <c r="H1326" s="8"/>
    </row>
    <row r="1327">
      <c r="A1327" s="18"/>
      <c r="B1327" s="14">
        <f>IFERROR(__xludf.DUMMYFUNCTION("""COMPUTED_VALUE"""),1186611.0)</f>
        <v>1186611</v>
      </c>
      <c r="C1327" s="14" t="str">
        <f>IFERROR(__xludf.DUMMYFUNCTION("""COMPUTED_VALUE"""),"潘暘瑾")</f>
        <v>潘暘瑾</v>
      </c>
      <c r="D1327" s="16" t="str">
        <f>IFERROR(__xludf.DUMMYFUNCTION("""COMPUTED_VALUE"""),"501*****es.tyc.edu.tw")</f>
        <v>501*****es.tyc.edu.tw</v>
      </c>
      <c r="E1327" s="17" t="str">
        <f>IFERROR(__xludf.DUMMYFUNCTION("""COMPUTED_VALUE"""),"桃園市龍潭區龍潭國民小學")</f>
        <v>桃園市龍潭區龍潭國民小學</v>
      </c>
      <c r="F1327" s="14" t="str">
        <f>IFERROR(__xludf.DUMMYFUNCTION("""COMPUTED_VALUE"""),"五年級")</f>
        <v>五年級</v>
      </c>
      <c r="G1327" s="14" t="str">
        <f>IFERROR(__xludf.DUMMYFUNCTION("""COMPUTED_VALUE"""),"●小禮物")</f>
        <v>●小禮物</v>
      </c>
      <c r="H1327" s="8"/>
    </row>
    <row r="1328">
      <c r="A1328" s="18"/>
      <c r="B1328" s="14">
        <f>IFERROR(__xludf.DUMMYFUNCTION("""COMPUTED_VALUE"""),1049273.0)</f>
        <v>1049273</v>
      </c>
      <c r="C1328" s="14" t="str">
        <f>IFERROR(__xludf.DUMMYFUNCTION("""COMPUTED_VALUE"""),"魏義家")</f>
        <v>魏義家</v>
      </c>
      <c r="D1328" s="16" t="str">
        <f>IFERROR(__xludf.DUMMYFUNCTION("""COMPUTED_VALUE"""),"603*****es.tyc.edu.tw")</f>
        <v>603*****es.tyc.edu.tw</v>
      </c>
      <c r="E1328" s="17" t="str">
        <f>IFERROR(__xludf.DUMMYFUNCTION("""COMPUTED_VALUE"""),"桃園市龍潭區龍潭國民小學")</f>
        <v>桃園市龍潭區龍潭國民小學</v>
      </c>
      <c r="F1328" s="14" t="str">
        <f>IFERROR(__xludf.DUMMYFUNCTION("""COMPUTED_VALUE"""),"六年級")</f>
        <v>六年級</v>
      </c>
      <c r="G1328" s="14" t="str">
        <f>IFERROR(__xludf.DUMMYFUNCTION("""COMPUTED_VALUE"""),"獎狀")</f>
        <v>獎狀</v>
      </c>
      <c r="H1328" s="8"/>
    </row>
    <row r="1329">
      <c r="A1329" s="18"/>
      <c r="B1329" s="14">
        <f>IFERROR(__xludf.DUMMYFUNCTION("""COMPUTED_VALUE"""),818935.0)</f>
        <v>818935</v>
      </c>
      <c r="C1329" s="14" t="str">
        <f>IFERROR(__xludf.DUMMYFUNCTION("""COMPUTED_VALUE"""),"陳宥鈞")</f>
        <v>陳宥鈞</v>
      </c>
      <c r="D1329" s="16" t="str">
        <f>IFERROR(__xludf.DUMMYFUNCTION("""COMPUTED_VALUE"""),"604*****es.tyc.edu.tw")</f>
        <v>604*****es.tyc.edu.tw</v>
      </c>
      <c r="E1329" s="17" t="str">
        <f>IFERROR(__xludf.DUMMYFUNCTION("""COMPUTED_VALUE"""),"桃園市龍潭區龍潭國民小學")</f>
        <v>桃園市龍潭區龍潭國民小學</v>
      </c>
      <c r="F1329" s="14" t="str">
        <f>IFERROR(__xludf.DUMMYFUNCTION("""COMPUTED_VALUE"""),"六年級")</f>
        <v>六年級</v>
      </c>
      <c r="G1329" s="14" t="str">
        <f>IFERROR(__xludf.DUMMYFUNCTION("""COMPUTED_VALUE"""),"獎狀")</f>
        <v>獎狀</v>
      </c>
      <c r="H1329" s="8"/>
    </row>
    <row r="1330">
      <c r="A1330" s="18"/>
      <c r="B1330" s="14">
        <f>IFERROR(__xludf.DUMMYFUNCTION("""COMPUTED_VALUE"""),1049265.0)</f>
        <v>1049265</v>
      </c>
      <c r="C1330" s="14" t="str">
        <f>IFERROR(__xludf.DUMMYFUNCTION("""COMPUTED_VALUE"""),"劉奕涵")</f>
        <v>劉奕涵</v>
      </c>
      <c r="D1330" s="16" t="str">
        <f>IFERROR(__xludf.DUMMYFUNCTION("""COMPUTED_VALUE"""),"604*****es.tyc.edu.tw")</f>
        <v>604*****es.tyc.edu.tw</v>
      </c>
      <c r="E1330" s="17" t="str">
        <f>IFERROR(__xludf.DUMMYFUNCTION("""COMPUTED_VALUE"""),"桃園市龍潭區龍潭國民小學")</f>
        <v>桃園市龍潭區龍潭國民小學</v>
      </c>
      <c r="F1330" s="14" t="str">
        <f>IFERROR(__xludf.DUMMYFUNCTION("""COMPUTED_VALUE"""),"六年級")</f>
        <v>六年級</v>
      </c>
      <c r="G1330" s="14" t="str">
        <f>IFERROR(__xludf.DUMMYFUNCTION("""COMPUTED_VALUE"""),"獎狀")</f>
        <v>獎狀</v>
      </c>
      <c r="H1330" s="8"/>
    </row>
    <row r="1331">
      <c r="A1331" s="18"/>
      <c r="B1331" s="14">
        <f>IFERROR(__xludf.DUMMYFUNCTION("""COMPUTED_VALUE"""),1175992.0)</f>
        <v>1175992</v>
      </c>
      <c r="C1331" s="14" t="str">
        <f>IFERROR(__xludf.DUMMYFUNCTION("""COMPUTED_VALUE"""),"侯雲輝")</f>
        <v>侯雲輝</v>
      </c>
      <c r="D1331" s="16" t="str">
        <f>IFERROR(__xludf.DUMMYFUNCTION("""COMPUTED_VALUE"""),"606*****es.tyc.edu.tw")</f>
        <v>606*****es.tyc.edu.tw</v>
      </c>
      <c r="E1331" s="17" t="str">
        <f>IFERROR(__xludf.DUMMYFUNCTION("""COMPUTED_VALUE"""),"桃園市龍潭區龍潭國民小學")</f>
        <v>桃園市龍潭區龍潭國民小學</v>
      </c>
      <c r="F1331" s="14" t="str">
        <f>IFERROR(__xludf.DUMMYFUNCTION("""COMPUTED_VALUE"""),"六年級")</f>
        <v>六年級</v>
      </c>
      <c r="G1331" s="14" t="str">
        <f>IFERROR(__xludf.DUMMYFUNCTION("""COMPUTED_VALUE"""),"●小禮物")</f>
        <v>●小禮物</v>
      </c>
      <c r="H1331" s="8"/>
    </row>
    <row r="1332">
      <c r="A1332" s="18"/>
      <c r="B1332" s="14">
        <f>IFERROR(__xludf.DUMMYFUNCTION("""COMPUTED_VALUE"""),1175990.0)</f>
        <v>1175990</v>
      </c>
      <c r="C1332" s="14" t="str">
        <f>IFERROR(__xludf.DUMMYFUNCTION("""COMPUTED_VALUE"""),"林延俊")</f>
        <v>林延俊</v>
      </c>
      <c r="D1332" s="16" t="str">
        <f>IFERROR(__xludf.DUMMYFUNCTION("""COMPUTED_VALUE"""),"606*****es.tyc.edu.tw")</f>
        <v>606*****es.tyc.edu.tw</v>
      </c>
      <c r="E1332" s="17" t="str">
        <f>IFERROR(__xludf.DUMMYFUNCTION("""COMPUTED_VALUE"""),"桃園市龍潭區龍潭國民小學")</f>
        <v>桃園市龍潭區龍潭國民小學</v>
      </c>
      <c r="F1332" s="14" t="str">
        <f>IFERROR(__xludf.DUMMYFUNCTION("""COMPUTED_VALUE"""),"六年級")</f>
        <v>六年級</v>
      </c>
      <c r="G1332" s="14" t="str">
        <f>IFERROR(__xludf.DUMMYFUNCTION("""COMPUTED_VALUE"""),"獎狀")</f>
        <v>獎狀</v>
      </c>
      <c r="H1332" s="8"/>
    </row>
    <row r="1333">
      <c r="A1333" s="18"/>
      <c r="B1333" s="14">
        <f>IFERROR(__xludf.DUMMYFUNCTION("""COMPUTED_VALUE"""),906036.0)</f>
        <v>906036</v>
      </c>
      <c r="C1333" s="14" t="str">
        <f>IFERROR(__xludf.DUMMYFUNCTION("""COMPUTED_VALUE"""),"許顯煜")</f>
        <v>許顯煜</v>
      </c>
      <c r="D1333" s="16" t="str">
        <f>IFERROR(__xludf.DUMMYFUNCTION("""COMPUTED_VALUE"""),"602*****es.tyc.edu.tw")</f>
        <v>602*****es.tyc.edu.tw</v>
      </c>
      <c r="E1333" s="17" t="str">
        <f>IFERROR(__xludf.DUMMYFUNCTION("""COMPUTED_VALUE"""),"桃園市龍潭區龍潭國民小學")</f>
        <v>桃園市龍潭區龍潭國民小學</v>
      </c>
      <c r="F1333" s="14" t="str">
        <f>IFERROR(__xludf.DUMMYFUNCTION("""COMPUTED_VALUE"""),"六年級")</f>
        <v>六年級</v>
      </c>
      <c r="G1333" s="14" t="str">
        <f>IFERROR(__xludf.DUMMYFUNCTION("""COMPUTED_VALUE"""),"獎狀")</f>
        <v>獎狀</v>
      </c>
      <c r="H1333" s="8"/>
    </row>
    <row r="1334">
      <c r="A1334" s="18"/>
      <c r="B1334" s="14">
        <f>IFERROR(__xludf.DUMMYFUNCTION("""COMPUTED_VALUE"""),1049274.0)</f>
        <v>1049274</v>
      </c>
      <c r="C1334" s="14" t="str">
        <f>IFERROR(__xludf.DUMMYFUNCTION("""COMPUTED_VALUE"""),"王忠右")</f>
        <v>王忠右</v>
      </c>
      <c r="D1334" s="16" t="str">
        <f>IFERROR(__xludf.DUMMYFUNCTION("""COMPUTED_VALUE"""),"603*****es.tyc.edu.tw")</f>
        <v>603*****es.tyc.edu.tw</v>
      </c>
      <c r="E1334" s="17" t="str">
        <f>IFERROR(__xludf.DUMMYFUNCTION("""COMPUTED_VALUE"""),"桃園市龍潭區龍潭國民小學")</f>
        <v>桃園市龍潭區龍潭國民小學</v>
      </c>
      <c r="F1334" s="14" t="str">
        <f>IFERROR(__xludf.DUMMYFUNCTION("""COMPUTED_VALUE"""),"六年級")</f>
        <v>六年級</v>
      </c>
      <c r="G1334" s="14" t="str">
        <f>IFERROR(__xludf.DUMMYFUNCTION("""COMPUTED_VALUE"""),"●小禮物")</f>
        <v>●小禮物</v>
      </c>
      <c r="H1334" s="8"/>
    </row>
    <row r="1335">
      <c r="A1335" s="18"/>
      <c r="B1335" s="14">
        <f>IFERROR(__xludf.DUMMYFUNCTION("""COMPUTED_VALUE"""),824395.0)</f>
        <v>824395</v>
      </c>
      <c r="C1335" s="14" t="str">
        <f>IFERROR(__xludf.DUMMYFUNCTION("""COMPUTED_VALUE"""),"李德容")</f>
        <v>李德容</v>
      </c>
      <c r="D1335" s="16" t="str">
        <f>IFERROR(__xludf.DUMMYFUNCTION("""COMPUTED_VALUE"""),"603*****es.tyc.edu.tw")</f>
        <v>603*****es.tyc.edu.tw</v>
      </c>
      <c r="E1335" s="17" t="str">
        <f>IFERROR(__xludf.DUMMYFUNCTION("""COMPUTED_VALUE"""),"桃園市龍潭區龍潭國民小學")</f>
        <v>桃園市龍潭區龍潭國民小學</v>
      </c>
      <c r="F1335" s="14" t="str">
        <f>IFERROR(__xludf.DUMMYFUNCTION("""COMPUTED_VALUE"""),"六年級")</f>
        <v>六年級</v>
      </c>
      <c r="G1335" s="14" t="str">
        <f>IFERROR(__xludf.DUMMYFUNCTION("""COMPUTED_VALUE"""),"●小禮物")</f>
        <v>●小禮物</v>
      </c>
      <c r="H1335" s="8"/>
    </row>
    <row r="1336">
      <c r="A1336" s="18"/>
      <c r="B1336" s="14">
        <f>IFERROR(__xludf.DUMMYFUNCTION("""COMPUTED_VALUE"""),828231.0)</f>
        <v>828231</v>
      </c>
      <c r="C1336" s="14" t="str">
        <f>IFERROR(__xludf.DUMMYFUNCTION("""COMPUTED_VALUE"""),"黃柔禎")</f>
        <v>黃柔禎</v>
      </c>
      <c r="D1336" s="16" t="str">
        <f>IFERROR(__xludf.DUMMYFUNCTION("""COMPUTED_VALUE"""),"603*****es.tyc.edu.tw")</f>
        <v>603*****es.tyc.edu.tw</v>
      </c>
      <c r="E1336" s="17" t="str">
        <f>IFERROR(__xludf.DUMMYFUNCTION("""COMPUTED_VALUE"""),"桃園市龍潭區龍潭國民小學")</f>
        <v>桃園市龍潭區龍潭國民小學</v>
      </c>
      <c r="F1336" s="14" t="str">
        <f>IFERROR(__xludf.DUMMYFUNCTION("""COMPUTED_VALUE"""),"六年級")</f>
        <v>六年級</v>
      </c>
      <c r="G1336" s="14" t="str">
        <f>IFERROR(__xludf.DUMMYFUNCTION("""COMPUTED_VALUE"""),"●小禮物")</f>
        <v>●小禮物</v>
      </c>
      <c r="H1336" s="8"/>
    </row>
    <row r="1337">
      <c r="A1337" s="18"/>
      <c r="B1337" s="14">
        <f>IFERROR(__xludf.DUMMYFUNCTION("""COMPUTED_VALUE"""),1049275.0)</f>
        <v>1049275</v>
      </c>
      <c r="C1337" s="14" t="str">
        <f>IFERROR(__xludf.DUMMYFUNCTION("""COMPUTED_VALUE"""),"劉洺嘉")</f>
        <v>劉洺嘉</v>
      </c>
      <c r="D1337" s="16" t="str">
        <f>IFERROR(__xludf.DUMMYFUNCTION("""COMPUTED_VALUE"""),"603*****es.tyc.edu.tw")</f>
        <v>603*****es.tyc.edu.tw</v>
      </c>
      <c r="E1337" s="17" t="str">
        <f>IFERROR(__xludf.DUMMYFUNCTION("""COMPUTED_VALUE"""),"桃園市龍潭區龍潭國民小學")</f>
        <v>桃園市龍潭區龍潭國民小學</v>
      </c>
      <c r="F1337" s="14" t="str">
        <f>IFERROR(__xludf.DUMMYFUNCTION("""COMPUTED_VALUE"""),"六年級")</f>
        <v>六年級</v>
      </c>
      <c r="G1337" s="14" t="str">
        <f>IFERROR(__xludf.DUMMYFUNCTION("""COMPUTED_VALUE"""),"●小禮物")</f>
        <v>●小禮物</v>
      </c>
      <c r="H1337" s="8"/>
    </row>
    <row r="1338">
      <c r="A1338" s="18"/>
      <c r="B1338" s="14">
        <f>IFERROR(__xludf.DUMMYFUNCTION("""COMPUTED_VALUE"""),1049281.0)</f>
        <v>1049281</v>
      </c>
      <c r="C1338" s="14" t="str">
        <f>IFERROR(__xludf.DUMMYFUNCTION("""COMPUTED_VALUE"""),"蔡珮綺")</f>
        <v>蔡珮綺</v>
      </c>
      <c r="D1338" s="16" t="str">
        <f>IFERROR(__xludf.DUMMYFUNCTION("""COMPUTED_VALUE"""),"603*****es.tyc.edu.tw")</f>
        <v>603*****es.tyc.edu.tw</v>
      </c>
      <c r="E1338" s="17" t="str">
        <f>IFERROR(__xludf.DUMMYFUNCTION("""COMPUTED_VALUE"""),"桃園市龍潭區龍潭國民小學")</f>
        <v>桃園市龍潭區龍潭國民小學</v>
      </c>
      <c r="F1338" s="14" t="str">
        <f>IFERROR(__xludf.DUMMYFUNCTION("""COMPUTED_VALUE"""),"六年級")</f>
        <v>六年級</v>
      </c>
      <c r="G1338" s="14" t="str">
        <f>IFERROR(__xludf.DUMMYFUNCTION("""COMPUTED_VALUE"""),"●小禮物")</f>
        <v>●小禮物</v>
      </c>
      <c r="H1338" s="8"/>
    </row>
    <row r="1339">
      <c r="A1339" s="18"/>
      <c r="B1339" s="14">
        <f>IFERROR(__xludf.DUMMYFUNCTION("""COMPUTED_VALUE"""),1049277.0)</f>
        <v>1049277</v>
      </c>
      <c r="C1339" s="14" t="str">
        <f>IFERROR(__xludf.DUMMYFUNCTION("""COMPUTED_VALUE"""),"鄭博謙")</f>
        <v>鄭博謙</v>
      </c>
      <c r="D1339" s="16" t="str">
        <f>IFERROR(__xludf.DUMMYFUNCTION("""COMPUTED_VALUE"""),"603*****es.tyc.edu.tw")</f>
        <v>603*****es.tyc.edu.tw</v>
      </c>
      <c r="E1339" s="17" t="str">
        <f>IFERROR(__xludf.DUMMYFUNCTION("""COMPUTED_VALUE"""),"桃園市龍潭區龍潭國民小學")</f>
        <v>桃園市龍潭區龍潭國民小學</v>
      </c>
      <c r="F1339" s="14" t="str">
        <f>IFERROR(__xludf.DUMMYFUNCTION("""COMPUTED_VALUE"""),"六年級")</f>
        <v>六年級</v>
      </c>
      <c r="G1339" s="14" t="str">
        <f>IFERROR(__xludf.DUMMYFUNCTION("""COMPUTED_VALUE"""),"●小禮物")</f>
        <v>●小禮物</v>
      </c>
      <c r="H1339" s="8"/>
    </row>
    <row r="1340">
      <c r="A1340" s="18"/>
      <c r="B1340" s="14">
        <f>IFERROR(__xludf.DUMMYFUNCTION("""COMPUTED_VALUE"""),1049279.0)</f>
        <v>1049279</v>
      </c>
      <c r="C1340" s="14" t="str">
        <f>IFERROR(__xludf.DUMMYFUNCTION("""COMPUTED_VALUE"""),"吳心晨")</f>
        <v>吳心晨</v>
      </c>
      <c r="D1340" s="16" t="str">
        <f>IFERROR(__xludf.DUMMYFUNCTION("""COMPUTED_VALUE"""),"603*****es.tyc.edu.tw")</f>
        <v>603*****es.tyc.edu.tw</v>
      </c>
      <c r="E1340" s="17" t="str">
        <f>IFERROR(__xludf.DUMMYFUNCTION("""COMPUTED_VALUE"""),"桃園市龍潭區龍潭國民小學")</f>
        <v>桃園市龍潭區龍潭國民小學</v>
      </c>
      <c r="F1340" s="14" t="str">
        <f>IFERROR(__xludf.DUMMYFUNCTION("""COMPUTED_VALUE"""),"六年級")</f>
        <v>六年級</v>
      </c>
      <c r="G1340" s="14" t="str">
        <f>IFERROR(__xludf.DUMMYFUNCTION("""COMPUTED_VALUE"""),"獎狀")</f>
        <v>獎狀</v>
      </c>
      <c r="H1340" s="8"/>
    </row>
    <row r="1341">
      <c r="A1341" s="18"/>
      <c r="B1341" s="14">
        <f>IFERROR(__xludf.DUMMYFUNCTION("""COMPUTED_VALUE"""),818023.0)</f>
        <v>818023</v>
      </c>
      <c r="C1341" s="14" t="str">
        <f>IFERROR(__xludf.DUMMYFUNCTION("""COMPUTED_VALUE"""),"范喆愷")</f>
        <v>范喆愷</v>
      </c>
      <c r="D1341" s="16" t="str">
        <f>IFERROR(__xludf.DUMMYFUNCTION("""COMPUTED_VALUE"""),"603*****es.tyc.edu.tw")</f>
        <v>603*****es.tyc.edu.tw</v>
      </c>
      <c r="E1341" s="17" t="str">
        <f>IFERROR(__xludf.DUMMYFUNCTION("""COMPUTED_VALUE"""),"桃園市龍潭區龍潭國民小學")</f>
        <v>桃園市龍潭區龍潭國民小學</v>
      </c>
      <c r="F1341" s="14" t="str">
        <f>IFERROR(__xludf.DUMMYFUNCTION("""COMPUTED_VALUE"""),"六年級")</f>
        <v>六年級</v>
      </c>
      <c r="G1341" s="14" t="str">
        <f>IFERROR(__xludf.DUMMYFUNCTION("""COMPUTED_VALUE"""),"獎狀")</f>
        <v>獎狀</v>
      </c>
      <c r="H1341" s="8"/>
    </row>
    <row r="1342">
      <c r="A1342" s="18"/>
      <c r="B1342" s="14">
        <f>IFERROR(__xludf.DUMMYFUNCTION("""COMPUTED_VALUE"""),1175991.0)</f>
        <v>1175991</v>
      </c>
      <c r="C1342" s="14" t="str">
        <f>IFERROR(__xludf.DUMMYFUNCTION("""COMPUTED_VALUE"""),"邱昱誠")</f>
        <v>邱昱誠</v>
      </c>
      <c r="D1342" s="16" t="str">
        <f>IFERROR(__xludf.DUMMYFUNCTION("""COMPUTED_VALUE"""),"606*****es.tyc.edu.tw")</f>
        <v>606*****es.tyc.edu.tw</v>
      </c>
      <c r="E1342" s="17" t="str">
        <f>IFERROR(__xludf.DUMMYFUNCTION("""COMPUTED_VALUE"""),"桃園市龍潭區龍潭國民小學")</f>
        <v>桃園市龍潭區龍潭國民小學</v>
      </c>
      <c r="F1342" s="14" t="str">
        <f>IFERROR(__xludf.DUMMYFUNCTION("""COMPUTED_VALUE"""),"六年級")</f>
        <v>六年級</v>
      </c>
      <c r="G1342" s="14" t="str">
        <f>IFERROR(__xludf.DUMMYFUNCTION("""COMPUTED_VALUE"""),"●小禮物")</f>
        <v>●小禮物</v>
      </c>
      <c r="H1342" s="8"/>
    </row>
    <row r="1343">
      <c r="A1343" s="18"/>
      <c r="B1343" s="14">
        <f>IFERROR(__xludf.DUMMYFUNCTION("""COMPUTED_VALUE"""),1175989.0)</f>
        <v>1175989</v>
      </c>
      <c r="C1343" s="14" t="str">
        <f>IFERROR(__xludf.DUMMYFUNCTION("""COMPUTED_VALUE"""),"高匯傑")</f>
        <v>高匯傑</v>
      </c>
      <c r="D1343" s="16" t="str">
        <f>IFERROR(__xludf.DUMMYFUNCTION("""COMPUTED_VALUE"""),"606*****es.tyc.edu.tw")</f>
        <v>606*****es.tyc.edu.tw</v>
      </c>
      <c r="E1343" s="17" t="str">
        <f>IFERROR(__xludf.DUMMYFUNCTION("""COMPUTED_VALUE"""),"桃園市龍潭區龍潭國民小學")</f>
        <v>桃園市龍潭區龍潭國民小學</v>
      </c>
      <c r="F1343" s="14" t="str">
        <f>IFERROR(__xludf.DUMMYFUNCTION("""COMPUTED_VALUE"""),"六年級")</f>
        <v>六年級</v>
      </c>
      <c r="G1343" s="14" t="str">
        <f>IFERROR(__xludf.DUMMYFUNCTION("""COMPUTED_VALUE"""),"●小禮物")</f>
        <v>●小禮物</v>
      </c>
      <c r="H1343" s="8"/>
    </row>
    <row r="1344">
      <c r="A1344" s="18"/>
      <c r="B1344" s="14">
        <f>IFERROR(__xludf.DUMMYFUNCTION("""COMPUTED_VALUE"""),1175987.0)</f>
        <v>1175987</v>
      </c>
      <c r="C1344" s="14" t="str">
        <f>IFERROR(__xludf.DUMMYFUNCTION("""COMPUTED_VALUE"""),"孫立彣")</f>
        <v>孫立彣</v>
      </c>
      <c r="D1344" s="16" t="str">
        <f>IFERROR(__xludf.DUMMYFUNCTION("""COMPUTED_VALUE"""),"606*****es.tyc.edu.tw")</f>
        <v>606*****es.tyc.edu.tw</v>
      </c>
      <c r="E1344" s="17" t="str">
        <f>IFERROR(__xludf.DUMMYFUNCTION("""COMPUTED_VALUE"""),"桃園市龍潭區龍潭國民小學")</f>
        <v>桃園市龍潭區龍潭國民小學</v>
      </c>
      <c r="F1344" s="14" t="str">
        <f>IFERROR(__xludf.DUMMYFUNCTION("""COMPUTED_VALUE"""),"六年級")</f>
        <v>六年級</v>
      </c>
      <c r="G1344" s="14" t="str">
        <f>IFERROR(__xludf.DUMMYFUNCTION("""COMPUTED_VALUE"""),"●小禮物")</f>
        <v>●小禮物</v>
      </c>
      <c r="H1344" s="8"/>
    </row>
    <row r="1345">
      <c r="A1345" s="18"/>
      <c r="B1345" s="14">
        <f>IFERROR(__xludf.DUMMYFUNCTION("""COMPUTED_VALUE"""),1175988.0)</f>
        <v>1175988</v>
      </c>
      <c r="C1345" s="14" t="str">
        <f>IFERROR(__xludf.DUMMYFUNCTION("""COMPUTED_VALUE"""),"葉日永")</f>
        <v>葉日永</v>
      </c>
      <c r="D1345" s="16" t="str">
        <f>IFERROR(__xludf.DUMMYFUNCTION("""COMPUTED_VALUE"""),"606*****es.tyc.edu.tw")</f>
        <v>606*****es.tyc.edu.tw</v>
      </c>
      <c r="E1345" s="17" t="str">
        <f>IFERROR(__xludf.DUMMYFUNCTION("""COMPUTED_VALUE"""),"桃園市龍潭區龍潭國民小學")</f>
        <v>桃園市龍潭區龍潭國民小學</v>
      </c>
      <c r="F1345" s="14" t="str">
        <f>IFERROR(__xludf.DUMMYFUNCTION("""COMPUTED_VALUE"""),"六年級")</f>
        <v>六年級</v>
      </c>
      <c r="G1345" s="14" t="str">
        <f>IFERROR(__xludf.DUMMYFUNCTION("""COMPUTED_VALUE"""),"●小禮物")</f>
        <v>●小禮物</v>
      </c>
      <c r="H1345" s="8"/>
    </row>
    <row r="1346">
      <c r="A1346" s="18"/>
      <c r="B1346" s="14">
        <f>IFERROR(__xludf.DUMMYFUNCTION("""COMPUTED_VALUE"""),1175986.0)</f>
        <v>1175986</v>
      </c>
      <c r="C1346" s="14" t="str">
        <f>IFERROR(__xludf.DUMMYFUNCTION("""COMPUTED_VALUE"""),"葉芊妤")</f>
        <v>葉芊妤</v>
      </c>
      <c r="D1346" s="16" t="str">
        <f>IFERROR(__xludf.DUMMYFUNCTION("""COMPUTED_VALUE"""),"606*****es.tyc.edu.tw")</f>
        <v>606*****es.tyc.edu.tw</v>
      </c>
      <c r="E1346" s="17" t="str">
        <f>IFERROR(__xludf.DUMMYFUNCTION("""COMPUTED_VALUE"""),"桃園市龍潭區龍潭國民小學")</f>
        <v>桃園市龍潭區龍潭國民小學</v>
      </c>
      <c r="F1346" s="14" t="str">
        <f>IFERROR(__xludf.DUMMYFUNCTION("""COMPUTED_VALUE"""),"六年級")</f>
        <v>六年級</v>
      </c>
      <c r="G1346" s="14" t="str">
        <f>IFERROR(__xludf.DUMMYFUNCTION("""COMPUTED_VALUE"""),"●小禮物")</f>
        <v>●小禮物</v>
      </c>
      <c r="H1346" s="8"/>
    </row>
    <row r="1347">
      <c r="A1347" s="18"/>
      <c r="B1347" s="14">
        <f>IFERROR(__xludf.DUMMYFUNCTION("""COMPUTED_VALUE"""),1183677.0)</f>
        <v>1183677</v>
      </c>
      <c r="C1347" s="14" t="str">
        <f>IFERROR(__xludf.DUMMYFUNCTION("""COMPUTED_VALUE"""),"鍾亦紋")</f>
        <v>鍾亦紋</v>
      </c>
      <c r="D1347" s="16" t="str">
        <f>IFERROR(__xludf.DUMMYFUNCTION("""COMPUTED_VALUE"""),"606*****es.tyc.edu.tw")</f>
        <v>606*****es.tyc.edu.tw</v>
      </c>
      <c r="E1347" s="17" t="str">
        <f>IFERROR(__xludf.DUMMYFUNCTION("""COMPUTED_VALUE"""),"桃園市龍潭區龍潭國民小學")</f>
        <v>桃園市龍潭區龍潭國民小學</v>
      </c>
      <c r="F1347" s="14" t="str">
        <f>IFERROR(__xludf.DUMMYFUNCTION("""COMPUTED_VALUE"""),"六年級")</f>
        <v>六年級</v>
      </c>
      <c r="G1347" s="14" t="str">
        <f>IFERROR(__xludf.DUMMYFUNCTION("""COMPUTED_VALUE"""),"●小禮物")</f>
        <v>●小禮物</v>
      </c>
      <c r="H1347" s="8"/>
    </row>
    <row r="1348">
      <c r="A1348" s="18"/>
      <c r="B1348" s="14">
        <f>IFERROR(__xludf.DUMMYFUNCTION("""COMPUTED_VALUE"""),1175985.0)</f>
        <v>1175985</v>
      </c>
      <c r="C1348" s="14" t="str">
        <f>IFERROR(__xludf.DUMMYFUNCTION("""COMPUTED_VALUE"""),"陳思云")</f>
        <v>陳思云</v>
      </c>
      <c r="D1348" s="16" t="str">
        <f>IFERROR(__xludf.DUMMYFUNCTION("""COMPUTED_VALUE"""),"606*****es.tyc.edu.tw")</f>
        <v>606*****es.tyc.edu.tw</v>
      </c>
      <c r="E1348" s="17" t="str">
        <f>IFERROR(__xludf.DUMMYFUNCTION("""COMPUTED_VALUE"""),"桃園市龍潭區龍潭國民小學")</f>
        <v>桃園市龍潭區龍潭國民小學</v>
      </c>
      <c r="F1348" s="14" t="str">
        <f>IFERROR(__xludf.DUMMYFUNCTION("""COMPUTED_VALUE"""),"六年級")</f>
        <v>六年級</v>
      </c>
      <c r="G1348" s="14" t="str">
        <f>IFERROR(__xludf.DUMMYFUNCTION("""COMPUTED_VALUE"""),"獎狀")</f>
        <v>獎狀</v>
      </c>
      <c r="H1348" s="8"/>
    </row>
    <row r="1349">
      <c r="A1349" s="18"/>
      <c r="B1349" s="14">
        <f>IFERROR(__xludf.DUMMYFUNCTION("""COMPUTED_VALUE"""),1175984.0)</f>
        <v>1175984</v>
      </c>
      <c r="C1349" s="14" t="str">
        <f>IFERROR(__xludf.DUMMYFUNCTION("""COMPUTED_VALUE"""),"鄒明蓁")</f>
        <v>鄒明蓁</v>
      </c>
      <c r="D1349" s="16" t="str">
        <f>IFERROR(__xludf.DUMMYFUNCTION("""COMPUTED_VALUE"""),"606*****es.tyc.edu.tw")</f>
        <v>606*****es.tyc.edu.tw</v>
      </c>
      <c r="E1349" s="17" t="str">
        <f>IFERROR(__xludf.DUMMYFUNCTION("""COMPUTED_VALUE"""),"桃園市龍潭區龍潭國民小學")</f>
        <v>桃園市龍潭區龍潭國民小學</v>
      </c>
      <c r="F1349" s="14" t="str">
        <f>IFERROR(__xludf.DUMMYFUNCTION("""COMPUTED_VALUE"""),"六年級")</f>
        <v>六年級</v>
      </c>
      <c r="G1349" s="14" t="str">
        <f>IFERROR(__xludf.DUMMYFUNCTION("""COMPUTED_VALUE"""),"獎狀")</f>
        <v>獎狀</v>
      </c>
      <c r="H1349" s="8"/>
    </row>
    <row r="1350">
      <c r="A1350" s="18"/>
      <c r="B1350" s="14">
        <f>IFERROR(__xludf.DUMMYFUNCTION("""COMPUTED_VALUE"""),1175993.0)</f>
        <v>1175993</v>
      </c>
      <c r="C1350" s="14" t="str">
        <f>IFERROR(__xludf.DUMMYFUNCTION("""COMPUTED_VALUE"""),"魏聖叡")</f>
        <v>魏聖叡</v>
      </c>
      <c r="D1350" s="16" t="str">
        <f>IFERROR(__xludf.DUMMYFUNCTION("""COMPUTED_VALUE"""),"606*****es.tyc.edu.tw")</f>
        <v>606*****es.tyc.edu.tw</v>
      </c>
      <c r="E1350" s="17" t="str">
        <f>IFERROR(__xludf.DUMMYFUNCTION("""COMPUTED_VALUE"""),"桃園市龍潭區龍潭國民小學")</f>
        <v>桃園市龍潭區龍潭國民小學</v>
      </c>
      <c r="F1350" s="14" t="str">
        <f>IFERROR(__xludf.DUMMYFUNCTION("""COMPUTED_VALUE"""),"六年級")</f>
        <v>六年級</v>
      </c>
      <c r="G1350" s="14" t="str">
        <f>IFERROR(__xludf.DUMMYFUNCTION("""COMPUTED_VALUE"""),"獎狀")</f>
        <v>獎狀</v>
      </c>
      <c r="H1350" s="8"/>
    </row>
    <row r="1351">
      <c r="A1351" s="18"/>
      <c r="B1351" s="14">
        <f>IFERROR(__xludf.DUMMYFUNCTION("""COMPUTED_VALUE"""),818933.0)</f>
        <v>818933</v>
      </c>
      <c r="C1351" s="14" t="str">
        <f>IFERROR(__xludf.DUMMYFUNCTION("""COMPUTED_VALUE"""),"翁諭梣")</f>
        <v>翁諭梣</v>
      </c>
      <c r="D1351" s="16" t="str">
        <f>IFERROR(__xludf.DUMMYFUNCTION("""COMPUTED_VALUE"""),"604*****es.tyc.edu.tw")</f>
        <v>604*****es.tyc.edu.tw</v>
      </c>
      <c r="E1351" s="17" t="str">
        <f>IFERROR(__xludf.DUMMYFUNCTION("""COMPUTED_VALUE"""),"桃園市龍潭區龍潭國民小學")</f>
        <v>桃園市龍潭區龍潭國民小學</v>
      </c>
      <c r="F1351" s="14" t="str">
        <f>IFERROR(__xludf.DUMMYFUNCTION("""COMPUTED_VALUE"""),"六年級")</f>
        <v>六年級</v>
      </c>
      <c r="G1351" s="14" t="str">
        <f>IFERROR(__xludf.DUMMYFUNCTION("""COMPUTED_VALUE"""),"獎狀")</f>
        <v>獎狀</v>
      </c>
      <c r="H1351" s="8"/>
    </row>
    <row r="1352">
      <c r="A1352" s="18"/>
      <c r="B1352" s="14">
        <f>IFERROR(__xludf.DUMMYFUNCTION("""COMPUTED_VALUE"""),828198.0)</f>
        <v>828198</v>
      </c>
      <c r="C1352" s="14" t="str">
        <f>IFERROR(__xludf.DUMMYFUNCTION("""COMPUTED_VALUE"""),"陳佳瑩")</f>
        <v>陳佳瑩</v>
      </c>
      <c r="D1352" s="16" t="str">
        <f>IFERROR(__xludf.DUMMYFUNCTION("""COMPUTED_VALUE"""),"604*****es.tyc.edu.tw")</f>
        <v>604*****es.tyc.edu.tw</v>
      </c>
      <c r="E1352" s="17" t="str">
        <f>IFERROR(__xludf.DUMMYFUNCTION("""COMPUTED_VALUE"""),"桃園市龍潭區龍潭國民小學")</f>
        <v>桃園市龍潭區龍潭國民小學</v>
      </c>
      <c r="F1352" s="14" t="str">
        <f>IFERROR(__xludf.DUMMYFUNCTION("""COMPUTED_VALUE"""),"六年級")</f>
        <v>六年級</v>
      </c>
      <c r="G1352" s="14" t="str">
        <f>IFERROR(__xludf.DUMMYFUNCTION("""COMPUTED_VALUE"""),"●小禮物")</f>
        <v>●小禮物</v>
      </c>
      <c r="H1352" s="8"/>
    </row>
    <row r="1353">
      <c r="A1353" s="18"/>
      <c r="B1353" s="14">
        <f>IFERROR(__xludf.DUMMYFUNCTION("""COMPUTED_VALUE"""),832772.0)</f>
        <v>832772</v>
      </c>
      <c r="C1353" s="14" t="str">
        <f>IFERROR(__xludf.DUMMYFUNCTION("""COMPUTED_VALUE"""),"陳依珊")</f>
        <v>陳依珊</v>
      </c>
      <c r="D1353" s="16" t="str">
        <f>IFERROR(__xludf.DUMMYFUNCTION("""COMPUTED_VALUE"""),"604*****es.tyc.edu.tw")</f>
        <v>604*****es.tyc.edu.tw</v>
      </c>
      <c r="E1353" s="17" t="str">
        <f>IFERROR(__xludf.DUMMYFUNCTION("""COMPUTED_VALUE"""),"桃園市龍潭區龍潭國民小學")</f>
        <v>桃園市龍潭區龍潭國民小學</v>
      </c>
      <c r="F1353" s="14" t="str">
        <f>IFERROR(__xludf.DUMMYFUNCTION("""COMPUTED_VALUE"""),"六年級")</f>
        <v>六年級</v>
      </c>
      <c r="G1353" s="14" t="str">
        <f>IFERROR(__xludf.DUMMYFUNCTION("""COMPUTED_VALUE"""),"●小禮物")</f>
        <v>●小禮物</v>
      </c>
      <c r="H1353" s="8"/>
    </row>
    <row r="1354">
      <c r="A1354" s="18"/>
      <c r="B1354" s="14">
        <f>IFERROR(__xludf.DUMMYFUNCTION("""COMPUTED_VALUE"""),818066.0)</f>
        <v>818066</v>
      </c>
      <c r="C1354" s="14" t="str">
        <f>IFERROR(__xludf.DUMMYFUNCTION("""COMPUTED_VALUE"""),"温佩雨")</f>
        <v>温佩雨</v>
      </c>
      <c r="D1354" s="16" t="str">
        <f>IFERROR(__xludf.DUMMYFUNCTION("""COMPUTED_VALUE"""),"604*****es.tyc.edu.tw")</f>
        <v>604*****es.tyc.edu.tw</v>
      </c>
      <c r="E1354" s="17" t="str">
        <f>IFERROR(__xludf.DUMMYFUNCTION("""COMPUTED_VALUE"""),"桃園市龍潭區龍潭國民小學")</f>
        <v>桃園市龍潭區龍潭國民小學</v>
      </c>
      <c r="F1354" s="14" t="str">
        <f>IFERROR(__xludf.DUMMYFUNCTION("""COMPUTED_VALUE"""),"六年級")</f>
        <v>六年級</v>
      </c>
      <c r="G1354" s="14" t="str">
        <f>IFERROR(__xludf.DUMMYFUNCTION("""COMPUTED_VALUE"""),"●小禮物")</f>
        <v>●小禮物</v>
      </c>
      <c r="H1354" s="8"/>
    </row>
    <row r="1355">
      <c r="A1355" s="18"/>
      <c r="B1355" s="14">
        <f>IFERROR(__xludf.DUMMYFUNCTION("""COMPUTED_VALUE"""),820750.0)</f>
        <v>820750</v>
      </c>
      <c r="C1355" s="14" t="str">
        <f>IFERROR(__xludf.DUMMYFUNCTION("""COMPUTED_VALUE"""),"應育珊")</f>
        <v>應育珊</v>
      </c>
      <c r="D1355" s="16" t="str">
        <f>IFERROR(__xludf.DUMMYFUNCTION("""COMPUTED_VALUE"""),"604*****es.tyc.edu.tw")</f>
        <v>604*****es.tyc.edu.tw</v>
      </c>
      <c r="E1355" s="17" t="str">
        <f>IFERROR(__xludf.DUMMYFUNCTION("""COMPUTED_VALUE"""),"桃園市龍潭區龍潭國民小學")</f>
        <v>桃園市龍潭區龍潭國民小學</v>
      </c>
      <c r="F1355" s="14" t="str">
        <f>IFERROR(__xludf.DUMMYFUNCTION("""COMPUTED_VALUE"""),"六年級")</f>
        <v>六年級</v>
      </c>
      <c r="G1355" s="14" t="str">
        <f>IFERROR(__xludf.DUMMYFUNCTION("""COMPUTED_VALUE"""),"●小禮物")</f>
        <v>●小禮物</v>
      </c>
      <c r="H1355" s="8"/>
    </row>
    <row r="1356">
      <c r="A1356" s="18"/>
      <c r="B1356" s="14">
        <f>IFERROR(__xludf.DUMMYFUNCTION("""COMPUTED_VALUE"""),825230.0)</f>
        <v>825230</v>
      </c>
      <c r="C1356" s="14" t="str">
        <f>IFERROR(__xludf.DUMMYFUNCTION("""COMPUTED_VALUE"""),"古盈宥")</f>
        <v>古盈宥</v>
      </c>
      <c r="D1356" s="16" t="str">
        <f>IFERROR(__xludf.DUMMYFUNCTION("""COMPUTED_VALUE"""),"604*****es.tyc.edu.tw")</f>
        <v>604*****es.tyc.edu.tw</v>
      </c>
      <c r="E1356" s="17" t="str">
        <f>IFERROR(__xludf.DUMMYFUNCTION("""COMPUTED_VALUE"""),"桃園市龍潭區龍潭國民小學")</f>
        <v>桃園市龍潭區龍潭國民小學</v>
      </c>
      <c r="F1356" s="14" t="str">
        <f>IFERROR(__xludf.DUMMYFUNCTION("""COMPUTED_VALUE"""),"六年級")</f>
        <v>六年級</v>
      </c>
      <c r="G1356" s="14" t="str">
        <f>IFERROR(__xludf.DUMMYFUNCTION("""COMPUTED_VALUE"""),"獎狀")</f>
        <v>獎狀</v>
      </c>
      <c r="H1356" s="8"/>
    </row>
    <row r="1357">
      <c r="A1357" s="18"/>
      <c r="B1357" s="14">
        <f>IFERROR(__xludf.DUMMYFUNCTION("""COMPUTED_VALUE"""),824475.0)</f>
        <v>824475</v>
      </c>
      <c r="C1357" s="14" t="str">
        <f>IFERROR(__xludf.DUMMYFUNCTION("""COMPUTED_VALUE"""),"沈樂")</f>
        <v>沈樂</v>
      </c>
      <c r="D1357" s="16" t="str">
        <f>IFERROR(__xludf.DUMMYFUNCTION("""COMPUTED_VALUE"""),"604*****es.tyc.edu.tw")</f>
        <v>604*****es.tyc.edu.tw</v>
      </c>
      <c r="E1357" s="17" t="str">
        <f>IFERROR(__xludf.DUMMYFUNCTION("""COMPUTED_VALUE"""),"桃園市龍潭區龍潭國民小學")</f>
        <v>桃園市龍潭區龍潭國民小學</v>
      </c>
      <c r="F1357" s="14" t="str">
        <f>IFERROR(__xludf.DUMMYFUNCTION("""COMPUTED_VALUE"""),"六年級")</f>
        <v>六年級</v>
      </c>
      <c r="G1357" s="14" t="str">
        <f>IFERROR(__xludf.DUMMYFUNCTION("""COMPUTED_VALUE"""),"獎狀")</f>
        <v>獎狀</v>
      </c>
      <c r="H1357" s="8"/>
    </row>
    <row r="1358">
      <c r="A1358" s="18"/>
      <c r="B1358" s="14">
        <f>IFERROR(__xludf.DUMMYFUNCTION("""COMPUTED_VALUE"""),818930.0)</f>
        <v>818930</v>
      </c>
      <c r="C1358" s="14" t="str">
        <f>IFERROR(__xludf.DUMMYFUNCTION("""COMPUTED_VALUE"""),"邱奕程")</f>
        <v>邱奕程</v>
      </c>
      <c r="D1358" s="16" t="str">
        <f>IFERROR(__xludf.DUMMYFUNCTION("""COMPUTED_VALUE"""),"604*****es.tyc.edu.tw")</f>
        <v>604*****es.tyc.edu.tw</v>
      </c>
      <c r="E1358" s="17" t="str">
        <f>IFERROR(__xludf.DUMMYFUNCTION("""COMPUTED_VALUE"""),"桃園市龍潭區龍潭國民小學")</f>
        <v>桃園市龍潭區龍潭國民小學</v>
      </c>
      <c r="F1358" s="14" t="str">
        <f>IFERROR(__xludf.DUMMYFUNCTION("""COMPUTED_VALUE"""),"六年級")</f>
        <v>六年級</v>
      </c>
      <c r="G1358" s="14" t="str">
        <f>IFERROR(__xludf.DUMMYFUNCTION("""COMPUTED_VALUE"""),"獎狀")</f>
        <v>獎狀</v>
      </c>
      <c r="H1358" s="8"/>
    </row>
    <row r="1359">
      <c r="A1359" s="18"/>
      <c r="B1359" s="14">
        <f>IFERROR(__xludf.DUMMYFUNCTION("""COMPUTED_VALUE"""),832773.0)</f>
        <v>832773</v>
      </c>
      <c r="C1359" s="14" t="str">
        <f>IFERROR(__xludf.DUMMYFUNCTION("""COMPUTED_VALUE"""),"許馨云")</f>
        <v>許馨云</v>
      </c>
      <c r="D1359" s="16" t="str">
        <f>IFERROR(__xludf.DUMMYFUNCTION("""COMPUTED_VALUE"""),"604*****es.tyc.edu.tw")</f>
        <v>604*****es.tyc.edu.tw</v>
      </c>
      <c r="E1359" s="17" t="str">
        <f>IFERROR(__xludf.DUMMYFUNCTION("""COMPUTED_VALUE"""),"桃園市龍潭區龍潭國民小學")</f>
        <v>桃園市龍潭區龍潭國民小學</v>
      </c>
      <c r="F1359" s="14" t="str">
        <f>IFERROR(__xludf.DUMMYFUNCTION("""COMPUTED_VALUE"""),"六年級")</f>
        <v>六年級</v>
      </c>
      <c r="G1359" s="14" t="str">
        <f>IFERROR(__xludf.DUMMYFUNCTION("""COMPUTED_VALUE"""),"獎狀")</f>
        <v>獎狀</v>
      </c>
      <c r="H1359" s="8"/>
    </row>
    <row r="1360">
      <c r="A1360" s="18"/>
      <c r="B1360" s="14">
        <f>IFERROR(__xludf.DUMMYFUNCTION("""COMPUTED_VALUE"""),818931.0)</f>
        <v>818931</v>
      </c>
      <c r="C1360" s="14" t="str">
        <f>IFERROR(__xludf.DUMMYFUNCTION("""COMPUTED_VALUE"""),"陳裕棠")</f>
        <v>陳裕棠</v>
      </c>
      <c r="D1360" s="16" t="str">
        <f>IFERROR(__xludf.DUMMYFUNCTION("""COMPUTED_VALUE"""),"604*****es.tyc.edu.tw")</f>
        <v>604*****es.tyc.edu.tw</v>
      </c>
      <c r="E1360" s="17" t="str">
        <f>IFERROR(__xludf.DUMMYFUNCTION("""COMPUTED_VALUE"""),"桃園市龍潭區龍潭國民小學")</f>
        <v>桃園市龍潭區龍潭國民小學</v>
      </c>
      <c r="F1360" s="14" t="str">
        <f>IFERROR(__xludf.DUMMYFUNCTION("""COMPUTED_VALUE"""),"六年級")</f>
        <v>六年級</v>
      </c>
      <c r="G1360" s="14" t="str">
        <f>IFERROR(__xludf.DUMMYFUNCTION("""COMPUTED_VALUE"""),"獎狀")</f>
        <v>獎狀</v>
      </c>
      <c r="H1360" s="8"/>
    </row>
    <row r="1361">
      <c r="A1361" s="18"/>
      <c r="B1361" s="14">
        <f>IFERROR(__xludf.DUMMYFUNCTION("""COMPUTED_VALUE"""),1049267.0)</f>
        <v>1049267</v>
      </c>
      <c r="C1361" s="14" t="str">
        <f>IFERROR(__xludf.DUMMYFUNCTION("""COMPUTED_VALUE"""),"黃心妮")</f>
        <v>黃心妮</v>
      </c>
      <c r="D1361" s="16" t="str">
        <f>IFERROR(__xludf.DUMMYFUNCTION("""COMPUTED_VALUE"""),"604*****es.tyc.edu.tw")</f>
        <v>604*****es.tyc.edu.tw</v>
      </c>
      <c r="E1361" s="17" t="str">
        <f>IFERROR(__xludf.DUMMYFUNCTION("""COMPUTED_VALUE"""),"桃園市龍潭區龍潭國民小學")</f>
        <v>桃園市龍潭區龍潭國民小學</v>
      </c>
      <c r="F1361" s="14" t="str">
        <f>IFERROR(__xludf.DUMMYFUNCTION("""COMPUTED_VALUE"""),"六年級")</f>
        <v>六年級</v>
      </c>
      <c r="G1361" s="14" t="str">
        <f>IFERROR(__xludf.DUMMYFUNCTION("""COMPUTED_VALUE"""),"獎狀")</f>
        <v>獎狀</v>
      </c>
      <c r="H1361" s="8"/>
    </row>
    <row r="1362">
      <c r="A1362" s="18"/>
      <c r="B1362" s="14">
        <f>IFERROR(__xludf.DUMMYFUNCTION("""COMPUTED_VALUE"""),818936.0)</f>
        <v>818936</v>
      </c>
      <c r="C1362" s="14" t="str">
        <f>IFERROR(__xludf.DUMMYFUNCTION("""COMPUTED_VALUE"""),"鄔元爵")</f>
        <v>鄔元爵</v>
      </c>
      <c r="D1362" s="16" t="str">
        <f>IFERROR(__xludf.DUMMYFUNCTION("""COMPUTED_VALUE"""),"604*****es.tyc.edu.tw")</f>
        <v>604*****es.tyc.edu.tw</v>
      </c>
      <c r="E1362" s="17" t="str">
        <f>IFERROR(__xludf.DUMMYFUNCTION("""COMPUTED_VALUE"""),"桃園市龍潭區龍潭國民小學")</f>
        <v>桃園市龍潭區龍潭國民小學</v>
      </c>
      <c r="F1362" s="14" t="str">
        <f>IFERROR(__xludf.DUMMYFUNCTION("""COMPUTED_VALUE"""),"六年級")</f>
        <v>六年級</v>
      </c>
      <c r="G1362" s="14" t="str">
        <f>IFERROR(__xludf.DUMMYFUNCTION("""COMPUTED_VALUE"""),"獎狀")</f>
        <v>獎狀</v>
      </c>
      <c r="H1362" s="8"/>
    </row>
    <row r="1363">
      <c r="A1363" s="18"/>
      <c r="B1363" s="14">
        <f>IFERROR(__xludf.DUMMYFUNCTION("""COMPUTED_VALUE"""),818943.0)</f>
        <v>818943</v>
      </c>
      <c r="C1363" s="14" t="str">
        <f>IFERROR(__xludf.DUMMYFUNCTION("""COMPUTED_VALUE"""),"廖宸揚")</f>
        <v>廖宸揚</v>
      </c>
      <c r="D1363" s="16" t="str">
        <f>IFERROR(__xludf.DUMMYFUNCTION("""COMPUTED_VALUE"""),"604*****es.tyc.edu.tw")</f>
        <v>604*****es.tyc.edu.tw</v>
      </c>
      <c r="E1363" s="17" t="str">
        <f>IFERROR(__xludf.DUMMYFUNCTION("""COMPUTED_VALUE"""),"桃園市龍潭區龍潭國民小學")</f>
        <v>桃園市龍潭區龍潭國民小學</v>
      </c>
      <c r="F1363" s="14" t="str">
        <f>IFERROR(__xludf.DUMMYFUNCTION("""COMPUTED_VALUE"""),"六年級")</f>
        <v>六年級</v>
      </c>
      <c r="G1363" s="14" t="str">
        <f>IFERROR(__xludf.DUMMYFUNCTION("""COMPUTED_VALUE"""),"獎狀")</f>
        <v>獎狀</v>
      </c>
      <c r="H1363" s="8"/>
    </row>
    <row r="1364">
      <c r="A1364" s="18"/>
      <c r="B1364" s="14">
        <f>IFERROR(__xludf.DUMMYFUNCTION("""COMPUTED_VALUE"""),818932.0)</f>
        <v>818932</v>
      </c>
      <c r="C1364" s="14" t="str">
        <f>IFERROR(__xludf.DUMMYFUNCTION("""COMPUTED_VALUE"""),"趙明峰")</f>
        <v>趙明峰</v>
      </c>
      <c r="D1364" s="16" t="str">
        <f>IFERROR(__xludf.DUMMYFUNCTION("""COMPUTED_VALUE"""),"604*****es.tyc.edu.tw")</f>
        <v>604*****es.tyc.edu.tw</v>
      </c>
      <c r="E1364" s="17" t="str">
        <f>IFERROR(__xludf.DUMMYFUNCTION("""COMPUTED_VALUE"""),"桃園市龍潭區龍潭國民小學")</f>
        <v>桃園市龍潭區龍潭國民小學</v>
      </c>
      <c r="F1364" s="14" t="str">
        <f>IFERROR(__xludf.DUMMYFUNCTION("""COMPUTED_VALUE"""),"六年級")</f>
        <v>六年級</v>
      </c>
      <c r="G1364" s="14" t="str">
        <f>IFERROR(__xludf.DUMMYFUNCTION("""COMPUTED_VALUE"""),"獎狀")</f>
        <v>獎狀</v>
      </c>
      <c r="H1364" s="8"/>
    </row>
    <row r="1365">
      <c r="A1365" s="18"/>
      <c r="B1365" s="14">
        <f>IFERROR(__xludf.DUMMYFUNCTION("""COMPUTED_VALUE"""),1049268.0)</f>
        <v>1049268</v>
      </c>
      <c r="C1365" s="14" t="str">
        <f>IFERROR(__xludf.DUMMYFUNCTION("""COMPUTED_VALUE"""),"賴寒")</f>
        <v>賴寒</v>
      </c>
      <c r="D1365" s="16" t="str">
        <f>IFERROR(__xludf.DUMMYFUNCTION("""COMPUTED_VALUE"""),"604*****es.tyc.edu.tw")</f>
        <v>604*****es.tyc.edu.tw</v>
      </c>
      <c r="E1365" s="17" t="str">
        <f>IFERROR(__xludf.DUMMYFUNCTION("""COMPUTED_VALUE"""),"桃園市龍潭區龍潭國民小學")</f>
        <v>桃園市龍潭區龍潭國民小學</v>
      </c>
      <c r="F1365" s="14" t="str">
        <f>IFERROR(__xludf.DUMMYFUNCTION("""COMPUTED_VALUE"""),"六年級")</f>
        <v>六年級</v>
      </c>
      <c r="G1365" s="14" t="str">
        <f>IFERROR(__xludf.DUMMYFUNCTION("""COMPUTED_VALUE"""),"獎狀")</f>
        <v>獎狀</v>
      </c>
      <c r="H1365" s="8"/>
    </row>
    <row r="1366">
      <c r="A1366" s="18"/>
      <c r="B1366" s="14">
        <f>IFERROR(__xludf.DUMMYFUNCTION("""COMPUTED_VALUE"""),1196639.0)</f>
        <v>1196639</v>
      </c>
      <c r="C1366" s="14" t="str">
        <f>IFERROR(__xludf.DUMMYFUNCTION("""COMPUTED_VALUE"""),"吳沂潔")</f>
        <v>吳沂潔</v>
      </c>
      <c r="D1366" s="16" t="str">
        <f>IFERROR(__xludf.DUMMYFUNCTION("""COMPUTED_VALUE"""),"ymp*****317@ymps.tyc.edu.tw")</f>
        <v>ymp*****317@ymps.tyc.edu.tw</v>
      </c>
      <c r="E1366" s="17" t="str">
        <f>IFERROR(__xludf.DUMMYFUNCTION("""COMPUTED_VALUE"""),"桃園市楊梅區楊明國民小學")</f>
        <v>桃園市楊梅區楊明國民小學</v>
      </c>
      <c r="F1366" s="14" t="str">
        <f>IFERROR(__xludf.DUMMYFUNCTION("""COMPUTED_VALUE"""),"四年級")</f>
        <v>四年級</v>
      </c>
      <c r="G1366" s="14" t="str">
        <f>IFERROR(__xludf.DUMMYFUNCTION("""COMPUTED_VALUE"""),"獎狀")</f>
        <v>獎狀</v>
      </c>
      <c r="H1366" s="8"/>
    </row>
    <row r="1367">
      <c r="A1367" s="18"/>
      <c r="B1367" s="14">
        <f>IFERROR(__xludf.DUMMYFUNCTION("""COMPUTED_VALUE"""),1196966.0)</f>
        <v>1196966</v>
      </c>
      <c r="C1367" s="14" t="str">
        <f>IFERROR(__xludf.DUMMYFUNCTION("""COMPUTED_VALUE"""),"彭苡軒")</f>
        <v>彭苡軒</v>
      </c>
      <c r="D1367" s="16" t="str">
        <f>IFERROR(__xludf.DUMMYFUNCTION("""COMPUTED_VALUE"""),"ymp*****114@ymps.tyc.edu.tw")</f>
        <v>ymp*****114@ymps.tyc.edu.tw</v>
      </c>
      <c r="E1367" s="17" t="str">
        <f>IFERROR(__xludf.DUMMYFUNCTION("""COMPUTED_VALUE"""),"桃園市楊梅區楊明國民小學")</f>
        <v>桃園市楊梅區楊明國民小學</v>
      </c>
      <c r="F1367" s="14" t="str">
        <f>IFERROR(__xludf.DUMMYFUNCTION("""COMPUTED_VALUE"""),"六年級")</f>
        <v>六年級</v>
      </c>
      <c r="G1367" s="14" t="str">
        <f>IFERROR(__xludf.DUMMYFUNCTION("""COMPUTED_VALUE"""),"●小禮物")</f>
        <v>●小禮物</v>
      </c>
      <c r="H1367" s="8"/>
    </row>
    <row r="1368">
      <c r="A1368" s="18"/>
      <c r="B1368" s="14">
        <f>IFERROR(__xludf.DUMMYFUNCTION("""COMPUTED_VALUE"""),1169407.0)</f>
        <v>1169407</v>
      </c>
      <c r="C1368" s="14" t="str">
        <f>IFERROR(__xludf.DUMMYFUNCTION("""COMPUTED_VALUE"""),"吳沂恩")</f>
        <v>吳沂恩</v>
      </c>
      <c r="D1368" s="16" t="str">
        <f>IFERROR(__xludf.DUMMYFUNCTION("""COMPUTED_VALUE"""),"ymp*****216@ymps.tyc.edu.tw")</f>
        <v>ymp*****216@ymps.tyc.edu.tw</v>
      </c>
      <c r="E1368" s="17" t="str">
        <f>IFERROR(__xludf.DUMMYFUNCTION("""COMPUTED_VALUE"""),"桃園市楊梅區楊明國民小學")</f>
        <v>桃園市楊梅區楊明國民小學</v>
      </c>
      <c r="F1368" s="14" t="str">
        <f>IFERROR(__xludf.DUMMYFUNCTION("""COMPUTED_VALUE"""),"六年級")</f>
        <v>六年級</v>
      </c>
      <c r="G1368" s="14" t="str">
        <f>IFERROR(__xludf.DUMMYFUNCTION("""COMPUTED_VALUE"""),"獎狀")</f>
        <v>獎狀</v>
      </c>
      <c r="H1368" s="8"/>
    </row>
    <row r="1369">
      <c r="A1369" s="18"/>
      <c r="B1369" s="14">
        <f>IFERROR(__xludf.DUMMYFUNCTION("""COMPUTED_VALUE"""),1214556.0)</f>
        <v>1214556</v>
      </c>
      <c r="C1369" s="14" t="str">
        <f>IFERROR(__xludf.DUMMYFUNCTION("""COMPUTED_VALUE"""),"金以若")</f>
        <v>金以若</v>
      </c>
      <c r="D1369" s="16" t="str">
        <f>IFERROR(__xludf.DUMMYFUNCTION("""COMPUTED_VALUE"""),"ymp*****222@ymps.tyc.edu.tw")</f>
        <v>ymp*****222@ymps.tyc.edu.tw</v>
      </c>
      <c r="E1369" s="17" t="str">
        <f>IFERROR(__xludf.DUMMYFUNCTION("""COMPUTED_VALUE"""),"桃園市楊梅區楊明國民小學")</f>
        <v>桃園市楊梅區楊明國民小學</v>
      </c>
      <c r="F1369" s="14" t="str">
        <f>IFERROR(__xludf.DUMMYFUNCTION("""COMPUTED_VALUE"""),"六年級")</f>
        <v>六年級</v>
      </c>
      <c r="G1369" s="14" t="str">
        <f>IFERROR(__xludf.DUMMYFUNCTION("""COMPUTED_VALUE"""),"獎狀")</f>
        <v>獎狀</v>
      </c>
      <c r="H1369" s="8"/>
    </row>
    <row r="1370">
      <c r="A1370" s="18"/>
      <c r="B1370" s="14">
        <f>IFERROR(__xludf.DUMMYFUNCTION("""COMPUTED_VALUE"""),711931.0)</f>
        <v>711931</v>
      </c>
      <c r="C1370" s="14" t="str">
        <f>IFERROR(__xludf.DUMMYFUNCTION("""COMPUTED_VALUE"""),"楊旻熙")</f>
        <v>楊旻熙</v>
      </c>
      <c r="D1370" s="16" t="str">
        <f>IFERROR(__xludf.DUMMYFUNCTION("""COMPUTED_VALUE"""),"106*****mail.swps.tyc.edu.tw")</f>
        <v>106*****mail.swps.tyc.edu.tw</v>
      </c>
      <c r="E1370" s="17" t="str">
        <f>IFERROR(__xludf.DUMMYFUNCTION("""COMPUTED_VALUE"""),"桃園市楊梅區四維國民小學")</f>
        <v>桃園市楊梅區四維國民小學</v>
      </c>
      <c r="F1370" s="14" t="str">
        <f>IFERROR(__xludf.DUMMYFUNCTION("""COMPUTED_VALUE"""),"六年級")</f>
        <v>六年級</v>
      </c>
      <c r="G1370" s="14" t="str">
        <f>IFERROR(__xludf.DUMMYFUNCTION("""COMPUTED_VALUE"""),"獎狀")</f>
        <v>獎狀</v>
      </c>
      <c r="H1370" s="8"/>
    </row>
    <row r="1371">
      <c r="A1371" s="18"/>
      <c r="B1371" s="14">
        <f>IFERROR(__xludf.DUMMYFUNCTION("""COMPUTED_VALUE"""),1218718.0)</f>
        <v>1218718</v>
      </c>
      <c r="C1371" s="14" t="str">
        <f>IFERROR(__xludf.DUMMYFUNCTION("""COMPUTED_VALUE"""),"黃暄予")</f>
        <v>黃暄予</v>
      </c>
      <c r="D1371" s="16" t="str">
        <f>IFERROR(__xludf.DUMMYFUNCTION("""COMPUTED_VALUE"""),"h91*****ia@gmail.com")</f>
        <v>h91*****ia@gmail.com</v>
      </c>
      <c r="E1371" s="17" t="str">
        <f>IFERROR(__xludf.DUMMYFUNCTION("""COMPUTED_VALUE"""),"桃園市楊梅區楊梅國民小學")</f>
        <v>桃園市楊梅區楊梅國民小學</v>
      </c>
      <c r="F1371" s="14" t="str">
        <f>IFERROR(__xludf.DUMMYFUNCTION("""COMPUTED_VALUE"""),"三年級")</f>
        <v>三年級</v>
      </c>
      <c r="G1371" s="14" t="str">
        <f>IFERROR(__xludf.DUMMYFUNCTION("""COMPUTED_VALUE"""),"獎狀")</f>
        <v>獎狀</v>
      </c>
      <c r="H1371" s="8"/>
    </row>
    <row r="1372">
      <c r="A1372" s="18"/>
      <c r="B1372" s="14">
        <f>IFERROR(__xludf.DUMMYFUNCTION("""COMPUTED_VALUE"""),937062.0)</f>
        <v>937062</v>
      </c>
      <c r="C1372" s="14" t="str">
        <f>IFERROR(__xludf.DUMMYFUNCTION("""COMPUTED_VALUE"""),"黃柏勛")</f>
        <v>黃柏勛</v>
      </c>
      <c r="D1372" s="16" t="str">
        <f>IFERROR(__xludf.DUMMYFUNCTION("""COMPUTED_VALUE"""),"h32*****n@gmail.com")</f>
        <v>h32*****n@gmail.com</v>
      </c>
      <c r="E1372" s="17" t="str">
        <f>IFERROR(__xludf.DUMMYFUNCTION("""COMPUTED_VALUE"""),"桃園市楊梅區楊梅國民小學")</f>
        <v>桃園市楊梅區楊梅國民小學</v>
      </c>
      <c r="F1372" s="14" t="str">
        <f>IFERROR(__xludf.DUMMYFUNCTION("""COMPUTED_VALUE"""),"六年級")</f>
        <v>六年級</v>
      </c>
      <c r="G1372" s="14" t="str">
        <f>IFERROR(__xludf.DUMMYFUNCTION("""COMPUTED_VALUE"""),"獎狀")</f>
        <v>獎狀</v>
      </c>
      <c r="H1372" s="8"/>
    </row>
    <row r="1373">
      <c r="A1373" s="18"/>
      <c r="B1373" s="14">
        <f>IFERROR(__xludf.DUMMYFUNCTION("""COMPUTED_VALUE"""),1081391.0)</f>
        <v>1081391</v>
      </c>
      <c r="C1373" s="14" t="str">
        <f>IFERROR(__xludf.DUMMYFUNCTION("""COMPUTED_VALUE"""),"鄭妤柔")</f>
        <v>鄭妤柔</v>
      </c>
      <c r="D1373" s="16" t="str">
        <f>IFERROR(__xludf.DUMMYFUNCTION("""COMPUTED_VALUE"""),"yin*****ye20@gmail.com")</f>
        <v>yin*****ye20@gmail.com</v>
      </c>
      <c r="E1373" s="17" t="str">
        <f>IFERROR(__xludf.DUMMYFUNCTION("""COMPUTED_VALUE"""),"桃園市楊梅區楊梅國民小學")</f>
        <v>桃園市楊梅區楊梅國民小學</v>
      </c>
      <c r="F1373" s="14" t="str">
        <f>IFERROR(__xludf.DUMMYFUNCTION("""COMPUTED_VALUE"""),"六年級")</f>
        <v>六年級</v>
      </c>
      <c r="G1373" s="14" t="str">
        <f>IFERROR(__xludf.DUMMYFUNCTION("""COMPUTED_VALUE"""),"●小禮物")</f>
        <v>●小禮物</v>
      </c>
      <c r="H1373" s="8"/>
    </row>
    <row r="1374">
      <c r="A1374" s="18"/>
      <c r="B1374" s="14">
        <f>IFERROR(__xludf.DUMMYFUNCTION("""COMPUTED_VALUE"""),1118918.0)</f>
        <v>1118918</v>
      </c>
      <c r="C1374" s="14" t="str">
        <f>IFERROR(__xludf.DUMMYFUNCTION("""COMPUTED_VALUE"""),"林宥希")</f>
        <v>林宥希</v>
      </c>
      <c r="D1374" s="16" t="str">
        <f>IFERROR(__xludf.DUMMYFUNCTION("""COMPUTED_VALUE"""),"sum*****n081@gmail.com")</f>
        <v>sum*****n081@gmail.com</v>
      </c>
      <c r="E1374" s="17" t="str">
        <f>IFERROR(__xludf.DUMMYFUNCTION("""COMPUTED_VALUE"""),"桃園市楊梅區大同國民小學")</f>
        <v>桃園市楊梅區大同國民小學</v>
      </c>
      <c r="F1374" s="14" t="str">
        <f>IFERROR(__xludf.DUMMYFUNCTION("""COMPUTED_VALUE"""),"四年級")</f>
        <v>四年級</v>
      </c>
      <c r="G1374" s="14" t="str">
        <f>IFERROR(__xludf.DUMMYFUNCTION("""COMPUTED_VALUE"""),"獎狀")</f>
        <v>獎狀</v>
      </c>
      <c r="H1374" s="8"/>
    </row>
    <row r="1375">
      <c r="A1375" s="18"/>
      <c r="B1375" s="14">
        <f>IFERROR(__xludf.DUMMYFUNCTION("""COMPUTED_VALUE"""),861142.0)</f>
        <v>861142</v>
      </c>
      <c r="C1375" s="14" t="str">
        <f>IFERROR(__xludf.DUMMYFUNCTION("""COMPUTED_VALUE"""),"孫祥峻")</f>
        <v>孫祥峻</v>
      </c>
      <c r="D1375" s="16" t="str">
        <f>IFERROR(__xludf.DUMMYFUNCTION("""COMPUTED_VALUE"""),"rt1*****6@m.jtps.tyc.edu.tw")</f>
        <v>rt1*****6@m.jtps.tyc.edu.tw</v>
      </c>
      <c r="E1375" s="17" t="str">
        <f>IFERROR(__xludf.DUMMYFUNCTION("""COMPUTED_VALUE"""),"桃園市楊梅區瑞塘國民小學")</f>
        <v>桃園市楊梅區瑞塘國民小學</v>
      </c>
      <c r="F1375" s="14" t="str">
        <f>IFERROR(__xludf.DUMMYFUNCTION("""COMPUTED_VALUE"""),"六年級")</f>
        <v>六年級</v>
      </c>
      <c r="G1375" s="14" t="str">
        <f>IFERROR(__xludf.DUMMYFUNCTION("""COMPUTED_VALUE"""),"獎狀")</f>
        <v>獎狀</v>
      </c>
      <c r="H1375" s="8"/>
    </row>
    <row r="1376">
      <c r="A1376" s="18"/>
      <c r="B1376" s="14">
        <f>IFERROR(__xludf.DUMMYFUNCTION("""COMPUTED_VALUE"""),1010104.0)</f>
        <v>1010104</v>
      </c>
      <c r="C1376" s="14" t="str">
        <f>IFERROR(__xludf.DUMMYFUNCTION("""COMPUTED_VALUE"""),"徐孟彤")</f>
        <v>徐孟彤</v>
      </c>
      <c r="D1376" s="16" t="str">
        <f>IFERROR(__xludf.DUMMYFUNCTION("""COMPUTED_VALUE"""),"las*****282@gmail.com")</f>
        <v>las*****282@gmail.com</v>
      </c>
      <c r="E1376" s="17" t="str">
        <f>IFERROR(__xludf.DUMMYFUNCTION("""COMPUTED_VALUE"""),"桃園市新屋區蚵間國民小學")</f>
        <v>桃園市新屋區蚵間國民小學</v>
      </c>
      <c r="F1376" s="14" t="str">
        <f>IFERROR(__xludf.DUMMYFUNCTION("""COMPUTED_VALUE"""),"四年級")</f>
        <v>四年級</v>
      </c>
      <c r="G1376" s="14" t="str">
        <f>IFERROR(__xludf.DUMMYFUNCTION("""COMPUTED_VALUE"""),"●小禮物")</f>
        <v>●小禮物</v>
      </c>
      <c r="H1376" s="8"/>
    </row>
    <row r="1377">
      <c r="A1377" s="18"/>
      <c r="B1377" s="14">
        <f>IFERROR(__xludf.DUMMYFUNCTION("""COMPUTED_VALUE"""),816980.0)</f>
        <v>816980</v>
      </c>
      <c r="C1377" s="14" t="str">
        <f>IFERROR(__xludf.DUMMYFUNCTION("""COMPUTED_VALUE"""),"陳宗楷")</f>
        <v>陳宗楷</v>
      </c>
      <c r="D1377" s="16" t="str">
        <f>IFERROR(__xludf.DUMMYFUNCTION("""COMPUTED_VALUE"""),"tyc*****39@mail.edu.tw")</f>
        <v>tyc*****39@mail.edu.tw</v>
      </c>
      <c r="E1377" s="17" t="str">
        <f>IFERROR(__xludf.DUMMYFUNCTION("""COMPUTED_VALUE"""),"桃園市觀音區草漯國民小學")</f>
        <v>桃園市觀音區草漯國民小學</v>
      </c>
      <c r="F1377" s="14" t="str">
        <f>IFERROR(__xludf.DUMMYFUNCTION("""COMPUTED_VALUE"""),"三年級")</f>
        <v>三年級</v>
      </c>
      <c r="G1377" s="14" t="str">
        <f>IFERROR(__xludf.DUMMYFUNCTION("""COMPUTED_VALUE"""),"獎狀")</f>
        <v>獎狀</v>
      </c>
      <c r="H1377" s="8"/>
    </row>
    <row r="1378">
      <c r="A1378" s="18"/>
      <c r="B1378" s="14">
        <f>IFERROR(__xludf.DUMMYFUNCTION("""COMPUTED_VALUE"""),603765.0)</f>
        <v>603765</v>
      </c>
      <c r="C1378" s="14" t="str">
        <f>IFERROR(__xludf.DUMMYFUNCTION("""COMPUTED_VALUE"""),"廖嘉瑋")</f>
        <v>廖嘉瑋</v>
      </c>
      <c r="D1378" s="16" t="str">
        <f>IFERROR(__xludf.DUMMYFUNCTION("""COMPUTED_VALUE"""),"tte*****001@mail.edu.tw")</f>
        <v>tte*****001@mail.edu.tw</v>
      </c>
      <c r="E1378" s="17" t="str">
        <f>IFERROR(__xludf.DUMMYFUNCTION("""COMPUTED_VALUE"""),"桃園市觀音區草漯國民小學")</f>
        <v>桃園市觀音區草漯國民小學</v>
      </c>
      <c r="F1378" s="14" t="str">
        <f>IFERROR(__xludf.DUMMYFUNCTION("""COMPUTED_VALUE"""),"五年級")</f>
        <v>五年級</v>
      </c>
      <c r="G1378" s="14" t="str">
        <f>IFERROR(__xludf.DUMMYFUNCTION("""COMPUTED_VALUE"""),"獎狀")</f>
        <v>獎狀</v>
      </c>
      <c r="H1378" s="8"/>
    </row>
    <row r="1379">
      <c r="A1379" s="18"/>
      <c r="B1379" s="14">
        <f>IFERROR(__xludf.DUMMYFUNCTION("""COMPUTED_VALUE"""),610336.0)</f>
        <v>610336</v>
      </c>
      <c r="C1379" s="14" t="str">
        <f>IFERROR(__xludf.DUMMYFUNCTION("""COMPUTED_VALUE"""),"許孝誠")</f>
        <v>許孝誠</v>
      </c>
      <c r="D1379" s="16" t="str">
        <f>IFERROR(__xludf.DUMMYFUNCTION("""COMPUTED_VALUE"""),"tte*****60@mail.edu.tw")</f>
        <v>tte*****60@mail.edu.tw</v>
      </c>
      <c r="E1379" s="17" t="str">
        <f>IFERROR(__xludf.DUMMYFUNCTION("""COMPUTED_VALUE"""),"桃園市觀音區草漯國民小學")</f>
        <v>桃園市觀音區草漯國民小學</v>
      </c>
      <c r="F1379" s="14" t="str">
        <f>IFERROR(__xludf.DUMMYFUNCTION("""COMPUTED_VALUE"""),"五年級")</f>
        <v>五年級</v>
      </c>
      <c r="G1379" s="14" t="str">
        <f>IFERROR(__xludf.DUMMYFUNCTION("""COMPUTED_VALUE"""),"●小禮物")</f>
        <v>●小禮物</v>
      </c>
      <c r="H1379" s="8"/>
    </row>
    <row r="1380">
      <c r="A1380" s="18"/>
      <c r="B1380" s="14">
        <f>IFERROR(__xludf.DUMMYFUNCTION("""COMPUTED_VALUE"""),996728.0)</f>
        <v>996728</v>
      </c>
      <c r="C1380" s="14" t="str">
        <f>IFERROR(__xludf.DUMMYFUNCTION("""COMPUTED_VALUE"""),"洪晟堯")</f>
        <v>洪晟堯</v>
      </c>
      <c r="D1380" s="16" t="str">
        <f>IFERROR(__xludf.DUMMYFUNCTION("""COMPUTED_VALUE"""),"109*****02@ms.spes.tyc.edu.tw")</f>
        <v>109*****02@ms.spes.tyc.edu.tw</v>
      </c>
      <c r="E1380" s="17" t="str">
        <f>IFERROR(__xludf.DUMMYFUNCTION("""COMPUTED_VALUE"""),"桃園市觀音區新坡國民小學")</f>
        <v>桃園市觀音區新坡國民小學</v>
      </c>
      <c r="F1380" s="14" t="str">
        <f>IFERROR(__xludf.DUMMYFUNCTION("""COMPUTED_VALUE"""),"五年級")</f>
        <v>五年級</v>
      </c>
      <c r="G1380" s="14" t="str">
        <f>IFERROR(__xludf.DUMMYFUNCTION("""COMPUTED_VALUE"""),"●小禮物")</f>
        <v>●小禮物</v>
      </c>
      <c r="H1380" s="8"/>
    </row>
    <row r="1381">
      <c r="A1381" s="18"/>
      <c r="B1381" s="14">
        <f>IFERROR(__xludf.DUMMYFUNCTION("""COMPUTED_VALUE"""),1133169.0)</f>
        <v>1133169</v>
      </c>
      <c r="C1381" s="14" t="str">
        <f>IFERROR(__xludf.DUMMYFUNCTION("""COMPUTED_VALUE"""),"許翔淏")</f>
        <v>許翔淏</v>
      </c>
      <c r="D1381" s="16" t="str">
        <f>IFERROR(__xludf.DUMMYFUNCTION("""COMPUTED_VALUE"""),"lul*****cat@gmail.com")</f>
        <v>lul*****cat@gmail.com</v>
      </c>
      <c r="E1381" s="17" t="str">
        <f>IFERROR(__xludf.DUMMYFUNCTION("""COMPUTED_VALUE"""),"桃園市桃園區大有國民小學")</f>
        <v>桃園市桃園區大有國民小學</v>
      </c>
      <c r="F1381" s="14" t="str">
        <f>IFERROR(__xludf.DUMMYFUNCTION("""COMPUTED_VALUE"""),"四年級")</f>
        <v>四年級</v>
      </c>
      <c r="G1381" s="14" t="str">
        <f>IFERROR(__xludf.DUMMYFUNCTION("""COMPUTED_VALUE"""),"●小禮物")</f>
        <v>●小禮物</v>
      </c>
      <c r="H1381" s="8"/>
    </row>
    <row r="1382">
      <c r="A1382" s="18"/>
      <c r="B1382" s="14">
        <f>IFERROR(__xludf.DUMMYFUNCTION("""COMPUTED_VALUE"""),885064.0)</f>
        <v>885064</v>
      </c>
      <c r="C1382" s="14" t="str">
        <f>IFERROR(__xludf.DUMMYFUNCTION("""COMPUTED_VALUE"""),"林凱威")</f>
        <v>林凱威</v>
      </c>
      <c r="D1382" s="16" t="str">
        <f>IFERROR(__xludf.DUMMYFUNCTION("""COMPUTED_VALUE"""),"108*****stu.dyes.tyc.edu.tw")</f>
        <v>108*****stu.dyes.tyc.edu.tw</v>
      </c>
      <c r="E1382" s="17" t="str">
        <f>IFERROR(__xludf.DUMMYFUNCTION("""COMPUTED_VALUE"""),"桃園市桃園區大有國民小學")</f>
        <v>桃園市桃園區大有國民小學</v>
      </c>
      <c r="F1382" s="14" t="str">
        <f>IFERROR(__xludf.DUMMYFUNCTION("""COMPUTED_VALUE"""),"四年級")</f>
        <v>四年級</v>
      </c>
      <c r="G1382" s="14" t="str">
        <f>IFERROR(__xludf.DUMMYFUNCTION("""COMPUTED_VALUE"""),"獎狀")</f>
        <v>獎狀</v>
      </c>
      <c r="H1382" s="8"/>
    </row>
    <row r="1383">
      <c r="A1383" s="18"/>
      <c r="B1383" s="14">
        <f>IFERROR(__xludf.DUMMYFUNCTION("""COMPUTED_VALUE"""),978911.0)</f>
        <v>978911</v>
      </c>
      <c r="C1383" s="14" t="str">
        <f>IFERROR(__xludf.DUMMYFUNCTION("""COMPUTED_VALUE"""),"許芯綾")</f>
        <v>許芯綾</v>
      </c>
      <c r="D1383" s="16" t="str">
        <f>IFERROR(__xludf.DUMMYFUNCTION("""COMPUTED_VALUE"""),"106*****stu.dyes.tyc.edu.tw")</f>
        <v>106*****stu.dyes.tyc.edu.tw</v>
      </c>
      <c r="E1383" s="17" t="str">
        <f>IFERROR(__xludf.DUMMYFUNCTION("""COMPUTED_VALUE"""),"桃園市桃園區大有國民小學")</f>
        <v>桃園市桃園區大有國民小學</v>
      </c>
      <c r="F1383" s="14" t="str">
        <f>IFERROR(__xludf.DUMMYFUNCTION("""COMPUTED_VALUE"""),"六年級")</f>
        <v>六年級</v>
      </c>
      <c r="G1383" s="14" t="str">
        <f>IFERROR(__xludf.DUMMYFUNCTION("""COMPUTED_VALUE"""),"獎狀")</f>
        <v>獎狀</v>
      </c>
      <c r="H1383" s="8"/>
    </row>
    <row r="1384">
      <c r="A1384" s="18"/>
      <c r="B1384" s="14">
        <f>IFERROR(__xludf.DUMMYFUNCTION("""COMPUTED_VALUE"""),915056.0)</f>
        <v>915056</v>
      </c>
      <c r="C1384" s="14" t="str">
        <f>IFERROR(__xludf.DUMMYFUNCTION("""COMPUTED_VALUE"""),"陳立學")</f>
        <v>陳立學</v>
      </c>
      <c r="D1384" s="16" t="str">
        <f>IFERROR(__xludf.DUMMYFUNCTION("""COMPUTED_VALUE"""),"tyc*****03@mail.edu.tw")</f>
        <v>tyc*****03@mail.edu.tw</v>
      </c>
      <c r="E1384" s="17" t="str">
        <f>IFERROR(__xludf.DUMMYFUNCTION("""COMPUTED_VALUE"""),"桃園市桃園區大業國民小學")</f>
        <v>桃園市桃園區大業國民小學</v>
      </c>
      <c r="F1384" s="14" t="str">
        <f>IFERROR(__xludf.DUMMYFUNCTION("""COMPUTED_VALUE"""),"四年級")</f>
        <v>四年級</v>
      </c>
      <c r="G1384" s="14" t="str">
        <f>IFERROR(__xludf.DUMMYFUNCTION("""COMPUTED_VALUE"""),"●小禮物")</f>
        <v>●小禮物</v>
      </c>
      <c r="H1384" s="8"/>
    </row>
    <row r="1385">
      <c r="A1385" s="18"/>
      <c r="B1385" s="14">
        <f>IFERROR(__xludf.DUMMYFUNCTION("""COMPUTED_VALUE"""),884436.0)</f>
        <v>884436</v>
      </c>
      <c r="C1385" s="14" t="str">
        <f>IFERROR(__xludf.DUMMYFUNCTION("""COMPUTED_VALUE"""),"蔡彥柏")</f>
        <v>蔡彥柏</v>
      </c>
      <c r="D1385" s="16" t="str">
        <f>IFERROR(__xludf.DUMMYFUNCTION("""COMPUTED_VALUE"""),"bme*****50@mail.edu.tw")</f>
        <v>bme*****50@mail.edu.tw</v>
      </c>
      <c r="E1385" s="17" t="str">
        <f>IFERROR(__xludf.DUMMYFUNCTION("""COMPUTED_VALUE"""),"桃園市桃園區北門國民小學")</f>
        <v>桃園市桃園區北門國民小學</v>
      </c>
      <c r="F1385" s="14" t="str">
        <f>IFERROR(__xludf.DUMMYFUNCTION("""COMPUTED_VALUE"""),"五年級")</f>
        <v>五年級</v>
      </c>
      <c r="G1385" s="14" t="str">
        <f>IFERROR(__xludf.DUMMYFUNCTION("""COMPUTED_VALUE"""),"獎狀")</f>
        <v>獎狀</v>
      </c>
      <c r="H1385" s="8"/>
    </row>
    <row r="1386">
      <c r="A1386" s="18"/>
      <c r="B1386" s="14">
        <f>IFERROR(__xludf.DUMMYFUNCTION("""COMPUTED_VALUE"""),643774.0)</f>
        <v>643774</v>
      </c>
      <c r="C1386" s="14" t="str">
        <f>IFERROR(__xludf.DUMMYFUNCTION("""COMPUTED_VALUE"""),"吳遠霆")</f>
        <v>吳遠霆</v>
      </c>
      <c r="D1386" s="16" t="str">
        <f>IFERROR(__xludf.DUMMYFUNCTION("""COMPUTED_VALUE"""),"s10*****tyes.tyc.edu.tw")</f>
        <v>s10*****tyes.tyc.edu.tw</v>
      </c>
      <c r="E1386" s="17" t="str">
        <f>IFERROR(__xludf.DUMMYFUNCTION("""COMPUTED_VALUE"""),"桃園市桃園區桃園國民小學")</f>
        <v>桃園市桃園區桃園國民小學</v>
      </c>
      <c r="F1386" s="14" t="str">
        <f>IFERROR(__xludf.DUMMYFUNCTION("""COMPUTED_VALUE"""),"五年級")</f>
        <v>五年級</v>
      </c>
      <c r="G1386" s="14" t="str">
        <f>IFERROR(__xludf.DUMMYFUNCTION("""COMPUTED_VALUE"""),"●小禮物")</f>
        <v>●小禮物</v>
      </c>
      <c r="H1386" s="8"/>
    </row>
    <row r="1387">
      <c r="A1387" s="18"/>
      <c r="B1387" s="14">
        <f>IFERROR(__xludf.DUMMYFUNCTION("""COMPUTED_VALUE"""),424291.0)</f>
        <v>424291</v>
      </c>
      <c r="C1387" s="14" t="str">
        <f>IFERROR(__xludf.DUMMYFUNCTION("""COMPUTED_VALUE"""),"范妘瑄")</f>
        <v>范妘瑄</v>
      </c>
      <c r="D1387" s="16" t="str">
        <f>IFERROR(__xludf.DUMMYFUNCTION("""COMPUTED_VALUE"""),"ali*****0@mail.edu.tw")</f>
        <v>ali*****0@mail.edu.tw</v>
      </c>
      <c r="E1387" s="17" t="str">
        <f>IFERROR(__xludf.DUMMYFUNCTION("""COMPUTED_VALUE"""),"桃園市桃園區桃園國民小學")</f>
        <v>桃園市桃園區桃園國民小學</v>
      </c>
      <c r="F1387" s="14" t="str">
        <f>IFERROR(__xludf.DUMMYFUNCTION("""COMPUTED_VALUE"""),"五年級")</f>
        <v>五年級</v>
      </c>
      <c r="G1387" s="14" t="str">
        <f>IFERROR(__xludf.DUMMYFUNCTION("""COMPUTED_VALUE"""),"獎狀")</f>
        <v>獎狀</v>
      </c>
      <c r="H1387" s="8"/>
    </row>
    <row r="1388">
      <c r="A1388" s="18"/>
      <c r="B1388" s="14">
        <f>IFERROR(__xludf.DUMMYFUNCTION("""COMPUTED_VALUE"""),920610.0)</f>
        <v>920610</v>
      </c>
      <c r="C1388" s="14" t="str">
        <f>IFERROR(__xludf.DUMMYFUNCTION("""COMPUTED_VALUE"""),"陳貝瑪")</f>
        <v>陳貝瑪</v>
      </c>
      <c r="D1388" s="16" t="str">
        <f>IFERROR(__xludf.DUMMYFUNCTION("""COMPUTED_VALUE"""),"che*****a@gmail.com")</f>
        <v>che*****a@gmail.com</v>
      </c>
      <c r="E1388" s="17" t="str">
        <f>IFERROR(__xludf.DUMMYFUNCTION("""COMPUTED_VALUE"""),"桃園市桃園區桃園國民小學")</f>
        <v>桃園市桃園區桃園國民小學</v>
      </c>
      <c r="F1388" s="14" t="str">
        <f>IFERROR(__xludf.DUMMYFUNCTION("""COMPUTED_VALUE"""),"五年級")</f>
        <v>五年級</v>
      </c>
      <c r="G1388" s="14" t="str">
        <f>IFERROR(__xludf.DUMMYFUNCTION("""COMPUTED_VALUE"""),"●小禮物")</f>
        <v>●小禮物</v>
      </c>
      <c r="H1388" s="8"/>
    </row>
    <row r="1389">
      <c r="A1389" s="18"/>
      <c r="B1389" s="14">
        <f>IFERROR(__xludf.DUMMYFUNCTION("""COMPUTED_VALUE"""),1208845.0)</f>
        <v>1208845</v>
      </c>
      <c r="C1389" s="14" t="str">
        <f>IFERROR(__xludf.DUMMYFUNCTION("""COMPUTED_VALUE"""),"郭奕希")</f>
        <v>郭奕希</v>
      </c>
      <c r="D1389" s="16" t="str">
        <f>IFERROR(__xludf.DUMMYFUNCTION("""COMPUTED_VALUE"""),"gar*****riend2021@gmail.com")</f>
        <v>gar*****riend2021@gmail.com</v>
      </c>
      <c r="E1389" s="17" t="str">
        <f>IFERROR(__xludf.DUMMYFUNCTION("""COMPUTED_VALUE"""),"桃園市桃園區桃園國民小學")</f>
        <v>桃園市桃園區桃園國民小學</v>
      </c>
      <c r="F1389" s="14" t="str">
        <f>IFERROR(__xludf.DUMMYFUNCTION("""COMPUTED_VALUE"""),"六年級")</f>
        <v>六年級</v>
      </c>
      <c r="G1389" s="14" t="str">
        <f>IFERROR(__xludf.DUMMYFUNCTION("""COMPUTED_VALUE"""),"獎狀")</f>
        <v>獎狀</v>
      </c>
      <c r="H1389" s="8"/>
    </row>
    <row r="1390">
      <c r="A1390" s="18"/>
      <c r="B1390" s="14">
        <f>IFERROR(__xludf.DUMMYFUNCTION("""COMPUTED_VALUE"""),309191.0)</f>
        <v>309191</v>
      </c>
      <c r="C1390" s="14" t="str">
        <f>IFERROR(__xludf.DUMMYFUNCTION("""COMPUTED_VALUE"""),"吳東霖")</f>
        <v>吳東霖</v>
      </c>
      <c r="D1390" s="16" t="str">
        <f>IFERROR(__xludf.DUMMYFUNCTION("""COMPUTED_VALUE"""),"wun*****i@mail.edu.tw")</f>
        <v>wun*****i@mail.edu.tw</v>
      </c>
      <c r="E1390" s="17" t="str">
        <f>IFERROR(__xludf.DUMMYFUNCTION("""COMPUTED_VALUE"""),"桃園市桃園區同安國民小學")</f>
        <v>桃園市桃園區同安國民小學</v>
      </c>
      <c r="F1390" s="14" t="str">
        <f>IFERROR(__xludf.DUMMYFUNCTION("""COMPUTED_VALUE"""),"六年級")</f>
        <v>六年級</v>
      </c>
      <c r="G1390" s="14" t="str">
        <f>IFERROR(__xludf.DUMMYFUNCTION("""COMPUTED_VALUE"""),"獎狀")</f>
        <v>獎狀</v>
      </c>
      <c r="H1390" s="8"/>
    </row>
    <row r="1391">
      <c r="A1391" s="18"/>
      <c r="B1391" s="14">
        <f>IFERROR(__xludf.DUMMYFUNCTION("""COMPUTED_VALUE"""),1106136.0)</f>
        <v>1106136</v>
      </c>
      <c r="C1391" s="14" t="str">
        <f>IFERROR(__xludf.DUMMYFUNCTION("""COMPUTED_VALUE"""),"李軒榕")</f>
        <v>李軒榕</v>
      </c>
      <c r="D1391" s="16" t="str">
        <f>IFERROR(__xludf.DUMMYFUNCTION("""COMPUTED_VALUE"""),"sky*****il@gmail.com")</f>
        <v>sky*****il@gmail.com</v>
      </c>
      <c r="E1391" s="17" t="str">
        <f>IFERROR(__xludf.DUMMYFUNCTION("""COMPUTED_VALUE"""),"桃園市桃園區同德國民小學")</f>
        <v>桃園市桃園區同德國民小學</v>
      </c>
      <c r="F1391" s="14" t="str">
        <f>IFERROR(__xludf.DUMMYFUNCTION("""COMPUTED_VALUE"""),"三年級")</f>
        <v>三年級</v>
      </c>
      <c r="G1391" s="14" t="str">
        <f>IFERROR(__xludf.DUMMYFUNCTION("""COMPUTED_VALUE"""),"獎狀")</f>
        <v>獎狀</v>
      </c>
      <c r="H1391" s="8"/>
    </row>
    <row r="1392">
      <c r="A1392" s="18"/>
      <c r="B1392" s="14">
        <f>IFERROR(__xludf.DUMMYFUNCTION("""COMPUTED_VALUE"""),624205.0)</f>
        <v>624205</v>
      </c>
      <c r="C1392" s="14" t="str">
        <f>IFERROR(__xludf.DUMMYFUNCTION("""COMPUTED_VALUE"""),"邱柏樺")</f>
        <v>邱柏樺</v>
      </c>
      <c r="D1392" s="16" t="str">
        <f>IFERROR(__xludf.DUMMYFUNCTION("""COMPUTED_VALUE"""),"107*****tu.csps.tyc.edu.tw")</f>
        <v>107*****tu.csps.tyc.edu.tw</v>
      </c>
      <c r="E1392" s="17" t="str">
        <f>IFERROR(__xludf.DUMMYFUNCTION("""COMPUTED_VALUE"""),"桃園市桃園區青溪國民小學")</f>
        <v>桃園市桃園區青溪國民小學</v>
      </c>
      <c r="F1392" s="14" t="str">
        <f>IFERROR(__xludf.DUMMYFUNCTION("""COMPUTED_VALUE"""),"五年級")</f>
        <v>五年級</v>
      </c>
      <c r="G1392" s="14" t="str">
        <f>IFERROR(__xludf.DUMMYFUNCTION("""COMPUTED_VALUE"""),"●小禮物")</f>
        <v>●小禮物</v>
      </c>
      <c r="H1392" s="8"/>
    </row>
    <row r="1393">
      <c r="A1393" s="18"/>
      <c r="B1393" s="14">
        <f>IFERROR(__xludf.DUMMYFUNCTION("""COMPUTED_VALUE"""),156825.0)</f>
        <v>156825</v>
      </c>
      <c r="C1393" s="14" t="str">
        <f>IFERROR(__xludf.DUMMYFUNCTION("""COMPUTED_VALUE"""),"呂承儒")</f>
        <v>呂承儒</v>
      </c>
      <c r="D1393" s="16" t="str">
        <f>IFERROR(__xludf.DUMMYFUNCTION("""COMPUTED_VALUE"""),"sma*****12@yahoo.com.tw")</f>
        <v>sma*****12@yahoo.com.tw</v>
      </c>
      <c r="E1393" s="17" t="str">
        <f>IFERROR(__xludf.DUMMYFUNCTION("""COMPUTED_VALUE"""),"桃園市桃園區建德國民小學")</f>
        <v>桃園市桃園區建德國民小學</v>
      </c>
      <c r="F1393" s="14" t="str">
        <f>IFERROR(__xludf.DUMMYFUNCTION("""COMPUTED_VALUE"""),"六年級")</f>
        <v>六年級</v>
      </c>
      <c r="G1393" s="14" t="str">
        <f>IFERROR(__xludf.DUMMYFUNCTION("""COMPUTED_VALUE"""),"獎狀")</f>
        <v>獎狀</v>
      </c>
      <c r="H1393" s="8"/>
    </row>
    <row r="1394">
      <c r="A1394" s="18"/>
      <c r="B1394" s="14">
        <f>IFERROR(__xludf.DUMMYFUNCTION("""COMPUTED_VALUE"""),1152074.0)</f>
        <v>1152074</v>
      </c>
      <c r="C1394" s="14" t="str">
        <f>IFERROR(__xludf.DUMMYFUNCTION("""COMPUTED_VALUE"""),"鄭宥希")</f>
        <v>鄭宥希</v>
      </c>
      <c r="D1394" s="16" t="str">
        <f>IFERROR(__xludf.DUMMYFUNCTION("""COMPUTED_VALUE"""),"sha*****06@gmail.com")</f>
        <v>sha*****06@gmail.com</v>
      </c>
      <c r="E1394" s="17" t="str">
        <f>IFERROR(__xludf.DUMMYFUNCTION("""COMPUTED_VALUE"""),"桃園市桃園區建國國民小學")</f>
        <v>桃園市桃園區建國國民小學</v>
      </c>
      <c r="F1394" s="14" t="str">
        <f>IFERROR(__xludf.DUMMYFUNCTION("""COMPUTED_VALUE"""),"三年級")</f>
        <v>三年級</v>
      </c>
      <c r="G1394" s="14" t="str">
        <f>IFERROR(__xludf.DUMMYFUNCTION("""COMPUTED_VALUE"""),"獎狀")</f>
        <v>獎狀</v>
      </c>
      <c r="H1394" s="8"/>
    </row>
    <row r="1395">
      <c r="A1395" s="18"/>
      <c r="B1395" s="14">
        <f>IFERROR(__xludf.DUMMYFUNCTION("""COMPUTED_VALUE"""),1184797.0)</f>
        <v>1184797</v>
      </c>
      <c r="C1395" s="14" t="str">
        <f>IFERROR(__xludf.DUMMYFUNCTION("""COMPUTED_VALUE"""),"楊承恩")</f>
        <v>楊承恩</v>
      </c>
      <c r="D1395" s="16" t="str">
        <f>IFERROR(__xludf.DUMMYFUNCTION("""COMPUTED_VALUE"""),"st1*****@mail.gjes.tyc.edu.tw")</f>
        <v>st1*****@mail.gjes.tyc.edu.tw</v>
      </c>
      <c r="E1395" s="17" t="str">
        <f>IFERROR(__xludf.DUMMYFUNCTION("""COMPUTED_VALUE"""),"桃園市桃園區會稽國民小學")</f>
        <v>桃園市桃園區會稽國民小學</v>
      </c>
      <c r="F1395" s="14" t="str">
        <f>IFERROR(__xludf.DUMMYFUNCTION("""COMPUTED_VALUE"""),"六年級")</f>
        <v>六年級</v>
      </c>
      <c r="G1395" s="14" t="str">
        <f>IFERROR(__xludf.DUMMYFUNCTION("""COMPUTED_VALUE"""),"獎狀")</f>
        <v>獎狀</v>
      </c>
      <c r="H1395" s="8"/>
    </row>
    <row r="1396">
      <c r="A1396" s="18"/>
      <c r="B1396" s="14">
        <f>IFERROR(__xludf.DUMMYFUNCTION("""COMPUTED_VALUE"""),1184807.0)</f>
        <v>1184807</v>
      </c>
      <c r="C1396" s="14" t="str">
        <f>IFERROR(__xludf.DUMMYFUNCTION("""COMPUTED_VALUE"""),"莊鎧仲")</f>
        <v>莊鎧仲</v>
      </c>
      <c r="D1396" s="16" t="str">
        <f>IFERROR(__xludf.DUMMYFUNCTION("""COMPUTED_VALUE"""),"st1*****@mail.gjes.tyc.edu.tw")</f>
        <v>st1*****@mail.gjes.tyc.edu.tw</v>
      </c>
      <c r="E1396" s="17" t="str">
        <f>IFERROR(__xludf.DUMMYFUNCTION("""COMPUTED_VALUE"""),"桃園市桃園區會稽國民小學")</f>
        <v>桃園市桃園區會稽國民小學</v>
      </c>
      <c r="F1396" s="14" t="str">
        <f>IFERROR(__xludf.DUMMYFUNCTION("""COMPUTED_VALUE"""),"六年級")</f>
        <v>六年級</v>
      </c>
      <c r="G1396" s="14" t="str">
        <f>IFERROR(__xludf.DUMMYFUNCTION("""COMPUTED_VALUE"""),"獎狀")</f>
        <v>獎狀</v>
      </c>
      <c r="H1396" s="8"/>
    </row>
    <row r="1397">
      <c r="A1397" s="18"/>
      <c r="B1397" s="14">
        <f>IFERROR(__xludf.DUMMYFUNCTION("""COMPUTED_VALUE"""),1184789.0)</f>
        <v>1184789</v>
      </c>
      <c r="C1397" s="14" t="str">
        <f>IFERROR(__xludf.DUMMYFUNCTION("""COMPUTED_VALUE"""),"楊沐宸")</f>
        <v>楊沐宸</v>
      </c>
      <c r="D1397" s="16" t="str">
        <f>IFERROR(__xludf.DUMMYFUNCTION("""COMPUTED_VALUE"""),"st1*****@mail.gjes.tyc.edu.tw")</f>
        <v>st1*****@mail.gjes.tyc.edu.tw</v>
      </c>
      <c r="E1397" s="17" t="str">
        <f>IFERROR(__xludf.DUMMYFUNCTION("""COMPUTED_VALUE"""),"桃園市桃園區會稽國民小學")</f>
        <v>桃園市桃園區會稽國民小學</v>
      </c>
      <c r="F1397" s="14" t="str">
        <f>IFERROR(__xludf.DUMMYFUNCTION("""COMPUTED_VALUE"""),"六年級")</f>
        <v>六年級</v>
      </c>
      <c r="G1397" s="14" t="str">
        <f>IFERROR(__xludf.DUMMYFUNCTION("""COMPUTED_VALUE"""),"獎狀")</f>
        <v>獎狀</v>
      </c>
      <c r="H1397" s="8"/>
    </row>
    <row r="1398">
      <c r="A1398" s="18"/>
      <c r="B1398" s="14">
        <f>IFERROR(__xludf.DUMMYFUNCTION("""COMPUTED_VALUE"""),1184791.0)</f>
        <v>1184791</v>
      </c>
      <c r="C1398" s="14" t="str">
        <f>IFERROR(__xludf.DUMMYFUNCTION("""COMPUTED_VALUE"""),"李秉軒")</f>
        <v>李秉軒</v>
      </c>
      <c r="D1398" s="16" t="str">
        <f>IFERROR(__xludf.DUMMYFUNCTION("""COMPUTED_VALUE"""),"st1*****@mail.gjes.tyc.edu.tw")</f>
        <v>st1*****@mail.gjes.tyc.edu.tw</v>
      </c>
      <c r="E1398" s="17" t="str">
        <f>IFERROR(__xludf.DUMMYFUNCTION("""COMPUTED_VALUE"""),"桃園市桃園區會稽國民小學")</f>
        <v>桃園市桃園區會稽國民小學</v>
      </c>
      <c r="F1398" s="14" t="str">
        <f>IFERROR(__xludf.DUMMYFUNCTION("""COMPUTED_VALUE"""),"六年級")</f>
        <v>六年級</v>
      </c>
      <c r="G1398" s="14" t="str">
        <f>IFERROR(__xludf.DUMMYFUNCTION("""COMPUTED_VALUE"""),"獎狀")</f>
        <v>獎狀</v>
      </c>
      <c r="H1398" s="8"/>
    </row>
    <row r="1399">
      <c r="A1399" s="18"/>
      <c r="B1399" s="14">
        <f>IFERROR(__xludf.DUMMYFUNCTION("""COMPUTED_VALUE"""),1184800.0)</f>
        <v>1184800</v>
      </c>
      <c r="C1399" s="14" t="str">
        <f>IFERROR(__xludf.DUMMYFUNCTION("""COMPUTED_VALUE"""),"許洺睿")</f>
        <v>許洺睿</v>
      </c>
      <c r="D1399" s="16" t="str">
        <f>IFERROR(__xludf.DUMMYFUNCTION("""COMPUTED_VALUE"""),"st1*****@mail.gjes.tyc.edu.tw")</f>
        <v>st1*****@mail.gjes.tyc.edu.tw</v>
      </c>
      <c r="E1399" s="17" t="str">
        <f>IFERROR(__xludf.DUMMYFUNCTION("""COMPUTED_VALUE"""),"桃園市桃園區會稽國民小學")</f>
        <v>桃園市桃園區會稽國民小學</v>
      </c>
      <c r="F1399" s="14" t="str">
        <f>IFERROR(__xludf.DUMMYFUNCTION("""COMPUTED_VALUE"""),"六年級")</f>
        <v>六年級</v>
      </c>
      <c r="G1399" s="14" t="str">
        <f>IFERROR(__xludf.DUMMYFUNCTION("""COMPUTED_VALUE"""),"獎狀")</f>
        <v>獎狀</v>
      </c>
      <c r="H1399" s="8"/>
    </row>
    <row r="1400">
      <c r="A1400" s="18"/>
      <c r="B1400" s="14">
        <f>IFERROR(__xludf.DUMMYFUNCTION("""COMPUTED_VALUE"""),1184799.0)</f>
        <v>1184799</v>
      </c>
      <c r="C1400" s="14" t="str">
        <f>IFERROR(__xludf.DUMMYFUNCTION("""COMPUTED_VALUE"""),"劉宣渘")</f>
        <v>劉宣渘</v>
      </c>
      <c r="D1400" s="16" t="str">
        <f>IFERROR(__xludf.DUMMYFUNCTION("""COMPUTED_VALUE"""),"st1*****@mail.gjes.tyc.edu.tw")</f>
        <v>st1*****@mail.gjes.tyc.edu.tw</v>
      </c>
      <c r="E1400" s="17" t="str">
        <f>IFERROR(__xludf.DUMMYFUNCTION("""COMPUTED_VALUE"""),"桃園市桃園區會稽國民小學")</f>
        <v>桃園市桃園區會稽國民小學</v>
      </c>
      <c r="F1400" s="14" t="str">
        <f>IFERROR(__xludf.DUMMYFUNCTION("""COMPUTED_VALUE"""),"六年級")</f>
        <v>六年級</v>
      </c>
      <c r="G1400" s="14" t="str">
        <f>IFERROR(__xludf.DUMMYFUNCTION("""COMPUTED_VALUE"""),"獎狀")</f>
        <v>獎狀</v>
      </c>
      <c r="H1400" s="8"/>
    </row>
    <row r="1401">
      <c r="A1401" s="18"/>
      <c r="B1401" s="14">
        <f>IFERROR(__xludf.DUMMYFUNCTION("""COMPUTED_VALUE"""),1184796.0)</f>
        <v>1184796</v>
      </c>
      <c r="C1401" s="14" t="str">
        <f>IFERROR(__xludf.DUMMYFUNCTION("""COMPUTED_VALUE"""),"廖奕勛")</f>
        <v>廖奕勛</v>
      </c>
      <c r="D1401" s="16" t="str">
        <f>IFERROR(__xludf.DUMMYFUNCTION("""COMPUTED_VALUE"""),"st1*****@mail.gjes.tyc.edu.tw")</f>
        <v>st1*****@mail.gjes.tyc.edu.tw</v>
      </c>
      <c r="E1401" s="17" t="str">
        <f>IFERROR(__xludf.DUMMYFUNCTION("""COMPUTED_VALUE"""),"桃園市桃園區會稽國民小學")</f>
        <v>桃園市桃園區會稽國民小學</v>
      </c>
      <c r="F1401" s="14" t="str">
        <f>IFERROR(__xludf.DUMMYFUNCTION("""COMPUTED_VALUE"""),"六年級")</f>
        <v>六年級</v>
      </c>
      <c r="G1401" s="14" t="str">
        <f>IFERROR(__xludf.DUMMYFUNCTION("""COMPUTED_VALUE"""),"獎狀")</f>
        <v>獎狀</v>
      </c>
      <c r="H1401" s="8"/>
    </row>
    <row r="1402">
      <c r="A1402" s="18"/>
      <c r="B1402" s="14">
        <f>IFERROR(__xludf.DUMMYFUNCTION("""COMPUTED_VALUE"""),448457.0)</f>
        <v>448457</v>
      </c>
      <c r="C1402" s="14" t="str">
        <f>IFERROR(__xludf.DUMMYFUNCTION("""COMPUTED_VALUE"""),"賴沛晴")</f>
        <v>賴沛晴</v>
      </c>
      <c r="D1402" s="16" t="str">
        <f>IFERROR(__xludf.DUMMYFUNCTION("""COMPUTED_VALUE"""),"ele*****o@yahoo.com.tw")</f>
        <v>ele*****o@yahoo.com.tw</v>
      </c>
      <c r="E1402" s="17" t="str">
        <f>IFERROR(__xludf.DUMMYFUNCTION("""COMPUTED_VALUE"""),"桃園市桃園區中山國民小學")</f>
        <v>桃園市桃園區中山國民小學</v>
      </c>
      <c r="F1402" s="14" t="str">
        <f>IFERROR(__xludf.DUMMYFUNCTION("""COMPUTED_VALUE"""),"五年級")</f>
        <v>五年級</v>
      </c>
      <c r="G1402" s="14" t="str">
        <f>IFERROR(__xludf.DUMMYFUNCTION("""COMPUTED_VALUE"""),"獎狀")</f>
        <v>獎狀</v>
      </c>
      <c r="H1402" s="8"/>
    </row>
    <row r="1403">
      <c r="A1403" s="18"/>
      <c r="B1403" s="14">
        <f>IFERROR(__xludf.DUMMYFUNCTION("""COMPUTED_VALUE"""),912693.0)</f>
        <v>912693</v>
      </c>
      <c r="C1403" s="14" t="str">
        <f>IFERROR(__xludf.DUMMYFUNCTION("""COMPUTED_VALUE"""),"鄭園嘉")</f>
        <v>鄭園嘉</v>
      </c>
      <c r="D1403" s="16" t="str">
        <f>IFERROR(__xludf.DUMMYFUNCTION("""COMPUTED_VALUE"""),"106*****zjes.tyc.edu.tw")</f>
        <v>106*****zjes.tyc.edu.tw</v>
      </c>
      <c r="E1403" s="17" t="str">
        <f>IFERROR(__xludf.DUMMYFUNCTION("""COMPUTED_VALUE"""),"桃園市桃園區莊敬國民小學")</f>
        <v>桃園市桃園區莊敬國民小學</v>
      </c>
      <c r="F1403" s="14" t="str">
        <f>IFERROR(__xludf.DUMMYFUNCTION("""COMPUTED_VALUE"""),"六年級")</f>
        <v>六年級</v>
      </c>
      <c r="G1403" s="14" t="str">
        <f>IFERROR(__xludf.DUMMYFUNCTION("""COMPUTED_VALUE"""),"●小禮物")</f>
        <v>●小禮物</v>
      </c>
      <c r="H1403" s="8"/>
    </row>
    <row r="1404">
      <c r="A1404" s="18"/>
      <c r="B1404" s="14">
        <f>IFERROR(__xludf.DUMMYFUNCTION("""COMPUTED_VALUE"""),1129460.0)</f>
        <v>1129460</v>
      </c>
      <c r="C1404" s="14" t="str">
        <f>IFERROR(__xludf.DUMMYFUNCTION("""COMPUTED_VALUE"""),"陳思語")</f>
        <v>陳思語</v>
      </c>
      <c r="D1404" s="16" t="str">
        <f>IFERROR(__xludf.DUMMYFUNCTION("""COMPUTED_VALUE"""),"s10*****@simes.tyc.edu.tw")</f>
        <v>s10*****@simes.tyc.edu.tw</v>
      </c>
      <c r="E1404" s="17" t="str">
        <f>IFERROR(__xludf.DUMMYFUNCTION("""COMPUTED_VALUE"""),"桃園市桃園區西門國民小學")</f>
        <v>桃園市桃園區西門國民小學</v>
      </c>
      <c r="F1404" s="14" t="str">
        <f>IFERROR(__xludf.DUMMYFUNCTION("""COMPUTED_VALUE"""),"四年級")</f>
        <v>四年級</v>
      </c>
      <c r="G1404" s="14" t="str">
        <f>IFERROR(__xludf.DUMMYFUNCTION("""COMPUTED_VALUE"""),"獎狀")</f>
        <v>獎狀</v>
      </c>
      <c r="H1404" s="8"/>
    </row>
    <row r="1405">
      <c r="A1405" s="18"/>
      <c r="B1405" s="14">
        <f>IFERROR(__xludf.DUMMYFUNCTION("""COMPUTED_VALUE"""),996900.0)</f>
        <v>996900</v>
      </c>
      <c r="C1405" s="14" t="str">
        <f>IFERROR(__xludf.DUMMYFUNCTION("""COMPUTED_VALUE"""),"陳心立")</f>
        <v>陳心立</v>
      </c>
      <c r="D1405" s="16" t="str">
        <f>IFERROR(__xludf.DUMMYFUNCTION("""COMPUTED_VALUE"""),"s10*****@simes.tyc.edu.tw")</f>
        <v>s10*****@simes.tyc.edu.tw</v>
      </c>
      <c r="E1405" s="17" t="str">
        <f>IFERROR(__xludf.DUMMYFUNCTION("""COMPUTED_VALUE"""),"桃園市桃園區西門國民小學")</f>
        <v>桃園市桃園區西門國民小學</v>
      </c>
      <c r="F1405" s="14" t="str">
        <f>IFERROR(__xludf.DUMMYFUNCTION("""COMPUTED_VALUE"""),"五年級")</f>
        <v>五年級</v>
      </c>
      <c r="G1405" s="14" t="str">
        <f>IFERROR(__xludf.DUMMYFUNCTION("""COMPUTED_VALUE"""),"獎狀")</f>
        <v>獎狀</v>
      </c>
      <c r="H1405" s="8"/>
    </row>
    <row r="1406">
      <c r="A1406" s="18"/>
      <c r="B1406" s="14">
        <f>IFERROR(__xludf.DUMMYFUNCTION("""COMPUTED_VALUE"""),326695.0)</f>
        <v>326695</v>
      </c>
      <c r="C1406" s="14" t="str">
        <f>IFERROR(__xludf.DUMMYFUNCTION("""COMPUTED_VALUE"""),"薛名叡")</f>
        <v>薛名叡</v>
      </c>
      <c r="D1406" s="16" t="str">
        <f>IFERROR(__xludf.DUMMYFUNCTION("""COMPUTED_VALUE"""),"ray*****mail.edu.tw")</f>
        <v>ray*****mail.edu.tw</v>
      </c>
      <c r="E1406" s="17" t="str">
        <f>IFERROR(__xludf.DUMMYFUNCTION("""COMPUTED_VALUE"""),"桃園市桃園區西門國民小學")</f>
        <v>桃園市桃園區西門國民小學</v>
      </c>
      <c r="F1406" s="14" t="str">
        <f>IFERROR(__xludf.DUMMYFUNCTION("""COMPUTED_VALUE"""),"五年級")</f>
        <v>五年級</v>
      </c>
      <c r="G1406" s="14" t="str">
        <f>IFERROR(__xludf.DUMMYFUNCTION("""COMPUTED_VALUE"""),"獎狀")</f>
        <v>獎狀</v>
      </c>
      <c r="H1406" s="8"/>
    </row>
    <row r="1407">
      <c r="A1407" s="18"/>
      <c r="B1407" s="14">
        <f>IFERROR(__xludf.DUMMYFUNCTION("""COMPUTED_VALUE"""),1151656.0)</f>
        <v>1151656</v>
      </c>
      <c r="C1407" s="14" t="str">
        <f>IFERROR(__xludf.DUMMYFUNCTION("""COMPUTED_VALUE"""),"朱可青")</f>
        <v>朱可青</v>
      </c>
      <c r="D1407" s="16" t="str">
        <f>IFERROR(__xludf.DUMMYFUNCTION("""COMPUTED_VALUE"""),"109*****ail2.loses.tyc.edu.tw")</f>
        <v>109*****ail2.loses.tyc.edu.tw</v>
      </c>
      <c r="E1407" s="17" t="str">
        <f>IFERROR(__xludf.DUMMYFUNCTION("""COMPUTED_VALUE"""),"桃園市桃園區龍山國民小學")</f>
        <v>桃園市桃園區龍山國民小學</v>
      </c>
      <c r="F1407" s="14" t="str">
        <f>IFERROR(__xludf.DUMMYFUNCTION("""COMPUTED_VALUE"""),"三年級")</f>
        <v>三年級</v>
      </c>
      <c r="G1407" s="14" t="str">
        <f>IFERROR(__xludf.DUMMYFUNCTION("""COMPUTED_VALUE"""),"●小禮物")</f>
        <v>●小禮物</v>
      </c>
      <c r="H1407" s="8"/>
    </row>
    <row r="1408">
      <c r="A1408" s="18"/>
      <c r="B1408" s="14">
        <f>IFERROR(__xludf.DUMMYFUNCTION("""COMPUTED_VALUE"""),1202271.0)</f>
        <v>1202271</v>
      </c>
      <c r="C1408" s="14" t="str">
        <f>IFERROR(__xludf.DUMMYFUNCTION("""COMPUTED_VALUE"""),"吳律")</f>
        <v>吳律</v>
      </c>
      <c r="D1408" s="16" t="str">
        <f>IFERROR(__xludf.DUMMYFUNCTION("""COMPUTED_VALUE"""),"106*****es.tyc.edu.tw")</f>
        <v>106*****es.tyc.edu.tw</v>
      </c>
      <c r="E1408" s="17" t="str">
        <f>IFERROR(__xludf.DUMMYFUNCTION("""COMPUTED_VALUE"""),"桃園市龜山區大坑國民小學")</f>
        <v>桃園市龜山區大坑國民小學</v>
      </c>
      <c r="F1408" s="14" t="str">
        <f>IFERROR(__xludf.DUMMYFUNCTION("""COMPUTED_VALUE"""),"六年級")</f>
        <v>六年級</v>
      </c>
      <c r="G1408" s="14" t="str">
        <f>IFERROR(__xludf.DUMMYFUNCTION("""COMPUTED_VALUE"""),"●小禮物")</f>
        <v>●小禮物</v>
      </c>
      <c r="H1408" s="8"/>
    </row>
    <row r="1409">
      <c r="A1409" s="18"/>
      <c r="B1409" s="14">
        <f>IFERROR(__xludf.DUMMYFUNCTION("""COMPUTED_VALUE"""),415514.0)</f>
        <v>415514</v>
      </c>
      <c r="C1409" s="14" t="str">
        <f>IFERROR(__xludf.DUMMYFUNCTION("""COMPUTED_VALUE"""),"曾莉方")</f>
        <v>曾莉方</v>
      </c>
      <c r="D1409" s="16" t="str">
        <f>IFERROR(__xludf.DUMMYFUNCTION("""COMPUTED_VALUE"""),"106*****es.tyc.edu.tw")</f>
        <v>106*****es.tyc.edu.tw</v>
      </c>
      <c r="E1409" s="17" t="str">
        <f>IFERROR(__xludf.DUMMYFUNCTION("""COMPUTED_VALUE"""),"桃園市龜山區大坑國民小學")</f>
        <v>桃園市龜山區大坑國民小學</v>
      </c>
      <c r="F1409" s="14" t="str">
        <f>IFERROR(__xludf.DUMMYFUNCTION("""COMPUTED_VALUE"""),"六年級")</f>
        <v>六年級</v>
      </c>
      <c r="G1409" s="14" t="str">
        <f>IFERROR(__xludf.DUMMYFUNCTION("""COMPUTED_VALUE"""),"獎狀")</f>
        <v>獎狀</v>
      </c>
      <c r="H1409" s="8"/>
    </row>
    <row r="1410">
      <c r="A1410" s="18"/>
      <c r="B1410" s="14">
        <f>IFERROR(__xludf.DUMMYFUNCTION("""COMPUTED_VALUE"""),415509.0)</f>
        <v>415509</v>
      </c>
      <c r="C1410" s="14" t="str">
        <f>IFERROR(__xludf.DUMMYFUNCTION("""COMPUTED_VALUE"""),"游勳叡")</f>
        <v>游勳叡</v>
      </c>
      <c r="D1410" s="16" t="str">
        <f>IFERROR(__xludf.DUMMYFUNCTION("""COMPUTED_VALUE"""),"106*****es.tyc.edu.tw")</f>
        <v>106*****es.tyc.edu.tw</v>
      </c>
      <c r="E1410" s="17" t="str">
        <f>IFERROR(__xludf.DUMMYFUNCTION("""COMPUTED_VALUE"""),"桃園市龜山區大坑國民小學")</f>
        <v>桃園市龜山區大坑國民小學</v>
      </c>
      <c r="F1410" s="14" t="str">
        <f>IFERROR(__xludf.DUMMYFUNCTION("""COMPUTED_VALUE"""),"六年級")</f>
        <v>六年級</v>
      </c>
      <c r="G1410" s="14" t="str">
        <f>IFERROR(__xludf.DUMMYFUNCTION("""COMPUTED_VALUE"""),"獎狀")</f>
        <v>獎狀</v>
      </c>
      <c r="H1410" s="8"/>
    </row>
    <row r="1411">
      <c r="A1411" s="18"/>
      <c r="B1411" s="14">
        <f>IFERROR(__xludf.DUMMYFUNCTION("""COMPUTED_VALUE"""),415505.0)</f>
        <v>415505</v>
      </c>
      <c r="C1411" s="14" t="str">
        <f>IFERROR(__xludf.DUMMYFUNCTION("""COMPUTED_VALUE"""),"劉子賢")</f>
        <v>劉子賢</v>
      </c>
      <c r="D1411" s="16" t="str">
        <f>IFERROR(__xludf.DUMMYFUNCTION("""COMPUTED_VALUE"""),"106*****es.tyc.edu.tw")</f>
        <v>106*****es.tyc.edu.tw</v>
      </c>
      <c r="E1411" s="17" t="str">
        <f>IFERROR(__xludf.DUMMYFUNCTION("""COMPUTED_VALUE"""),"桃園市龜山區大坑國民小學")</f>
        <v>桃園市龜山區大坑國民小學</v>
      </c>
      <c r="F1411" s="14" t="str">
        <f>IFERROR(__xludf.DUMMYFUNCTION("""COMPUTED_VALUE"""),"六年級")</f>
        <v>六年級</v>
      </c>
      <c r="G1411" s="14" t="str">
        <f>IFERROR(__xludf.DUMMYFUNCTION("""COMPUTED_VALUE"""),"獎狀")</f>
        <v>獎狀</v>
      </c>
      <c r="H1411" s="8"/>
    </row>
    <row r="1412">
      <c r="A1412" s="18"/>
      <c r="B1412" s="14">
        <f>IFERROR(__xludf.DUMMYFUNCTION("""COMPUTED_VALUE"""),1164898.0)</f>
        <v>1164898</v>
      </c>
      <c r="C1412" s="14" t="str">
        <f>IFERROR(__xludf.DUMMYFUNCTION("""COMPUTED_VALUE"""),"林沛錡")</f>
        <v>林沛錡</v>
      </c>
      <c r="D1412" s="16" t="str">
        <f>IFERROR(__xludf.DUMMYFUNCTION("""COMPUTED_VALUE"""),"peg*****i@mail.edu.tw")</f>
        <v>peg*****i@mail.edu.tw</v>
      </c>
      <c r="E1412" s="17" t="str">
        <f>IFERROR(__xludf.DUMMYFUNCTION("""COMPUTED_VALUE"""),"桃園市龜山區大湖國民小學")</f>
        <v>桃園市龜山區大湖國民小學</v>
      </c>
      <c r="F1412" s="14" t="str">
        <f>IFERROR(__xludf.DUMMYFUNCTION("""COMPUTED_VALUE"""),"三年級")</f>
        <v>三年級</v>
      </c>
      <c r="G1412" s="14" t="str">
        <f>IFERROR(__xludf.DUMMYFUNCTION("""COMPUTED_VALUE"""),"獎狀")</f>
        <v>獎狀</v>
      </c>
      <c r="H1412" s="8"/>
    </row>
    <row r="1413">
      <c r="A1413" s="18"/>
      <c r="B1413" s="14">
        <f>IFERROR(__xludf.DUMMYFUNCTION("""COMPUTED_VALUE"""),581817.0)</f>
        <v>581817</v>
      </c>
      <c r="C1413" s="14" t="str">
        <f>IFERROR(__xludf.DUMMYFUNCTION("""COMPUTED_VALUE"""),"謝采蓁")</f>
        <v>謝采蓁</v>
      </c>
      <c r="D1413" s="16" t="str">
        <f>IFERROR(__xludf.DUMMYFUNCTION("""COMPUTED_VALUE"""),"jun*****s.tp.edu.tw")</f>
        <v>jun*****s.tp.edu.tw</v>
      </c>
      <c r="E1413" s="17" t="str">
        <f>IFERROR(__xludf.DUMMYFUNCTION("""COMPUTED_VALUE"""),"桃園市龜山區文華國民小學")</f>
        <v>桃園市龜山區文華國民小學</v>
      </c>
      <c r="F1413" s="14" t="str">
        <f>IFERROR(__xludf.DUMMYFUNCTION("""COMPUTED_VALUE"""),"五年級")</f>
        <v>五年級</v>
      </c>
      <c r="G1413" s="14" t="str">
        <f>IFERROR(__xludf.DUMMYFUNCTION("""COMPUTED_VALUE"""),"獎狀")</f>
        <v>獎狀</v>
      </c>
      <c r="H1413" s="8"/>
    </row>
    <row r="1414">
      <c r="A1414" s="18"/>
      <c r="B1414" s="14">
        <f>IFERROR(__xludf.DUMMYFUNCTION("""COMPUTED_VALUE"""),159496.0)</f>
        <v>159496</v>
      </c>
      <c r="C1414" s="14" t="str">
        <f>IFERROR(__xludf.DUMMYFUNCTION("""COMPUTED_VALUE"""),"歐威廷")</f>
        <v>歐威廷</v>
      </c>
      <c r="D1414" s="16" t="str">
        <f>IFERROR(__xludf.DUMMYFUNCTION("""COMPUTED_VALUE"""),"a09*****717@gmail.com")</f>
        <v>a09*****717@gmail.com</v>
      </c>
      <c r="E1414" s="17" t="str">
        <f>IFERROR(__xludf.DUMMYFUNCTION("""COMPUTED_VALUE"""),"桃園市龜山區文華國民小學")</f>
        <v>桃園市龜山區文華國民小學</v>
      </c>
      <c r="F1414" s="14" t="str">
        <f>IFERROR(__xludf.DUMMYFUNCTION("""COMPUTED_VALUE"""),"六年級")</f>
        <v>六年級</v>
      </c>
      <c r="G1414" s="14" t="str">
        <f>IFERROR(__xludf.DUMMYFUNCTION("""COMPUTED_VALUE"""),"獎狀")</f>
        <v>獎狀</v>
      </c>
      <c r="H1414" s="8"/>
    </row>
    <row r="1415">
      <c r="A1415" s="18"/>
      <c r="B1415" s="14">
        <f>IFERROR(__xludf.DUMMYFUNCTION("""COMPUTED_VALUE"""),1212440.0)</f>
        <v>1212440</v>
      </c>
      <c r="C1415" s="14" t="str">
        <f>IFERROR(__xludf.DUMMYFUNCTION("""COMPUTED_VALUE"""),"吳惟瀚")</f>
        <v>吳惟瀚</v>
      </c>
      <c r="D1415" s="16" t="str">
        <f>IFERROR(__xludf.DUMMYFUNCTION("""COMPUTED_VALUE"""),"w10*****weses.tyc.edu.tw")</f>
        <v>w10*****weses.tyc.edu.tw</v>
      </c>
      <c r="E1415" s="17" t="str">
        <f>IFERROR(__xludf.DUMMYFUNCTION("""COMPUTED_VALUE"""),"桃園市龜山區文欣國民小學")</f>
        <v>桃園市龜山區文欣國民小學</v>
      </c>
      <c r="F1415" s="14" t="str">
        <f>IFERROR(__xludf.DUMMYFUNCTION("""COMPUTED_VALUE"""),"三年級")</f>
        <v>三年級</v>
      </c>
      <c r="G1415" s="14" t="str">
        <f>IFERROR(__xludf.DUMMYFUNCTION("""COMPUTED_VALUE"""),"獎狀")</f>
        <v>獎狀</v>
      </c>
      <c r="H1415" s="8"/>
    </row>
    <row r="1416">
      <c r="A1416" s="18"/>
      <c r="B1416" s="14">
        <f>IFERROR(__xludf.DUMMYFUNCTION("""COMPUTED_VALUE"""),1213748.0)</f>
        <v>1213748</v>
      </c>
      <c r="C1416" s="14" t="str">
        <f>IFERROR(__xludf.DUMMYFUNCTION("""COMPUTED_VALUE"""),"柯寗云")</f>
        <v>柯寗云</v>
      </c>
      <c r="D1416" s="16" t="str">
        <f>IFERROR(__xludf.DUMMYFUNCTION("""COMPUTED_VALUE"""),"w10*****weses.tyc.edu.tw")</f>
        <v>w10*****weses.tyc.edu.tw</v>
      </c>
      <c r="E1416" s="17" t="str">
        <f>IFERROR(__xludf.DUMMYFUNCTION("""COMPUTED_VALUE"""),"桃園市龜山區文欣國民小學")</f>
        <v>桃園市龜山區文欣國民小學</v>
      </c>
      <c r="F1416" s="14" t="str">
        <f>IFERROR(__xludf.DUMMYFUNCTION("""COMPUTED_VALUE"""),"三年級")</f>
        <v>三年級</v>
      </c>
      <c r="G1416" s="14" t="str">
        <f>IFERROR(__xludf.DUMMYFUNCTION("""COMPUTED_VALUE"""),"獎狀")</f>
        <v>獎狀</v>
      </c>
      <c r="H1416" s="8"/>
    </row>
    <row r="1417">
      <c r="A1417" s="18"/>
      <c r="B1417" s="14">
        <f>IFERROR(__xludf.DUMMYFUNCTION("""COMPUTED_VALUE"""),1213707.0)</f>
        <v>1213707</v>
      </c>
      <c r="C1417" s="14" t="str">
        <f>IFERROR(__xludf.DUMMYFUNCTION("""COMPUTED_VALUE"""),"蕭凱元")</f>
        <v>蕭凱元</v>
      </c>
      <c r="D1417" s="16" t="str">
        <f>IFERROR(__xludf.DUMMYFUNCTION("""COMPUTED_VALUE"""),"w10*****weses.tyc.edu.tw")</f>
        <v>w10*****weses.tyc.edu.tw</v>
      </c>
      <c r="E1417" s="17" t="str">
        <f>IFERROR(__xludf.DUMMYFUNCTION("""COMPUTED_VALUE"""),"桃園市龜山區文欣國民小學")</f>
        <v>桃園市龜山區文欣國民小學</v>
      </c>
      <c r="F1417" s="14" t="str">
        <f>IFERROR(__xludf.DUMMYFUNCTION("""COMPUTED_VALUE"""),"三年級")</f>
        <v>三年級</v>
      </c>
      <c r="G1417" s="14" t="str">
        <f>IFERROR(__xludf.DUMMYFUNCTION("""COMPUTED_VALUE"""),"獎狀")</f>
        <v>獎狀</v>
      </c>
      <c r="H1417" s="8"/>
    </row>
    <row r="1418">
      <c r="A1418" s="18"/>
      <c r="B1418" s="14">
        <f>IFERROR(__xludf.DUMMYFUNCTION("""COMPUTED_VALUE"""),1194317.0)</f>
        <v>1194317</v>
      </c>
      <c r="C1418" s="14" t="str">
        <f>IFERROR(__xludf.DUMMYFUNCTION("""COMPUTED_VALUE"""),"傅啟鴻")</f>
        <v>傅啟鴻</v>
      </c>
      <c r="D1418" s="16" t="str">
        <f>IFERROR(__xludf.DUMMYFUNCTION("""COMPUTED_VALUE"""),"w10*****weses.tyc.edu.tw")</f>
        <v>w10*****weses.tyc.edu.tw</v>
      </c>
      <c r="E1418" s="17" t="str">
        <f>IFERROR(__xludf.DUMMYFUNCTION("""COMPUTED_VALUE"""),"桃園市龜山區文欣國民小學")</f>
        <v>桃園市龜山區文欣國民小學</v>
      </c>
      <c r="F1418" s="14" t="str">
        <f>IFERROR(__xludf.DUMMYFUNCTION("""COMPUTED_VALUE"""),"三年級")</f>
        <v>三年級</v>
      </c>
      <c r="G1418" s="14" t="str">
        <f>IFERROR(__xludf.DUMMYFUNCTION("""COMPUTED_VALUE"""),"獎狀")</f>
        <v>獎狀</v>
      </c>
      <c r="H1418" s="8"/>
    </row>
    <row r="1419">
      <c r="A1419" s="18"/>
      <c r="B1419" s="14">
        <f>IFERROR(__xludf.DUMMYFUNCTION("""COMPUTED_VALUE"""),1213788.0)</f>
        <v>1213788</v>
      </c>
      <c r="C1419" s="14" t="str">
        <f>IFERROR(__xludf.DUMMYFUNCTION("""COMPUTED_VALUE"""),"楊雨晴")</f>
        <v>楊雨晴</v>
      </c>
      <c r="D1419" s="16" t="str">
        <f>IFERROR(__xludf.DUMMYFUNCTION("""COMPUTED_VALUE"""),"w10*****weses.tyc.edu.tw")</f>
        <v>w10*****weses.tyc.edu.tw</v>
      </c>
      <c r="E1419" s="17" t="str">
        <f>IFERROR(__xludf.DUMMYFUNCTION("""COMPUTED_VALUE"""),"桃園市龜山區文欣國民小學")</f>
        <v>桃園市龜山區文欣國民小學</v>
      </c>
      <c r="F1419" s="14" t="str">
        <f>IFERROR(__xludf.DUMMYFUNCTION("""COMPUTED_VALUE"""),"三年級")</f>
        <v>三年級</v>
      </c>
      <c r="G1419" s="14" t="str">
        <f>IFERROR(__xludf.DUMMYFUNCTION("""COMPUTED_VALUE"""),"獎狀")</f>
        <v>獎狀</v>
      </c>
      <c r="H1419" s="8"/>
    </row>
    <row r="1420">
      <c r="A1420" s="18"/>
      <c r="B1420" s="14">
        <f>IFERROR(__xludf.DUMMYFUNCTION("""COMPUTED_VALUE"""),1203085.0)</f>
        <v>1203085</v>
      </c>
      <c r="C1420" s="14" t="str">
        <f>IFERROR(__xludf.DUMMYFUNCTION("""COMPUTED_VALUE"""),"黃芫晞")</f>
        <v>黃芫晞</v>
      </c>
      <c r="D1420" s="16" t="str">
        <f>IFERROR(__xludf.DUMMYFUNCTION("""COMPUTED_VALUE"""),"w10*****weses.tyc.edu.tw")</f>
        <v>w10*****weses.tyc.edu.tw</v>
      </c>
      <c r="E1420" s="17" t="str">
        <f>IFERROR(__xludf.DUMMYFUNCTION("""COMPUTED_VALUE"""),"桃園市龜山區文欣國民小學")</f>
        <v>桃園市龜山區文欣國民小學</v>
      </c>
      <c r="F1420" s="14" t="str">
        <f>IFERROR(__xludf.DUMMYFUNCTION("""COMPUTED_VALUE"""),"四年級")</f>
        <v>四年級</v>
      </c>
      <c r="G1420" s="14" t="str">
        <f>IFERROR(__xludf.DUMMYFUNCTION("""COMPUTED_VALUE"""),"●小禮物")</f>
        <v>●小禮物</v>
      </c>
      <c r="H1420" s="8"/>
    </row>
    <row r="1421">
      <c r="A1421" s="18"/>
      <c r="B1421" s="14">
        <f>IFERROR(__xludf.DUMMYFUNCTION("""COMPUTED_VALUE"""),960379.0)</f>
        <v>960379</v>
      </c>
      <c r="C1421" s="14" t="str">
        <f>IFERROR(__xludf.DUMMYFUNCTION("""COMPUTED_VALUE"""),"龍靖芳")</f>
        <v>龍靖芳</v>
      </c>
      <c r="D1421" s="16" t="str">
        <f>IFERROR(__xludf.DUMMYFUNCTION("""COMPUTED_VALUE"""),"w10*****weses.tyc.edu.tw")</f>
        <v>w10*****weses.tyc.edu.tw</v>
      </c>
      <c r="E1421" s="17" t="str">
        <f>IFERROR(__xludf.DUMMYFUNCTION("""COMPUTED_VALUE"""),"桃園市龜山區文欣國民小學")</f>
        <v>桃園市龜山區文欣國民小學</v>
      </c>
      <c r="F1421" s="14" t="str">
        <f>IFERROR(__xludf.DUMMYFUNCTION("""COMPUTED_VALUE"""),"四年級")</f>
        <v>四年級</v>
      </c>
      <c r="G1421" s="14" t="str">
        <f>IFERROR(__xludf.DUMMYFUNCTION("""COMPUTED_VALUE"""),"●小禮物")</f>
        <v>●小禮物</v>
      </c>
      <c r="H1421" s="8"/>
    </row>
    <row r="1422">
      <c r="A1422" s="18"/>
      <c r="B1422" s="14">
        <f>IFERROR(__xludf.DUMMYFUNCTION("""COMPUTED_VALUE"""),960383.0)</f>
        <v>960383</v>
      </c>
      <c r="C1422" s="14" t="str">
        <f>IFERROR(__xludf.DUMMYFUNCTION("""COMPUTED_VALUE"""),"龍靖珆")</f>
        <v>龍靖珆</v>
      </c>
      <c r="D1422" s="16" t="str">
        <f>IFERROR(__xludf.DUMMYFUNCTION("""COMPUTED_VALUE"""),"w10*****weses.tyc.edu.tw")</f>
        <v>w10*****weses.tyc.edu.tw</v>
      </c>
      <c r="E1422" s="17" t="str">
        <f>IFERROR(__xludf.DUMMYFUNCTION("""COMPUTED_VALUE"""),"桃園市龜山區文欣國民小學")</f>
        <v>桃園市龜山區文欣國民小學</v>
      </c>
      <c r="F1422" s="14" t="str">
        <f>IFERROR(__xludf.DUMMYFUNCTION("""COMPUTED_VALUE"""),"四年級")</f>
        <v>四年級</v>
      </c>
      <c r="G1422" s="14" t="str">
        <f>IFERROR(__xludf.DUMMYFUNCTION("""COMPUTED_VALUE"""),"●小禮物")</f>
        <v>●小禮物</v>
      </c>
      <c r="H1422" s="8"/>
    </row>
    <row r="1423">
      <c r="A1423" s="18"/>
      <c r="B1423" s="14">
        <f>IFERROR(__xludf.DUMMYFUNCTION("""COMPUTED_VALUE"""),700175.0)</f>
        <v>700175</v>
      </c>
      <c r="C1423" s="14" t="str">
        <f>IFERROR(__xludf.DUMMYFUNCTION("""COMPUTED_VALUE"""),"王泯云")</f>
        <v>王泯云</v>
      </c>
      <c r="D1423" s="16" t="str">
        <f>IFERROR(__xludf.DUMMYFUNCTION("""COMPUTED_VALUE"""),"w10*****weses.tyc.edu.tw")</f>
        <v>w10*****weses.tyc.edu.tw</v>
      </c>
      <c r="E1423" s="17" t="str">
        <f>IFERROR(__xludf.DUMMYFUNCTION("""COMPUTED_VALUE"""),"桃園市龜山區文欣國民小學")</f>
        <v>桃園市龜山區文欣國民小學</v>
      </c>
      <c r="F1423" s="14" t="str">
        <f>IFERROR(__xludf.DUMMYFUNCTION("""COMPUTED_VALUE"""),"四年級")</f>
        <v>四年級</v>
      </c>
      <c r="G1423" s="14" t="str">
        <f>IFERROR(__xludf.DUMMYFUNCTION("""COMPUTED_VALUE"""),"★禮券$200")</f>
        <v>★禮券$200</v>
      </c>
      <c r="H1423" s="8"/>
    </row>
    <row r="1424">
      <c r="A1424" s="18"/>
      <c r="B1424" s="14">
        <f>IFERROR(__xludf.DUMMYFUNCTION("""COMPUTED_VALUE"""),951682.0)</f>
        <v>951682</v>
      </c>
      <c r="C1424" s="14" t="str">
        <f>IFERROR(__xludf.DUMMYFUNCTION("""COMPUTED_VALUE"""),"張誠恩")</f>
        <v>張誠恩</v>
      </c>
      <c r="D1424" s="16" t="str">
        <f>IFERROR(__xludf.DUMMYFUNCTION("""COMPUTED_VALUE"""),"w10*****weses.tyc.edu.tw")</f>
        <v>w10*****weses.tyc.edu.tw</v>
      </c>
      <c r="E1424" s="17" t="str">
        <f>IFERROR(__xludf.DUMMYFUNCTION("""COMPUTED_VALUE"""),"桃園市龜山區文欣國民小學")</f>
        <v>桃園市龜山區文欣國民小學</v>
      </c>
      <c r="F1424" s="14" t="str">
        <f>IFERROR(__xludf.DUMMYFUNCTION("""COMPUTED_VALUE"""),"四年級")</f>
        <v>四年級</v>
      </c>
      <c r="G1424" s="14" t="str">
        <f>IFERROR(__xludf.DUMMYFUNCTION("""COMPUTED_VALUE"""),"獎狀")</f>
        <v>獎狀</v>
      </c>
      <c r="H1424" s="8"/>
    </row>
    <row r="1425">
      <c r="A1425" s="18"/>
      <c r="B1425" s="14">
        <f>IFERROR(__xludf.DUMMYFUNCTION("""COMPUTED_VALUE"""),960400.0)</f>
        <v>960400</v>
      </c>
      <c r="C1425" s="14" t="str">
        <f>IFERROR(__xludf.DUMMYFUNCTION("""COMPUTED_VALUE"""),"許恆睿")</f>
        <v>許恆睿</v>
      </c>
      <c r="D1425" s="16" t="str">
        <f>IFERROR(__xludf.DUMMYFUNCTION("""COMPUTED_VALUE"""),"w10*****weses.tyc.edu.tw")</f>
        <v>w10*****weses.tyc.edu.tw</v>
      </c>
      <c r="E1425" s="17" t="str">
        <f>IFERROR(__xludf.DUMMYFUNCTION("""COMPUTED_VALUE"""),"桃園市龜山區文欣國民小學")</f>
        <v>桃園市龜山區文欣國民小學</v>
      </c>
      <c r="F1425" s="14" t="str">
        <f>IFERROR(__xludf.DUMMYFUNCTION("""COMPUTED_VALUE"""),"四年級")</f>
        <v>四年級</v>
      </c>
      <c r="G1425" s="14" t="str">
        <f>IFERROR(__xludf.DUMMYFUNCTION("""COMPUTED_VALUE"""),"●小禮物")</f>
        <v>●小禮物</v>
      </c>
      <c r="H1425" s="8"/>
    </row>
    <row r="1426">
      <c r="A1426" s="18"/>
      <c r="B1426" s="14">
        <f>IFERROR(__xludf.DUMMYFUNCTION("""COMPUTED_VALUE"""),951905.0)</f>
        <v>951905</v>
      </c>
      <c r="C1426" s="14" t="str">
        <f>IFERROR(__xludf.DUMMYFUNCTION("""COMPUTED_VALUE"""),"劉弈寬")</f>
        <v>劉弈寬</v>
      </c>
      <c r="D1426" s="16" t="str">
        <f>IFERROR(__xludf.DUMMYFUNCTION("""COMPUTED_VALUE"""),"w10*****weses.tyc.edu.tw")</f>
        <v>w10*****weses.tyc.edu.tw</v>
      </c>
      <c r="E1426" s="17" t="str">
        <f>IFERROR(__xludf.DUMMYFUNCTION("""COMPUTED_VALUE"""),"桃園市龜山區文欣國民小學")</f>
        <v>桃園市龜山區文欣國民小學</v>
      </c>
      <c r="F1426" s="14" t="str">
        <f>IFERROR(__xludf.DUMMYFUNCTION("""COMPUTED_VALUE"""),"四年級")</f>
        <v>四年級</v>
      </c>
      <c r="G1426" s="14" t="str">
        <f>IFERROR(__xludf.DUMMYFUNCTION("""COMPUTED_VALUE"""),"★禮券$500")</f>
        <v>★禮券$500</v>
      </c>
      <c r="H1426" s="8"/>
    </row>
    <row r="1427">
      <c r="A1427" s="18"/>
      <c r="B1427" s="14">
        <f>IFERROR(__xludf.DUMMYFUNCTION("""COMPUTED_VALUE"""),952722.0)</f>
        <v>952722</v>
      </c>
      <c r="C1427" s="14" t="str">
        <f>IFERROR(__xludf.DUMMYFUNCTION("""COMPUTED_VALUE"""),"王聿寬")</f>
        <v>王聿寬</v>
      </c>
      <c r="D1427" s="16" t="str">
        <f>IFERROR(__xludf.DUMMYFUNCTION("""COMPUTED_VALUE"""),"w10*****weses.tyc.edu.tw")</f>
        <v>w10*****weses.tyc.edu.tw</v>
      </c>
      <c r="E1427" s="17" t="str">
        <f>IFERROR(__xludf.DUMMYFUNCTION("""COMPUTED_VALUE"""),"桃園市龜山區文欣國民小學")</f>
        <v>桃園市龜山區文欣國民小學</v>
      </c>
      <c r="F1427" s="14" t="str">
        <f>IFERROR(__xludf.DUMMYFUNCTION("""COMPUTED_VALUE"""),"四年級")</f>
        <v>四年級</v>
      </c>
      <c r="G1427" s="14" t="str">
        <f>IFERROR(__xludf.DUMMYFUNCTION("""COMPUTED_VALUE"""),"獎狀")</f>
        <v>獎狀</v>
      </c>
      <c r="H1427" s="8"/>
    </row>
    <row r="1428">
      <c r="A1428" s="18"/>
      <c r="B1428" s="14">
        <f>IFERROR(__xludf.DUMMYFUNCTION("""COMPUTED_VALUE"""),948129.0)</f>
        <v>948129</v>
      </c>
      <c r="C1428" s="14" t="str">
        <f>IFERROR(__xludf.DUMMYFUNCTION("""COMPUTED_VALUE"""),"李沅潔")</f>
        <v>李沅潔</v>
      </c>
      <c r="D1428" s="16" t="str">
        <f>IFERROR(__xludf.DUMMYFUNCTION("""COMPUTED_VALUE"""),"w10*****weses.tyc.edu.tw")</f>
        <v>w10*****weses.tyc.edu.tw</v>
      </c>
      <c r="E1428" s="17" t="str">
        <f>IFERROR(__xludf.DUMMYFUNCTION("""COMPUTED_VALUE"""),"桃園市龜山區文欣國民小學")</f>
        <v>桃園市龜山區文欣國民小學</v>
      </c>
      <c r="F1428" s="14" t="str">
        <f>IFERROR(__xludf.DUMMYFUNCTION("""COMPUTED_VALUE"""),"四年級")</f>
        <v>四年級</v>
      </c>
      <c r="G1428" s="14" t="str">
        <f>IFERROR(__xludf.DUMMYFUNCTION("""COMPUTED_VALUE"""),"獎狀")</f>
        <v>獎狀</v>
      </c>
      <c r="H1428" s="8"/>
    </row>
    <row r="1429">
      <c r="A1429" s="18"/>
      <c r="B1429" s="14">
        <f>IFERROR(__xludf.DUMMYFUNCTION("""COMPUTED_VALUE"""),1189695.0)</f>
        <v>1189695</v>
      </c>
      <c r="C1429" s="14" t="str">
        <f>IFERROR(__xludf.DUMMYFUNCTION("""COMPUTED_VALUE"""),"林翔宇")</f>
        <v>林翔宇</v>
      </c>
      <c r="D1429" s="16" t="str">
        <f>IFERROR(__xludf.DUMMYFUNCTION("""COMPUTED_VALUE"""),"w10*****weses.tyc.edu.tw")</f>
        <v>w10*****weses.tyc.edu.tw</v>
      </c>
      <c r="E1429" s="17" t="str">
        <f>IFERROR(__xludf.DUMMYFUNCTION("""COMPUTED_VALUE"""),"桃園市龜山區文欣國民小學")</f>
        <v>桃園市龜山區文欣國民小學</v>
      </c>
      <c r="F1429" s="14" t="str">
        <f>IFERROR(__xludf.DUMMYFUNCTION("""COMPUTED_VALUE"""),"四年級")</f>
        <v>四年級</v>
      </c>
      <c r="G1429" s="14" t="str">
        <f>IFERROR(__xludf.DUMMYFUNCTION("""COMPUTED_VALUE"""),"獎狀")</f>
        <v>獎狀</v>
      </c>
      <c r="H1429" s="8"/>
    </row>
    <row r="1430">
      <c r="A1430" s="18"/>
      <c r="B1430" s="14">
        <f>IFERROR(__xludf.DUMMYFUNCTION("""COMPUTED_VALUE"""),955035.0)</f>
        <v>955035</v>
      </c>
      <c r="C1430" s="14" t="str">
        <f>IFERROR(__xludf.DUMMYFUNCTION("""COMPUTED_VALUE"""),"許宸恩")</f>
        <v>許宸恩</v>
      </c>
      <c r="D1430" s="16" t="str">
        <f>IFERROR(__xludf.DUMMYFUNCTION("""COMPUTED_VALUE"""),"w10*****weses.tyc.edu.tw")</f>
        <v>w10*****weses.tyc.edu.tw</v>
      </c>
      <c r="E1430" s="17" t="str">
        <f>IFERROR(__xludf.DUMMYFUNCTION("""COMPUTED_VALUE"""),"桃園市龜山區文欣國民小學")</f>
        <v>桃園市龜山區文欣國民小學</v>
      </c>
      <c r="F1430" s="14" t="str">
        <f>IFERROR(__xludf.DUMMYFUNCTION("""COMPUTED_VALUE"""),"四年級")</f>
        <v>四年級</v>
      </c>
      <c r="G1430" s="14" t="str">
        <f>IFERROR(__xludf.DUMMYFUNCTION("""COMPUTED_VALUE"""),"●小禮物")</f>
        <v>●小禮物</v>
      </c>
      <c r="H1430" s="8"/>
    </row>
    <row r="1431">
      <c r="A1431" s="18"/>
      <c r="B1431" s="14">
        <f>IFERROR(__xludf.DUMMYFUNCTION("""COMPUTED_VALUE"""),1192154.0)</f>
        <v>1192154</v>
      </c>
      <c r="C1431" s="14" t="str">
        <f>IFERROR(__xludf.DUMMYFUNCTION("""COMPUTED_VALUE"""),"黃子青")</f>
        <v>黃子青</v>
      </c>
      <c r="D1431" s="16" t="str">
        <f>IFERROR(__xludf.DUMMYFUNCTION("""COMPUTED_VALUE"""),"w10*****weses.tyc.edu.tw")</f>
        <v>w10*****weses.tyc.edu.tw</v>
      </c>
      <c r="E1431" s="17" t="str">
        <f>IFERROR(__xludf.DUMMYFUNCTION("""COMPUTED_VALUE"""),"桃園市龜山區文欣國民小學")</f>
        <v>桃園市龜山區文欣國民小學</v>
      </c>
      <c r="F1431" s="14" t="str">
        <f>IFERROR(__xludf.DUMMYFUNCTION("""COMPUTED_VALUE"""),"四年級")</f>
        <v>四年級</v>
      </c>
      <c r="G1431" s="14" t="str">
        <f>IFERROR(__xludf.DUMMYFUNCTION("""COMPUTED_VALUE"""),"●小禮物")</f>
        <v>●小禮物</v>
      </c>
      <c r="H1431" s="8"/>
    </row>
    <row r="1432">
      <c r="A1432" s="18"/>
      <c r="B1432" s="14">
        <f>IFERROR(__xludf.DUMMYFUNCTION("""COMPUTED_VALUE"""),734622.0)</f>
        <v>734622</v>
      </c>
      <c r="C1432" s="14" t="str">
        <f>IFERROR(__xludf.DUMMYFUNCTION("""COMPUTED_VALUE"""),"林子雋")</f>
        <v>林子雋</v>
      </c>
      <c r="D1432" s="16" t="str">
        <f>IFERROR(__xludf.DUMMYFUNCTION("""COMPUTED_VALUE"""),"w10*****weses.tyc.edu.tw")</f>
        <v>w10*****weses.tyc.edu.tw</v>
      </c>
      <c r="E1432" s="17" t="str">
        <f>IFERROR(__xludf.DUMMYFUNCTION("""COMPUTED_VALUE"""),"桃園市龜山區文欣國民小學")</f>
        <v>桃園市龜山區文欣國民小學</v>
      </c>
      <c r="F1432" s="14" t="str">
        <f>IFERROR(__xludf.DUMMYFUNCTION("""COMPUTED_VALUE"""),"四年級")</f>
        <v>四年級</v>
      </c>
      <c r="G1432" s="14" t="str">
        <f>IFERROR(__xludf.DUMMYFUNCTION("""COMPUTED_VALUE"""),"獎狀")</f>
        <v>獎狀</v>
      </c>
      <c r="H1432" s="8"/>
    </row>
    <row r="1433">
      <c r="A1433" s="18"/>
      <c r="B1433" s="14">
        <f>IFERROR(__xludf.DUMMYFUNCTION("""COMPUTED_VALUE"""),955145.0)</f>
        <v>955145</v>
      </c>
      <c r="C1433" s="14" t="str">
        <f>IFERROR(__xludf.DUMMYFUNCTION("""COMPUTED_VALUE"""),"張嘉恩")</f>
        <v>張嘉恩</v>
      </c>
      <c r="D1433" s="16" t="str">
        <f>IFERROR(__xludf.DUMMYFUNCTION("""COMPUTED_VALUE"""),"w10*****weses.tyc.edu.tw")</f>
        <v>w10*****weses.tyc.edu.tw</v>
      </c>
      <c r="E1433" s="17" t="str">
        <f>IFERROR(__xludf.DUMMYFUNCTION("""COMPUTED_VALUE"""),"桃園市龜山區文欣國民小學")</f>
        <v>桃園市龜山區文欣國民小學</v>
      </c>
      <c r="F1433" s="14" t="str">
        <f>IFERROR(__xludf.DUMMYFUNCTION("""COMPUTED_VALUE"""),"四年級")</f>
        <v>四年級</v>
      </c>
      <c r="G1433" s="14" t="str">
        <f>IFERROR(__xludf.DUMMYFUNCTION("""COMPUTED_VALUE"""),"獎狀")</f>
        <v>獎狀</v>
      </c>
      <c r="H1433" s="8"/>
    </row>
    <row r="1434">
      <c r="A1434" s="18"/>
      <c r="B1434" s="14">
        <f>IFERROR(__xludf.DUMMYFUNCTION("""COMPUTED_VALUE"""),876017.0)</f>
        <v>876017</v>
      </c>
      <c r="C1434" s="14" t="str">
        <f>IFERROR(__xludf.DUMMYFUNCTION("""COMPUTED_VALUE"""),"花宇宸")</f>
        <v>花宇宸</v>
      </c>
      <c r="D1434" s="16" t="str">
        <f>IFERROR(__xludf.DUMMYFUNCTION("""COMPUTED_VALUE"""),"w10*****weses.tyc.edu.tw")</f>
        <v>w10*****weses.tyc.edu.tw</v>
      </c>
      <c r="E1434" s="17" t="str">
        <f>IFERROR(__xludf.DUMMYFUNCTION("""COMPUTED_VALUE"""),"桃園市龜山區文欣國民小學")</f>
        <v>桃園市龜山區文欣國民小學</v>
      </c>
      <c r="F1434" s="14" t="str">
        <f>IFERROR(__xludf.DUMMYFUNCTION("""COMPUTED_VALUE"""),"四年級")</f>
        <v>四年級</v>
      </c>
      <c r="G1434" s="14" t="str">
        <f>IFERROR(__xludf.DUMMYFUNCTION("""COMPUTED_VALUE"""),"●小禮物")</f>
        <v>●小禮物</v>
      </c>
      <c r="H1434" s="8"/>
    </row>
    <row r="1435">
      <c r="A1435" s="18"/>
      <c r="B1435" s="14">
        <f>IFERROR(__xludf.DUMMYFUNCTION("""COMPUTED_VALUE"""),708428.0)</f>
        <v>708428</v>
      </c>
      <c r="C1435" s="14" t="str">
        <f>IFERROR(__xludf.DUMMYFUNCTION("""COMPUTED_VALUE"""),"盧竑宇")</f>
        <v>盧竑宇</v>
      </c>
      <c r="D1435" s="16" t="str">
        <f>IFERROR(__xludf.DUMMYFUNCTION("""COMPUTED_VALUE"""),"w10*****weses.tyc.edu.tw")</f>
        <v>w10*****weses.tyc.edu.tw</v>
      </c>
      <c r="E1435" s="17" t="str">
        <f>IFERROR(__xludf.DUMMYFUNCTION("""COMPUTED_VALUE"""),"桃園市龜山區文欣國民小學")</f>
        <v>桃園市龜山區文欣國民小學</v>
      </c>
      <c r="F1435" s="14" t="str">
        <f>IFERROR(__xludf.DUMMYFUNCTION("""COMPUTED_VALUE"""),"四年級")</f>
        <v>四年級</v>
      </c>
      <c r="G1435" s="14" t="str">
        <f>IFERROR(__xludf.DUMMYFUNCTION("""COMPUTED_VALUE"""),"●小禮物")</f>
        <v>●小禮物</v>
      </c>
      <c r="H1435" s="8"/>
    </row>
    <row r="1436">
      <c r="A1436" s="18"/>
      <c r="B1436" s="14">
        <f>IFERROR(__xludf.DUMMYFUNCTION("""COMPUTED_VALUE"""),747425.0)</f>
        <v>747425</v>
      </c>
      <c r="C1436" s="14" t="str">
        <f>IFERROR(__xludf.DUMMYFUNCTION("""COMPUTED_VALUE"""),"謝景翔")</f>
        <v>謝景翔</v>
      </c>
      <c r="D1436" s="16" t="str">
        <f>IFERROR(__xludf.DUMMYFUNCTION("""COMPUTED_VALUE"""),"w10*****weses.tyc.edu.tw")</f>
        <v>w10*****weses.tyc.edu.tw</v>
      </c>
      <c r="E1436" s="17" t="str">
        <f>IFERROR(__xludf.DUMMYFUNCTION("""COMPUTED_VALUE"""),"桃園市龜山區文欣國民小學")</f>
        <v>桃園市龜山區文欣國民小學</v>
      </c>
      <c r="F1436" s="14" t="str">
        <f>IFERROR(__xludf.DUMMYFUNCTION("""COMPUTED_VALUE"""),"五年級")</f>
        <v>五年級</v>
      </c>
      <c r="G1436" s="14" t="str">
        <f>IFERROR(__xludf.DUMMYFUNCTION("""COMPUTED_VALUE"""),"獎狀")</f>
        <v>獎狀</v>
      </c>
      <c r="H1436" s="8"/>
    </row>
    <row r="1437">
      <c r="A1437" s="18"/>
      <c r="B1437" s="14">
        <f>IFERROR(__xludf.DUMMYFUNCTION("""COMPUTED_VALUE"""),743108.0)</f>
        <v>743108</v>
      </c>
      <c r="C1437" s="14" t="str">
        <f>IFERROR(__xludf.DUMMYFUNCTION("""COMPUTED_VALUE"""),"歐騰澤")</f>
        <v>歐騰澤</v>
      </c>
      <c r="D1437" s="16" t="str">
        <f>IFERROR(__xludf.DUMMYFUNCTION("""COMPUTED_VALUE"""),"w10*****weses.tyc.edu.tw")</f>
        <v>w10*****weses.tyc.edu.tw</v>
      </c>
      <c r="E1437" s="17" t="str">
        <f>IFERROR(__xludf.DUMMYFUNCTION("""COMPUTED_VALUE"""),"桃園市龜山區文欣國民小學")</f>
        <v>桃園市龜山區文欣國民小學</v>
      </c>
      <c r="F1437" s="14" t="str">
        <f>IFERROR(__xludf.DUMMYFUNCTION("""COMPUTED_VALUE"""),"五年級")</f>
        <v>五年級</v>
      </c>
      <c r="G1437" s="14" t="str">
        <f>IFERROR(__xludf.DUMMYFUNCTION("""COMPUTED_VALUE"""),"●小禮物")</f>
        <v>●小禮物</v>
      </c>
      <c r="H1437" s="8"/>
    </row>
    <row r="1438">
      <c r="A1438" s="18"/>
      <c r="B1438" s="14">
        <f>IFERROR(__xludf.DUMMYFUNCTION("""COMPUTED_VALUE"""),1188826.0)</f>
        <v>1188826</v>
      </c>
      <c r="C1438" s="14" t="str">
        <f>IFERROR(__xludf.DUMMYFUNCTION("""COMPUTED_VALUE"""),"林倢瑩")</f>
        <v>林倢瑩</v>
      </c>
      <c r="D1438" s="16" t="str">
        <f>IFERROR(__xludf.DUMMYFUNCTION("""COMPUTED_VALUE"""),"w10*****weses.tyc.edu.tw")</f>
        <v>w10*****weses.tyc.edu.tw</v>
      </c>
      <c r="E1438" s="17" t="str">
        <f>IFERROR(__xludf.DUMMYFUNCTION("""COMPUTED_VALUE"""),"桃園市龜山區文欣國民小學")</f>
        <v>桃園市龜山區文欣國民小學</v>
      </c>
      <c r="F1438" s="14" t="str">
        <f>IFERROR(__xludf.DUMMYFUNCTION("""COMPUTED_VALUE"""),"五年級")</f>
        <v>五年級</v>
      </c>
      <c r="G1438" s="14" t="str">
        <f>IFERROR(__xludf.DUMMYFUNCTION("""COMPUTED_VALUE"""),"獎狀")</f>
        <v>獎狀</v>
      </c>
      <c r="H1438" s="8"/>
    </row>
    <row r="1439">
      <c r="A1439" s="18"/>
      <c r="B1439" s="14">
        <f>IFERROR(__xludf.DUMMYFUNCTION("""COMPUTED_VALUE"""),740369.0)</f>
        <v>740369</v>
      </c>
      <c r="C1439" s="14" t="str">
        <f>IFERROR(__xludf.DUMMYFUNCTION("""COMPUTED_VALUE"""),"林湉芸")</f>
        <v>林湉芸</v>
      </c>
      <c r="D1439" s="16" t="str">
        <f>IFERROR(__xludf.DUMMYFUNCTION("""COMPUTED_VALUE"""),"w10*****weses.tyc.edu.tw")</f>
        <v>w10*****weses.tyc.edu.tw</v>
      </c>
      <c r="E1439" s="17" t="str">
        <f>IFERROR(__xludf.DUMMYFUNCTION("""COMPUTED_VALUE"""),"桃園市龜山區文欣國民小學")</f>
        <v>桃園市龜山區文欣國民小學</v>
      </c>
      <c r="F1439" s="14" t="str">
        <f>IFERROR(__xludf.DUMMYFUNCTION("""COMPUTED_VALUE"""),"五年級")</f>
        <v>五年級</v>
      </c>
      <c r="G1439" s="14" t="str">
        <f>IFERROR(__xludf.DUMMYFUNCTION("""COMPUTED_VALUE"""),"獎狀")</f>
        <v>獎狀</v>
      </c>
      <c r="H1439" s="8"/>
    </row>
    <row r="1440">
      <c r="A1440" s="18"/>
      <c r="B1440" s="14">
        <f>IFERROR(__xludf.DUMMYFUNCTION("""COMPUTED_VALUE"""),737041.0)</f>
        <v>737041</v>
      </c>
      <c r="C1440" s="14" t="str">
        <f>IFERROR(__xludf.DUMMYFUNCTION("""COMPUTED_VALUE"""),"吳縵翎")</f>
        <v>吳縵翎</v>
      </c>
      <c r="D1440" s="16" t="str">
        <f>IFERROR(__xludf.DUMMYFUNCTION("""COMPUTED_VALUE"""),"w10*****weses.tyc.edu.tw")</f>
        <v>w10*****weses.tyc.edu.tw</v>
      </c>
      <c r="E1440" s="17" t="str">
        <f>IFERROR(__xludf.DUMMYFUNCTION("""COMPUTED_VALUE"""),"桃園市龜山區文欣國民小學")</f>
        <v>桃園市龜山區文欣國民小學</v>
      </c>
      <c r="F1440" s="14" t="str">
        <f>IFERROR(__xludf.DUMMYFUNCTION("""COMPUTED_VALUE"""),"五年級")</f>
        <v>五年級</v>
      </c>
      <c r="G1440" s="14" t="str">
        <f>IFERROR(__xludf.DUMMYFUNCTION("""COMPUTED_VALUE"""),"獎狀")</f>
        <v>獎狀</v>
      </c>
      <c r="H1440" s="8"/>
    </row>
    <row r="1441">
      <c r="A1441" s="18"/>
      <c r="B1441" s="14">
        <f>IFERROR(__xludf.DUMMYFUNCTION("""COMPUTED_VALUE"""),683652.0)</f>
        <v>683652</v>
      </c>
      <c r="C1441" s="14" t="str">
        <f>IFERROR(__xludf.DUMMYFUNCTION("""COMPUTED_VALUE"""),"廖品澤")</f>
        <v>廖品澤</v>
      </c>
      <c r="D1441" s="16" t="str">
        <f>IFERROR(__xludf.DUMMYFUNCTION("""COMPUTED_VALUE"""),"w10*****weses.tyc.edu.tw")</f>
        <v>w10*****weses.tyc.edu.tw</v>
      </c>
      <c r="E1441" s="17" t="str">
        <f>IFERROR(__xludf.DUMMYFUNCTION("""COMPUTED_VALUE"""),"桃園市龜山區文欣國民小學")</f>
        <v>桃園市龜山區文欣國民小學</v>
      </c>
      <c r="F1441" s="14" t="str">
        <f>IFERROR(__xludf.DUMMYFUNCTION("""COMPUTED_VALUE"""),"六年級")</f>
        <v>六年級</v>
      </c>
      <c r="G1441" s="14" t="str">
        <f>IFERROR(__xludf.DUMMYFUNCTION("""COMPUTED_VALUE"""),"●小禮物")</f>
        <v>●小禮物</v>
      </c>
      <c r="H1441" s="8"/>
    </row>
    <row r="1442">
      <c r="A1442" s="18"/>
      <c r="B1442" s="14">
        <f>IFERROR(__xludf.DUMMYFUNCTION("""COMPUTED_VALUE"""),1137240.0)</f>
        <v>1137240</v>
      </c>
      <c r="C1442" s="14" t="str">
        <f>IFERROR(__xludf.DUMMYFUNCTION("""COMPUTED_VALUE"""),"楊皓鈞")</f>
        <v>楊皓鈞</v>
      </c>
      <c r="D1442" s="16" t="str">
        <f>IFERROR(__xludf.DUMMYFUNCTION("""COMPUTED_VALUE"""),"w10*****mail.edu.tw")</f>
        <v>w10*****mail.edu.tw</v>
      </c>
      <c r="E1442" s="17" t="str">
        <f>IFERROR(__xludf.DUMMYFUNCTION("""COMPUTED_VALUE"""),"桃園市龜山區文欣國民小學")</f>
        <v>桃園市龜山區文欣國民小學</v>
      </c>
      <c r="F1442" s="14" t="str">
        <f>IFERROR(__xludf.DUMMYFUNCTION("""COMPUTED_VALUE"""),"六年級")</f>
        <v>六年級</v>
      </c>
      <c r="G1442" s="14" t="str">
        <f>IFERROR(__xludf.DUMMYFUNCTION("""COMPUTED_VALUE"""),"獎狀")</f>
        <v>獎狀</v>
      </c>
      <c r="H1442" s="8"/>
    </row>
    <row r="1443">
      <c r="A1443" s="18"/>
      <c r="B1443" s="14">
        <f>IFERROR(__xludf.DUMMYFUNCTION("""COMPUTED_VALUE"""),541112.0)</f>
        <v>541112</v>
      </c>
      <c r="C1443" s="14" t="str">
        <f>IFERROR(__xludf.DUMMYFUNCTION("""COMPUTED_VALUE"""),"張采維")</f>
        <v>張采維</v>
      </c>
      <c r="D1443" s="16" t="str">
        <f>IFERROR(__xludf.DUMMYFUNCTION("""COMPUTED_VALUE"""),"w10*****weses.tyc.edu.tw")</f>
        <v>w10*****weses.tyc.edu.tw</v>
      </c>
      <c r="E1443" s="17" t="str">
        <f>IFERROR(__xludf.DUMMYFUNCTION("""COMPUTED_VALUE"""),"桃園市龜山區文欣國民小學")</f>
        <v>桃園市龜山區文欣國民小學</v>
      </c>
      <c r="F1443" s="14" t="str">
        <f>IFERROR(__xludf.DUMMYFUNCTION("""COMPUTED_VALUE"""),"六年級")</f>
        <v>六年級</v>
      </c>
      <c r="G1443" s="14" t="str">
        <f>IFERROR(__xludf.DUMMYFUNCTION("""COMPUTED_VALUE"""),"●小禮物")</f>
        <v>●小禮物</v>
      </c>
      <c r="H1443" s="8"/>
    </row>
    <row r="1444">
      <c r="A1444" s="18"/>
      <c r="B1444" s="14">
        <f>IFERROR(__xludf.DUMMYFUNCTION("""COMPUTED_VALUE"""),724617.0)</f>
        <v>724617</v>
      </c>
      <c r="C1444" s="14" t="str">
        <f>IFERROR(__xludf.DUMMYFUNCTION("""COMPUTED_VALUE"""),"陳孟楷")</f>
        <v>陳孟楷</v>
      </c>
      <c r="D1444" s="16" t="str">
        <f>IFERROR(__xludf.DUMMYFUNCTION("""COMPUTED_VALUE"""),"w10*****weses.tyc.edu.tw")</f>
        <v>w10*****weses.tyc.edu.tw</v>
      </c>
      <c r="E1444" s="17" t="str">
        <f>IFERROR(__xludf.DUMMYFUNCTION("""COMPUTED_VALUE"""),"桃園市龜山區文欣國民小學")</f>
        <v>桃園市龜山區文欣國民小學</v>
      </c>
      <c r="F1444" s="14" t="str">
        <f>IFERROR(__xludf.DUMMYFUNCTION("""COMPUTED_VALUE"""),"六年級")</f>
        <v>六年級</v>
      </c>
      <c r="G1444" s="14" t="str">
        <f>IFERROR(__xludf.DUMMYFUNCTION("""COMPUTED_VALUE"""),"獎狀")</f>
        <v>獎狀</v>
      </c>
      <c r="H1444" s="8"/>
    </row>
    <row r="1445">
      <c r="A1445" s="18"/>
      <c r="B1445" s="14">
        <f>IFERROR(__xludf.DUMMYFUNCTION("""COMPUTED_VALUE"""),890543.0)</f>
        <v>890543</v>
      </c>
      <c r="C1445" s="14" t="str">
        <f>IFERROR(__xludf.DUMMYFUNCTION("""COMPUTED_VALUE"""),"塗睿潔")</f>
        <v>塗睿潔</v>
      </c>
      <c r="D1445" s="16" t="str">
        <f>IFERROR(__xludf.DUMMYFUNCTION("""COMPUTED_VALUE"""),"w10*****weses.tyc.edu.tw")</f>
        <v>w10*****weses.tyc.edu.tw</v>
      </c>
      <c r="E1445" s="17" t="str">
        <f>IFERROR(__xludf.DUMMYFUNCTION("""COMPUTED_VALUE"""),"桃園市龜山區文欣國民小學")</f>
        <v>桃園市龜山區文欣國民小學</v>
      </c>
      <c r="F1445" s="14" t="str">
        <f>IFERROR(__xludf.DUMMYFUNCTION("""COMPUTED_VALUE"""),"六年級")</f>
        <v>六年級</v>
      </c>
      <c r="G1445" s="14" t="str">
        <f>IFERROR(__xludf.DUMMYFUNCTION("""COMPUTED_VALUE"""),"獎狀")</f>
        <v>獎狀</v>
      </c>
      <c r="H1445" s="8"/>
    </row>
    <row r="1446">
      <c r="A1446" s="18"/>
      <c r="B1446" s="14">
        <f>IFERROR(__xludf.DUMMYFUNCTION("""COMPUTED_VALUE"""),724607.0)</f>
        <v>724607</v>
      </c>
      <c r="C1446" s="14" t="str">
        <f>IFERROR(__xludf.DUMMYFUNCTION("""COMPUTED_VALUE"""),"呂藝萱")</f>
        <v>呂藝萱</v>
      </c>
      <c r="D1446" s="16" t="str">
        <f>IFERROR(__xludf.DUMMYFUNCTION("""COMPUTED_VALUE"""),"w10*****weses.tyc.edu.tw")</f>
        <v>w10*****weses.tyc.edu.tw</v>
      </c>
      <c r="E1446" s="17" t="str">
        <f>IFERROR(__xludf.DUMMYFUNCTION("""COMPUTED_VALUE"""),"桃園市龜山區文欣國民小學")</f>
        <v>桃園市龜山區文欣國民小學</v>
      </c>
      <c r="F1446" s="14" t="str">
        <f>IFERROR(__xludf.DUMMYFUNCTION("""COMPUTED_VALUE"""),"六年級")</f>
        <v>六年級</v>
      </c>
      <c r="G1446" s="14" t="str">
        <f>IFERROR(__xludf.DUMMYFUNCTION("""COMPUTED_VALUE"""),"獎狀")</f>
        <v>獎狀</v>
      </c>
      <c r="H1446" s="8"/>
    </row>
    <row r="1447">
      <c r="A1447" s="18"/>
      <c r="B1447" s="14">
        <f>IFERROR(__xludf.DUMMYFUNCTION("""COMPUTED_VALUE"""),681232.0)</f>
        <v>681232</v>
      </c>
      <c r="C1447" s="14" t="str">
        <f>IFERROR(__xludf.DUMMYFUNCTION("""COMPUTED_VALUE"""),"賈秉潔")</f>
        <v>賈秉潔</v>
      </c>
      <c r="D1447" s="16" t="str">
        <f>IFERROR(__xludf.DUMMYFUNCTION("""COMPUTED_VALUE"""),"w10*****weses.tyc.edu.tw")</f>
        <v>w10*****weses.tyc.edu.tw</v>
      </c>
      <c r="E1447" s="17" t="str">
        <f>IFERROR(__xludf.DUMMYFUNCTION("""COMPUTED_VALUE"""),"桃園市龜山區文欣國民小學")</f>
        <v>桃園市龜山區文欣國民小學</v>
      </c>
      <c r="F1447" s="14" t="str">
        <f>IFERROR(__xludf.DUMMYFUNCTION("""COMPUTED_VALUE"""),"六年級")</f>
        <v>六年級</v>
      </c>
      <c r="G1447" s="14" t="str">
        <f>IFERROR(__xludf.DUMMYFUNCTION("""COMPUTED_VALUE"""),"獎狀")</f>
        <v>獎狀</v>
      </c>
      <c r="H1447" s="8"/>
    </row>
    <row r="1448">
      <c r="A1448" s="18"/>
      <c r="B1448" s="14">
        <f>IFERROR(__xludf.DUMMYFUNCTION("""COMPUTED_VALUE"""),720954.0)</f>
        <v>720954</v>
      </c>
      <c r="C1448" s="14" t="str">
        <f>IFERROR(__xludf.DUMMYFUNCTION("""COMPUTED_VALUE"""),"賈秉叡")</f>
        <v>賈秉叡</v>
      </c>
      <c r="D1448" s="16" t="str">
        <f>IFERROR(__xludf.DUMMYFUNCTION("""COMPUTED_VALUE"""),"w10*****weses.tyc.edu.tw")</f>
        <v>w10*****weses.tyc.edu.tw</v>
      </c>
      <c r="E1448" s="17" t="str">
        <f>IFERROR(__xludf.DUMMYFUNCTION("""COMPUTED_VALUE"""),"桃園市龜山區文欣國民小學")</f>
        <v>桃園市龜山區文欣國民小學</v>
      </c>
      <c r="F1448" s="14" t="str">
        <f>IFERROR(__xludf.DUMMYFUNCTION("""COMPUTED_VALUE"""),"六年級")</f>
        <v>六年級</v>
      </c>
      <c r="G1448" s="14" t="str">
        <f>IFERROR(__xludf.DUMMYFUNCTION("""COMPUTED_VALUE"""),"獎狀")</f>
        <v>獎狀</v>
      </c>
      <c r="H1448" s="8"/>
    </row>
    <row r="1449">
      <c r="A1449" s="18"/>
      <c r="B1449" s="14">
        <f>IFERROR(__xludf.DUMMYFUNCTION("""COMPUTED_VALUE"""),863116.0)</f>
        <v>863116</v>
      </c>
      <c r="C1449" s="14" t="str">
        <f>IFERROR(__xludf.DUMMYFUNCTION("""COMPUTED_VALUE"""),"陳芝亦")</f>
        <v>陳芝亦</v>
      </c>
      <c r="D1449" s="16" t="str">
        <f>IFERROR(__xludf.DUMMYFUNCTION("""COMPUTED_VALUE"""),"106*****hles.tyc.edu.tw")</f>
        <v>106*****hles.tyc.edu.tw</v>
      </c>
      <c r="E1449" s="17" t="str">
        <f>IFERROR(__xludf.DUMMYFUNCTION("""COMPUTED_VALUE"""),"桃園市立迴龍國民中小學國小部")</f>
        <v>桃園市立迴龍國民中小學國小部</v>
      </c>
      <c r="F1449" s="14" t="str">
        <f>IFERROR(__xludf.DUMMYFUNCTION("""COMPUTED_VALUE"""),"六年級")</f>
        <v>六年級</v>
      </c>
      <c r="G1449" s="14" t="str">
        <f>IFERROR(__xludf.DUMMYFUNCTION("""COMPUTED_VALUE"""),"獎狀")</f>
        <v>獎狀</v>
      </c>
      <c r="H1449" s="8"/>
    </row>
    <row r="1450">
      <c r="A1450" s="18"/>
      <c r="B1450" s="14">
        <f>IFERROR(__xludf.DUMMYFUNCTION("""COMPUTED_VALUE"""),1150778.0)</f>
        <v>1150778</v>
      </c>
      <c r="C1450" s="14" t="str">
        <f>IFERROR(__xludf.DUMMYFUNCTION("""COMPUTED_VALUE"""),"范姜永旭")</f>
        <v>范姜永旭</v>
      </c>
      <c r="D1450" s="16" t="str">
        <f>IFERROR(__xludf.DUMMYFUNCTION("""COMPUTED_VALUE"""),"mei*****8@gmail.com")</f>
        <v>mei*****8@gmail.com</v>
      </c>
      <c r="E1450" s="17" t="str">
        <f>IFERROR(__xludf.DUMMYFUNCTION("""COMPUTED_VALUE"""),"桃園市龜山區樂善國民小學")</f>
        <v>桃園市龜山區樂善國民小學</v>
      </c>
      <c r="F1450" s="14" t="str">
        <f>IFERROR(__xludf.DUMMYFUNCTION("""COMPUTED_VALUE"""),"四年級")</f>
        <v>四年級</v>
      </c>
      <c r="G1450" s="14" t="str">
        <f>IFERROR(__xludf.DUMMYFUNCTION("""COMPUTED_VALUE"""),"獎狀")</f>
        <v>獎狀</v>
      </c>
      <c r="H1450" s="8"/>
    </row>
    <row r="1451">
      <c r="A1451" s="18"/>
      <c r="B1451" s="14">
        <f>IFERROR(__xludf.DUMMYFUNCTION("""COMPUTED_VALUE"""),946884.0)</f>
        <v>946884</v>
      </c>
      <c r="C1451" s="14" t="str">
        <f>IFERROR(__xludf.DUMMYFUNCTION("""COMPUTED_VALUE"""),"陳淳馨")</f>
        <v>陳淳馨</v>
      </c>
      <c r="D1451" s="16" t="str">
        <f>IFERROR(__xludf.DUMMYFUNCTION("""COMPUTED_VALUE"""),"s10*****@gm.jdes.tyc.edu.tw")</f>
        <v>s10*****@gm.jdes.tyc.edu.tw</v>
      </c>
      <c r="E1451" s="17" t="str">
        <f>IFERROR(__xludf.DUMMYFUNCTION("""COMPUTED_VALUE"""),"桃園市八德區茄苳國民小學")</f>
        <v>桃園市八德區茄苳國民小學</v>
      </c>
      <c r="F1451" s="14" t="str">
        <f>IFERROR(__xludf.DUMMYFUNCTION("""COMPUTED_VALUE"""),"六年級")</f>
        <v>六年級</v>
      </c>
      <c r="G1451" s="14" t="str">
        <f>IFERROR(__xludf.DUMMYFUNCTION("""COMPUTED_VALUE"""),"●小禮物")</f>
        <v>●小禮物</v>
      </c>
      <c r="H1451" s="8"/>
    </row>
    <row r="1452">
      <c r="A1452" s="18"/>
      <c r="B1452" s="14">
        <f>IFERROR(__xludf.DUMMYFUNCTION("""COMPUTED_VALUE"""),946912.0)</f>
        <v>946912</v>
      </c>
      <c r="C1452" s="14" t="str">
        <f>IFERROR(__xludf.DUMMYFUNCTION("""COMPUTED_VALUE"""),"蔡文瑜")</f>
        <v>蔡文瑜</v>
      </c>
      <c r="D1452" s="16" t="str">
        <f>IFERROR(__xludf.DUMMYFUNCTION("""COMPUTED_VALUE"""),"s10*****@gm.jdes.tyc.edu.tw")</f>
        <v>s10*****@gm.jdes.tyc.edu.tw</v>
      </c>
      <c r="E1452" s="17" t="str">
        <f>IFERROR(__xludf.DUMMYFUNCTION("""COMPUTED_VALUE"""),"桃園市八德區茄苳國民小學")</f>
        <v>桃園市八德區茄苳國民小學</v>
      </c>
      <c r="F1452" s="14" t="str">
        <f>IFERROR(__xludf.DUMMYFUNCTION("""COMPUTED_VALUE"""),"六年級")</f>
        <v>六年級</v>
      </c>
      <c r="G1452" s="14" t="str">
        <f>IFERROR(__xludf.DUMMYFUNCTION("""COMPUTED_VALUE"""),"●小禮物")</f>
        <v>●小禮物</v>
      </c>
      <c r="H1452" s="8"/>
    </row>
    <row r="1453">
      <c r="A1453" s="18"/>
      <c r="B1453" s="14">
        <f>IFERROR(__xludf.DUMMYFUNCTION("""COMPUTED_VALUE"""),975343.0)</f>
        <v>975343</v>
      </c>
      <c r="C1453" s="14" t="str">
        <f>IFERROR(__xludf.DUMMYFUNCTION("""COMPUTED_VALUE"""),"林呈恩")</f>
        <v>林呈恩</v>
      </c>
      <c r="D1453" s="16" t="str">
        <f>IFERROR(__xludf.DUMMYFUNCTION("""COMPUTED_VALUE"""),"idc*****ey.lin@mail.edu.tw")</f>
        <v>idc*****ey.lin@mail.edu.tw</v>
      </c>
      <c r="E1453" s="17" t="str">
        <f>IFERROR(__xludf.DUMMYFUNCTION("""COMPUTED_VALUE"""),"桃園市八德區大忠國民小學")</f>
        <v>桃園市八德區大忠國民小學</v>
      </c>
      <c r="F1453" s="14" t="str">
        <f>IFERROR(__xludf.DUMMYFUNCTION("""COMPUTED_VALUE"""),"四年級")</f>
        <v>四年級</v>
      </c>
      <c r="G1453" s="14" t="str">
        <f>IFERROR(__xludf.DUMMYFUNCTION("""COMPUTED_VALUE"""),"獎狀")</f>
        <v>獎狀</v>
      </c>
      <c r="H1453" s="8"/>
    </row>
    <row r="1454">
      <c r="A1454" s="18"/>
      <c r="B1454" s="14">
        <f>IFERROR(__xludf.DUMMYFUNCTION("""COMPUTED_VALUE"""),255243.0)</f>
        <v>255243</v>
      </c>
      <c r="C1454" s="14" t="str">
        <f>IFERROR(__xludf.DUMMYFUNCTION("""COMPUTED_VALUE"""),"林韋喬")</f>
        <v>林韋喬</v>
      </c>
      <c r="D1454" s="16" t="str">
        <f>IFERROR(__xludf.DUMMYFUNCTION("""COMPUTED_VALUE"""),"Hun*****Lin@amkor.com")</f>
        <v>Hun*****Lin@amkor.com</v>
      </c>
      <c r="E1454" s="17" t="str">
        <f>IFERROR(__xludf.DUMMYFUNCTION("""COMPUTED_VALUE"""),"桃園市八德區大成國民小學")</f>
        <v>桃園市八德區大成國民小學</v>
      </c>
      <c r="F1454" s="14" t="str">
        <f>IFERROR(__xludf.DUMMYFUNCTION("""COMPUTED_VALUE"""),"四年級")</f>
        <v>四年級</v>
      </c>
      <c r="G1454" s="14" t="str">
        <f>IFERROR(__xludf.DUMMYFUNCTION("""COMPUTED_VALUE"""),"獎狀")</f>
        <v>獎狀</v>
      </c>
      <c r="H1454" s="8"/>
    </row>
    <row r="1455">
      <c r="A1455" s="18"/>
      <c r="B1455" s="14">
        <f>IFERROR(__xludf.DUMMYFUNCTION("""COMPUTED_VALUE"""),327732.0)</f>
        <v>327732</v>
      </c>
      <c r="C1455" s="14" t="str">
        <f>IFERROR(__xludf.DUMMYFUNCTION("""COMPUTED_VALUE"""),"徐瑋竣")</f>
        <v>徐瑋竣</v>
      </c>
      <c r="D1455" s="16" t="str">
        <f>IFERROR(__xludf.DUMMYFUNCTION("""COMPUTED_VALUE"""),"hsu*****ng1981@gmail.com")</f>
        <v>hsu*****ng1981@gmail.com</v>
      </c>
      <c r="E1455" s="17" t="str">
        <f>IFERROR(__xludf.DUMMYFUNCTION("""COMPUTED_VALUE"""),"桃園市八德區大成國民小學")</f>
        <v>桃園市八德區大成國民小學</v>
      </c>
      <c r="F1455" s="14" t="str">
        <f>IFERROR(__xludf.DUMMYFUNCTION("""COMPUTED_VALUE"""),"六年級")</f>
        <v>六年級</v>
      </c>
      <c r="G1455" s="14" t="str">
        <f>IFERROR(__xludf.DUMMYFUNCTION("""COMPUTED_VALUE"""),"獎狀")</f>
        <v>獎狀</v>
      </c>
      <c r="H1455" s="8"/>
    </row>
    <row r="1456">
      <c r="A1456" s="18"/>
      <c r="B1456" s="14">
        <f>IFERROR(__xludf.DUMMYFUNCTION("""COMPUTED_VALUE"""),243336.0)</f>
        <v>243336</v>
      </c>
      <c r="C1456" s="14" t="str">
        <f>IFERROR(__xludf.DUMMYFUNCTION("""COMPUTED_VALUE"""),"林洧彤")</f>
        <v>林洧彤</v>
      </c>
      <c r="D1456" s="16" t="str">
        <f>IFERROR(__xludf.DUMMYFUNCTION("""COMPUTED_VALUE"""),"see*****yahoo.com.tw")</f>
        <v>see*****yahoo.com.tw</v>
      </c>
      <c r="E1456" s="17" t="str">
        <f>IFERROR(__xludf.DUMMYFUNCTION("""COMPUTED_VALUE"""),"桃園市八德區大成國民小學")</f>
        <v>桃園市八德區大成國民小學</v>
      </c>
      <c r="F1456" s="14" t="str">
        <f>IFERROR(__xludf.DUMMYFUNCTION("""COMPUTED_VALUE"""),"六年級")</f>
        <v>六年級</v>
      </c>
      <c r="G1456" s="14" t="str">
        <f>IFERROR(__xludf.DUMMYFUNCTION("""COMPUTED_VALUE"""),"獎狀")</f>
        <v>獎狀</v>
      </c>
      <c r="H1456" s="8"/>
    </row>
    <row r="1457">
      <c r="A1457" s="18"/>
      <c r="B1457" s="14">
        <f>IFERROR(__xludf.DUMMYFUNCTION("""COMPUTED_VALUE"""),1205082.0)</f>
        <v>1205082</v>
      </c>
      <c r="C1457" s="14" t="str">
        <f>IFERROR(__xludf.DUMMYFUNCTION("""COMPUTED_VALUE"""),"林柏辰")</f>
        <v>林柏辰</v>
      </c>
      <c r="D1457" s="16" t="str">
        <f>IFERROR(__xludf.DUMMYFUNCTION("""COMPUTED_VALUE"""),"107*****ail.bdes.tyc.edu.tw")</f>
        <v>107*****ail.bdes.tyc.edu.tw</v>
      </c>
      <c r="E1457" s="17" t="str">
        <f>IFERROR(__xludf.DUMMYFUNCTION("""COMPUTED_VALUE"""),"桃園市八德區八德國民小學")</f>
        <v>桃園市八德區八德國民小學</v>
      </c>
      <c r="F1457" s="14" t="str">
        <f>IFERROR(__xludf.DUMMYFUNCTION("""COMPUTED_VALUE"""),"五年級")</f>
        <v>五年級</v>
      </c>
      <c r="G1457" s="14" t="str">
        <f>IFERROR(__xludf.DUMMYFUNCTION("""COMPUTED_VALUE"""),"獎狀")</f>
        <v>獎狀</v>
      </c>
      <c r="H1457" s="8"/>
    </row>
    <row r="1458">
      <c r="A1458" s="18"/>
      <c r="B1458" s="14">
        <f>IFERROR(__xludf.DUMMYFUNCTION("""COMPUTED_VALUE"""),1188930.0)</f>
        <v>1188930</v>
      </c>
      <c r="C1458" s="14" t="str">
        <f>IFERROR(__xludf.DUMMYFUNCTION("""COMPUTED_VALUE"""),"李可欣")</f>
        <v>李可欣</v>
      </c>
      <c r="D1458" s="16" t="str">
        <f>IFERROR(__xludf.DUMMYFUNCTION("""COMPUTED_VALUE"""),"107*****ail.bdes.tyc.edu.tw")</f>
        <v>107*****ail.bdes.tyc.edu.tw</v>
      </c>
      <c r="E1458" s="17" t="str">
        <f>IFERROR(__xludf.DUMMYFUNCTION("""COMPUTED_VALUE"""),"桃園市八德區八德國民小學")</f>
        <v>桃園市八德區八德國民小學</v>
      </c>
      <c r="F1458" s="14" t="str">
        <f>IFERROR(__xludf.DUMMYFUNCTION("""COMPUTED_VALUE"""),"五年級")</f>
        <v>五年級</v>
      </c>
      <c r="G1458" s="14" t="str">
        <f>IFERROR(__xludf.DUMMYFUNCTION("""COMPUTED_VALUE"""),"●小禮物")</f>
        <v>●小禮物</v>
      </c>
      <c r="H1458" s="8"/>
    </row>
    <row r="1459">
      <c r="A1459" s="18"/>
      <c r="B1459" s="14">
        <f>IFERROR(__xludf.DUMMYFUNCTION("""COMPUTED_VALUE"""),1188899.0)</f>
        <v>1188899</v>
      </c>
      <c r="C1459" s="14" t="str">
        <f>IFERROR(__xludf.DUMMYFUNCTION("""COMPUTED_VALUE"""),"黃晴柔")</f>
        <v>黃晴柔</v>
      </c>
      <c r="D1459" s="16" t="str">
        <f>IFERROR(__xludf.DUMMYFUNCTION("""COMPUTED_VALUE"""),"107*****ail.bdes.tyc.edu.tw")</f>
        <v>107*****ail.bdes.tyc.edu.tw</v>
      </c>
      <c r="E1459" s="17" t="str">
        <f>IFERROR(__xludf.DUMMYFUNCTION("""COMPUTED_VALUE"""),"桃園市八德區八德國民小學")</f>
        <v>桃園市八德區八德國民小學</v>
      </c>
      <c r="F1459" s="14" t="str">
        <f>IFERROR(__xludf.DUMMYFUNCTION("""COMPUTED_VALUE"""),"五年級")</f>
        <v>五年級</v>
      </c>
      <c r="G1459" s="14" t="str">
        <f>IFERROR(__xludf.DUMMYFUNCTION("""COMPUTED_VALUE"""),"●小禮物")</f>
        <v>●小禮物</v>
      </c>
      <c r="H1459" s="8"/>
    </row>
    <row r="1460">
      <c r="A1460" s="18"/>
      <c r="B1460" s="14">
        <f>IFERROR(__xludf.DUMMYFUNCTION("""COMPUTED_VALUE"""),1188898.0)</f>
        <v>1188898</v>
      </c>
      <c r="C1460" s="14" t="str">
        <f>IFERROR(__xludf.DUMMYFUNCTION("""COMPUTED_VALUE"""),"劉睿豈")</f>
        <v>劉睿豈</v>
      </c>
      <c r="D1460" s="16" t="str">
        <f>IFERROR(__xludf.DUMMYFUNCTION("""COMPUTED_VALUE"""),"107*****ail.bdes.tyc.edu.tw")</f>
        <v>107*****ail.bdes.tyc.edu.tw</v>
      </c>
      <c r="E1460" s="17" t="str">
        <f>IFERROR(__xludf.DUMMYFUNCTION("""COMPUTED_VALUE"""),"桃園市八德區八德國民小學")</f>
        <v>桃園市八德區八德國民小學</v>
      </c>
      <c r="F1460" s="14" t="str">
        <f>IFERROR(__xludf.DUMMYFUNCTION("""COMPUTED_VALUE"""),"五年級")</f>
        <v>五年級</v>
      </c>
      <c r="G1460" s="14" t="str">
        <f>IFERROR(__xludf.DUMMYFUNCTION("""COMPUTED_VALUE"""),"●小禮物")</f>
        <v>●小禮物</v>
      </c>
      <c r="H1460" s="8"/>
    </row>
    <row r="1461">
      <c r="A1461" s="18"/>
      <c r="B1461" s="14">
        <f>IFERROR(__xludf.DUMMYFUNCTION("""COMPUTED_VALUE"""),1188901.0)</f>
        <v>1188901</v>
      </c>
      <c r="C1461" s="14" t="str">
        <f>IFERROR(__xludf.DUMMYFUNCTION("""COMPUTED_VALUE"""),"潘昀浠")</f>
        <v>潘昀浠</v>
      </c>
      <c r="D1461" s="16" t="str">
        <f>IFERROR(__xludf.DUMMYFUNCTION("""COMPUTED_VALUE"""),"107*****ail.bdes.tyc.edu.tw")</f>
        <v>107*****ail.bdes.tyc.edu.tw</v>
      </c>
      <c r="E1461" s="17" t="str">
        <f>IFERROR(__xludf.DUMMYFUNCTION("""COMPUTED_VALUE"""),"桃園市八德區八德國民小學")</f>
        <v>桃園市八德區八德國民小學</v>
      </c>
      <c r="F1461" s="14" t="str">
        <f>IFERROR(__xludf.DUMMYFUNCTION("""COMPUTED_VALUE"""),"五年級")</f>
        <v>五年級</v>
      </c>
      <c r="G1461" s="14" t="str">
        <f>IFERROR(__xludf.DUMMYFUNCTION("""COMPUTED_VALUE"""),"●小禮物")</f>
        <v>●小禮物</v>
      </c>
      <c r="H1461" s="8"/>
    </row>
    <row r="1462">
      <c r="A1462" s="18"/>
      <c r="B1462" s="14">
        <f>IFERROR(__xludf.DUMMYFUNCTION("""COMPUTED_VALUE"""),1188894.0)</f>
        <v>1188894</v>
      </c>
      <c r="C1462" s="14" t="str">
        <f>IFERROR(__xludf.DUMMYFUNCTION("""COMPUTED_VALUE"""),"羅艇翰")</f>
        <v>羅艇翰</v>
      </c>
      <c r="D1462" s="16" t="str">
        <f>IFERROR(__xludf.DUMMYFUNCTION("""COMPUTED_VALUE"""),"107*****ail.bdes.tyc.edu.tw")</f>
        <v>107*****ail.bdes.tyc.edu.tw</v>
      </c>
      <c r="E1462" s="17" t="str">
        <f>IFERROR(__xludf.DUMMYFUNCTION("""COMPUTED_VALUE"""),"桃園市八德區八德國民小學")</f>
        <v>桃園市八德區八德國民小學</v>
      </c>
      <c r="F1462" s="14" t="str">
        <f>IFERROR(__xludf.DUMMYFUNCTION("""COMPUTED_VALUE"""),"五年級")</f>
        <v>五年級</v>
      </c>
      <c r="G1462" s="14" t="str">
        <f>IFERROR(__xludf.DUMMYFUNCTION("""COMPUTED_VALUE"""),"●小禮物")</f>
        <v>●小禮物</v>
      </c>
      <c r="H1462" s="8"/>
    </row>
    <row r="1463">
      <c r="A1463" s="18"/>
      <c r="B1463" s="14">
        <f>IFERROR(__xludf.DUMMYFUNCTION("""COMPUTED_VALUE"""),1188887.0)</f>
        <v>1188887</v>
      </c>
      <c r="C1463" s="14" t="str">
        <f>IFERROR(__xludf.DUMMYFUNCTION("""COMPUTED_VALUE"""),"林怡蓉")</f>
        <v>林怡蓉</v>
      </c>
      <c r="D1463" s="16" t="str">
        <f>IFERROR(__xludf.DUMMYFUNCTION("""COMPUTED_VALUE"""),"107*****ail.bdes.tyc.edu.tw")</f>
        <v>107*****ail.bdes.tyc.edu.tw</v>
      </c>
      <c r="E1463" s="17" t="str">
        <f>IFERROR(__xludf.DUMMYFUNCTION("""COMPUTED_VALUE"""),"桃園市八德區八德國民小學")</f>
        <v>桃園市八德區八德國民小學</v>
      </c>
      <c r="F1463" s="14" t="str">
        <f>IFERROR(__xludf.DUMMYFUNCTION("""COMPUTED_VALUE"""),"五年級")</f>
        <v>五年級</v>
      </c>
      <c r="G1463" s="14" t="str">
        <f>IFERROR(__xludf.DUMMYFUNCTION("""COMPUTED_VALUE"""),"獎狀")</f>
        <v>獎狀</v>
      </c>
      <c r="H1463" s="8"/>
    </row>
    <row r="1464">
      <c r="A1464" s="18"/>
      <c r="B1464" s="14">
        <f>IFERROR(__xludf.DUMMYFUNCTION("""COMPUTED_VALUE"""),1188911.0)</f>
        <v>1188911</v>
      </c>
      <c r="C1464" s="14" t="str">
        <f>IFERROR(__xludf.DUMMYFUNCTION("""COMPUTED_VALUE"""),"徐苡榛")</f>
        <v>徐苡榛</v>
      </c>
      <c r="D1464" s="16" t="str">
        <f>IFERROR(__xludf.DUMMYFUNCTION("""COMPUTED_VALUE"""),"107*****ail.bdes.tyc.edu.tw")</f>
        <v>107*****ail.bdes.tyc.edu.tw</v>
      </c>
      <c r="E1464" s="17" t="str">
        <f>IFERROR(__xludf.DUMMYFUNCTION("""COMPUTED_VALUE"""),"桃園市八德區八德國民小學")</f>
        <v>桃園市八德區八德國民小學</v>
      </c>
      <c r="F1464" s="14" t="str">
        <f>IFERROR(__xludf.DUMMYFUNCTION("""COMPUTED_VALUE"""),"五年級")</f>
        <v>五年級</v>
      </c>
      <c r="G1464" s="14" t="str">
        <f>IFERROR(__xludf.DUMMYFUNCTION("""COMPUTED_VALUE"""),"獎狀")</f>
        <v>獎狀</v>
      </c>
      <c r="H1464" s="8"/>
    </row>
    <row r="1465">
      <c r="A1465" s="18"/>
      <c r="B1465" s="14">
        <f>IFERROR(__xludf.DUMMYFUNCTION("""COMPUTED_VALUE"""),1188904.0)</f>
        <v>1188904</v>
      </c>
      <c r="C1465" s="14" t="str">
        <f>IFERROR(__xludf.DUMMYFUNCTION("""COMPUTED_VALUE"""),"張品歆")</f>
        <v>張品歆</v>
      </c>
      <c r="D1465" s="16" t="str">
        <f>IFERROR(__xludf.DUMMYFUNCTION("""COMPUTED_VALUE"""),"107*****ail.bdes.tyc.edu.tw")</f>
        <v>107*****ail.bdes.tyc.edu.tw</v>
      </c>
      <c r="E1465" s="17" t="str">
        <f>IFERROR(__xludf.DUMMYFUNCTION("""COMPUTED_VALUE"""),"桃園市八德區八德國民小學")</f>
        <v>桃園市八德區八德國民小學</v>
      </c>
      <c r="F1465" s="14" t="str">
        <f>IFERROR(__xludf.DUMMYFUNCTION("""COMPUTED_VALUE"""),"五年級")</f>
        <v>五年級</v>
      </c>
      <c r="G1465" s="14" t="str">
        <f>IFERROR(__xludf.DUMMYFUNCTION("""COMPUTED_VALUE"""),"獎狀")</f>
        <v>獎狀</v>
      </c>
      <c r="H1465" s="8"/>
    </row>
    <row r="1466">
      <c r="A1466" s="18"/>
      <c r="B1466" s="14">
        <f>IFERROR(__xludf.DUMMYFUNCTION("""COMPUTED_VALUE"""),1188889.0)</f>
        <v>1188889</v>
      </c>
      <c r="C1466" s="14" t="str">
        <f>IFERROR(__xludf.DUMMYFUNCTION("""COMPUTED_VALUE"""),"陳柔均")</f>
        <v>陳柔均</v>
      </c>
      <c r="D1466" s="16" t="str">
        <f>IFERROR(__xludf.DUMMYFUNCTION("""COMPUTED_VALUE"""),"107*****ail.bdes.tyc.edu.tw")</f>
        <v>107*****ail.bdes.tyc.edu.tw</v>
      </c>
      <c r="E1466" s="17" t="str">
        <f>IFERROR(__xludf.DUMMYFUNCTION("""COMPUTED_VALUE"""),"桃園市八德區八德國民小學")</f>
        <v>桃園市八德區八德國民小學</v>
      </c>
      <c r="F1466" s="14" t="str">
        <f>IFERROR(__xludf.DUMMYFUNCTION("""COMPUTED_VALUE"""),"五年級")</f>
        <v>五年級</v>
      </c>
      <c r="G1466" s="14" t="str">
        <f>IFERROR(__xludf.DUMMYFUNCTION("""COMPUTED_VALUE"""),"獎狀")</f>
        <v>獎狀</v>
      </c>
      <c r="H1466" s="8"/>
    </row>
    <row r="1467">
      <c r="A1467" s="18"/>
      <c r="B1467" s="14">
        <f>IFERROR(__xludf.DUMMYFUNCTION("""COMPUTED_VALUE"""),1188890.0)</f>
        <v>1188890</v>
      </c>
      <c r="C1467" s="14" t="str">
        <f>IFERROR(__xludf.DUMMYFUNCTION("""COMPUTED_VALUE"""),"陳道麟")</f>
        <v>陳道麟</v>
      </c>
      <c r="D1467" s="16" t="str">
        <f>IFERROR(__xludf.DUMMYFUNCTION("""COMPUTED_VALUE"""),"107*****ail.bdes.tyc.edu.tw")</f>
        <v>107*****ail.bdes.tyc.edu.tw</v>
      </c>
      <c r="E1467" s="17" t="str">
        <f>IFERROR(__xludf.DUMMYFUNCTION("""COMPUTED_VALUE"""),"桃園市八德區八德國民小學")</f>
        <v>桃園市八德區八德國民小學</v>
      </c>
      <c r="F1467" s="14" t="str">
        <f>IFERROR(__xludf.DUMMYFUNCTION("""COMPUTED_VALUE"""),"五年級")</f>
        <v>五年級</v>
      </c>
      <c r="G1467" s="14" t="str">
        <f>IFERROR(__xludf.DUMMYFUNCTION("""COMPUTED_VALUE"""),"獎狀")</f>
        <v>獎狀</v>
      </c>
      <c r="H1467" s="8"/>
    </row>
    <row r="1468">
      <c r="A1468" s="18"/>
      <c r="B1468" s="14">
        <f>IFERROR(__xludf.DUMMYFUNCTION("""COMPUTED_VALUE"""),1188884.0)</f>
        <v>1188884</v>
      </c>
      <c r="C1468" s="14" t="str">
        <f>IFERROR(__xludf.DUMMYFUNCTION("""COMPUTED_VALUE"""),"楊頤薰")</f>
        <v>楊頤薰</v>
      </c>
      <c r="D1468" s="16" t="str">
        <f>IFERROR(__xludf.DUMMYFUNCTION("""COMPUTED_VALUE"""),"107*****ail.bdes.tyc.edu.tw")</f>
        <v>107*****ail.bdes.tyc.edu.tw</v>
      </c>
      <c r="E1468" s="17" t="str">
        <f>IFERROR(__xludf.DUMMYFUNCTION("""COMPUTED_VALUE"""),"桃園市八德區八德國民小學")</f>
        <v>桃園市八德區八德國民小學</v>
      </c>
      <c r="F1468" s="14" t="str">
        <f>IFERROR(__xludf.DUMMYFUNCTION("""COMPUTED_VALUE"""),"五年級")</f>
        <v>五年級</v>
      </c>
      <c r="G1468" s="14" t="str">
        <f>IFERROR(__xludf.DUMMYFUNCTION("""COMPUTED_VALUE"""),"獎狀")</f>
        <v>獎狀</v>
      </c>
      <c r="H1468" s="8"/>
    </row>
    <row r="1469">
      <c r="A1469" s="18"/>
      <c r="B1469" s="14">
        <f>IFERROR(__xludf.DUMMYFUNCTION("""COMPUTED_VALUE"""),1188919.0)</f>
        <v>1188919</v>
      </c>
      <c r="C1469" s="14" t="str">
        <f>IFERROR(__xludf.DUMMYFUNCTION("""COMPUTED_VALUE"""),"賈翎玉")</f>
        <v>賈翎玉</v>
      </c>
      <c r="D1469" s="16" t="str">
        <f>IFERROR(__xludf.DUMMYFUNCTION("""COMPUTED_VALUE"""),"107*****ail.bdes.tyc.edu.tw")</f>
        <v>107*****ail.bdes.tyc.edu.tw</v>
      </c>
      <c r="E1469" s="17" t="str">
        <f>IFERROR(__xludf.DUMMYFUNCTION("""COMPUTED_VALUE"""),"桃園市八德區八德國民小學")</f>
        <v>桃園市八德區八德國民小學</v>
      </c>
      <c r="F1469" s="14" t="str">
        <f>IFERROR(__xludf.DUMMYFUNCTION("""COMPUTED_VALUE"""),"五年級")</f>
        <v>五年級</v>
      </c>
      <c r="G1469" s="14" t="str">
        <f>IFERROR(__xludf.DUMMYFUNCTION("""COMPUTED_VALUE"""),"獎狀")</f>
        <v>獎狀</v>
      </c>
      <c r="H1469" s="8"/>
    </row>
    <row r="1470">
      <c r="A1470" s="18"/>
      <c r="B1470" s="14">
        <f>IFERROR(__xludf.DUMMYFUNCTION("""COMPUTED_VALUE"""),1184399.0)</f>
        <v>1184399</v>
      </c>
      <c r="C1470" s="14" t="str">
        <f>IFERROR(__xludf.DUMMYFUNCTION("""COMPUTED_VALUE"""),"邱棠暄")</f>
        <v>邱棠暄</v>
      </c>
      <c r="D1470" s="16" t="str">
        <f>IFERROR(__xludf.DUMMYFUNCTION("""COMPUTED_VALUE"""),"107*****ail.bdes.tyc.edu.tw")</f>
        <v>107*****ail.bdes.tyc.edu.tw</v>
      </c>
      <c r="E1470" s="17" t="str">
        <f>IFERROR(__xludf.DUMMYFUNCTION("""COMPUTED_VALUE"""),"桃園市八德區八德國民小學")</f>
        <v>桃園市八德區八德國民小學</v>
      </c>
      <c r="F1470" s="14" t="str">
        <f>IFERROR(__xludf.DUMMYFUNCTION("""COMPUTED_VALUE"""),"五年級")</f>
        <v>五年級</v>
      </c>
      <c r="G1470" s="14" t="str">
        <f>IFERROR(__xludf.DUMMYFUNCTION("""COMPUTED_VALUE"""),"●小禮物")</f>
        <v>●小禮物</v>
      </c>
      <c r="H1470" s="8"/>
    </row>
    <row r="1471">
      <c r="A1471" s="18"/>
      <c r="B1471" s="14">
        <f>IFERROR(__xludf.DUMMYFUNCTION("""COMPUTED_VALUE"""),1184395.0)</f>
        <v>1184395</v>
      </c>
      <c r="C1471" s="14" t="str">
        <f>IFERROR(__xludf.DUMMYFUNCTION("""COMPUTED_VALUE"""),"徐筱喨")</f>
        <v>徐筱喨</v>
      </c>
      <c r="D1471" s="16" t="str">
        <f>IFERROR(__xludf.DUMMYFUNCTION("""COMPUTED_VALUE"""),"107*****ail.bdes.tyc.edu.tw")</f>
        <v>107*****ail.bdes.tyc.edu.tw</v>
      </c>
      <c r="E1471" s="17" t="str">
        <f>IFERROR(__xludf.DUMMYFUNCTION("""COMPUTED_VALUE"""),"桃園市八德區八德國民小學")</f>
        <v>桃園市八德區八德國民小學</v>
      </c>
      <c r="F1471" s="14" t="str">
        <f>IFERROR(__xludf.DUMMYFUNCTION("""COMPUTED_VALUE"""),"五年級")</f>
        <v>五年級</v>
      </c>
      <c r="G1471" s="14" t="str">
        <f>IFERROR(__xludf.DUMMYFUNCTION("""COMPUTED_VALUE"""),"●小禮物")</f>
        <v>●小禮物</v>
      </c>
      <c r="H1471" s="8"/>
    </row>
    <row r="1472">
      <c r="A1472" s="18"/>
      <c r="B1472" s="14">
        <f>IFERROR(__xludf.DUMMYFUNCTION("""COMPUTED_VALUE"""),1184410.0)</f>
        <v>1184410</v>
      </c>
      <c r="C1472" s="14" t="str">
        <f>IFERROR(__xludf.DUMMYFUNCTION("""COMPUTED_VALUE"""),"張玄豫")</f>
        <v>張玄豫</v>
      </c>
      <c r="D1472" s="16" t="str">
        <f>IFERROR(__xludf.DUMMYFUNCTION("""COMPUTED_VALUE"""),"107*****ail.bdes.tyc.edu.tw")</f>
        <v>107*****ail.bdes.tyc.edu.tw</v>
      </c>
      <c r="E1472" s="17" t="str">
        <f>IFERROR(__xludf.DUMMYFUNCTION("""COMPUTED_VALUE"""),"桃園市八德區八德國民小學")</f>
        <v>桃園市八德區八德國民小學</v>
      </c>
      <c r="F1472" s="14" t="str">
        <f>IFERROR(__xludf.DUMMYFUNCTION("""COMPUTED_VALUE"""),"五年級")</f>
        <v>五年級</v>
      </c>
      <c r="G1472" s="14" t="str">
        <f>IFERROR(__xludf.DUMMYFUNCTION("""COMPUTED_VALUE"""),"●小禮物")</f>
        <v>●小禮物</v>
      </c>
      <c r="H1472" s="8"/>
    </row>
    <row r="1473">
      <c r="A1473" s="18"/>
      <c r="B1473" s="14">
        <f>IFERROR(__xludf.DUMMYFUNCTION("""COMPUTED_VALUE"""),1184387.0)</f>
        <v>1184387</v>
      </c>
      <c r="C1473" s="14" t="str">
        <f>IFERROR(__xludf.DUMMYFUNCTION("""COMPUTED_VALUE"""),"張皓翔")</f>
        <v>張皓翔</v>
      </c>
      <c r="D1473" s="16" t="str">
        <f>IFERROR(__xludf.DUMMYFUNCTION("""COMPUTED_VALUE"""),"107*****ail.bdes.tyc.edu.tw")</f>
        <v>107*****ail.bdes.tyc.edu.tw</v>
      </c>
      <c r="E1473" s="17" t="str">
        <f>IFERROR(__xludf.DUMMYFUNCTION("""COMPUTED_VALUE"""),"桃園市八德區八德國民小學")</f>
        <v>桃園市八德區八德國民小學</v>
      </c>
      <c r="F1473" s="14" t="str">
        <f>IFERROR(__xludf.DUMMYFUNCTION("""COMPUTED_VALUE"""),"五年級")</f>
        <v>五年級</v>
      </c>
      <c r="G1473" s="14" t="str">
        <f>IFERROR(__xludf.DUMMYFUNCTION("""COMPUTED_VALUE"""),"●小禮物")</f>
        <v>●小禮物</v>
      </c>
      <c r="H1473" s="8"/>
    </row>
    <row r="1474">
      <c r="A1474" s="18"/>
      <c r="B1474" s="14">
        <f>IFERROR(__xludf.DUMMYFUNCTION("""COMPUTED_VALUE"""),1184401.0)</f>
        <v>1184401</v>
      </c>
      <c r="C1474" s="14" t="str">
        <f>IFERROR(__xludf.DUMMYFUNCTION("""COMPUTED_VALUE"""),"張毓晴")</f>
        <v>張毓晴</v>
      </c>
      <c r="D1474" s="16" t="str">
        <f>IFERROR(__xludf.DUMMYFUNCTION("""COMPUTED_VALUE"""),"107*****ail.bdes.tyc.edu.tw")</f>
        <v>107*****ail.bdes.tyc.edu.tw</v>
      </c>
      <c r="E1474" s="17" t="str">
        <f>IFERROR(__xludf.DUMMYFUNCTION("""COMPUTED_VALUE"""),"桃園市八德區八德國民小學")</f>
        <v>桃園市八德區八德國民小學</v>
      </c>
      <c r="F1474" s="14" t="str">
        <f>IFERROR(__xludf.DUMMYFUNCTION("""COMPUTED_VALUE"""),"五年級")</f>
        <v>五年級</v>
      </c>
      <c r="G1474" s="14" t="str">
        <f>IFERROR(__xludf.DUMMYFUNCTION("""COMPUTED_VALUE"""),"●小禮物")</f>
        <v>●小禮物</v>
      </c>
      <c r="H1474" s="8"/>
    </row>
    <row r="1475">
      <c r="A1475" s="18"/>
      <c r="B1475" s="14">
        <f>IFERROR(__xludf.DUMMYFUNCTION("""COMPUTED_VALUE"""),1184405.0)</f>
        <v>1184405</v>
      </c>
      <c r="C1475" s="14" t="str">
        <f>IFERROR(__xludf.DUMMYFUNCTION("""COMPUTED_VALUE"""),"曾芷蕾")</f>
        <v>曾芷蕾</v>
      </c>
      <c r="D1475" s="16" t="str">
        <f>IFERROR(__xludf.DUMMYFUNCTION("""COMPUTED_VALUE"""),"107*****ail.bdes.tyc.edu.tw")</f>
        <v>107*****ail.bdes.tyc.edu.tw</v>
      </c>
      <c r="E1475" s="17" t="str">
        <f>IFERROR(__xludf.DUMMYFUNCTION("""COMPUTED_VALUE"""),"桃園市八德區八德國民小學")</f>
        <v>桃園市八德區八德國民小學</v>
      </c>
      <c r="F1475" s="14" t="str">
        <f>IFERROR(__xludf.DUMMYFUNCTION("""COMPUTED_VALUE"""),"五年級")</f>
        <v>五年級</v>
      </c>
      <c r="G1475" s="14" t="str">
        <f>IFERROR(__xludf.DUMMYFUNCTION("""COMPUTED_VALUE"""),"●小禮物")</f>
        <v>●小禮物</v>
      </c>
      <c r="H1475" s="8"/>
    </row>
    <row r="1476">
      <c r="A1476" s="18"/>
      <c r="B1476" s="14">
        <f>IFERROR(__xludf.DUMMYFUNCTION("""COMPUTED_VALUE"""),1184371.0)</f>
        <v>1184371</v>
      </c>
      <c r="C1476" s="14" t="str">
        <f>IFERROR(__xludf.DUMMYFUNCTION("""COMPUTED_VALUE"""),"游欣晏")</f>
        <v>游欣晏</v>
      </c>
      <c r="D1476" s="16" t="str">
        <f>IFERROR(__xludf.DUMMYFUNCTION("""COMPUTED_VALUE"""),"107*****ail.bdes.tyc.edu.tw")</f>
        <v>107*****ail.bdes.tyc.edu.tw</v>
      </c>
      <c r="E1476" s="17" t="str">
        <f>IFERROR(__xludf.DUMMYFUNCTION("""COMPUTED_VALUE"""),"桃園市八德區八德國民小學")</f>
        <v>桃園市八德區八德國民小學</v>
      </c>
      <c r="F1476" s="14" t="str">
        <f>IFERROR(__xludf.DUMMYFUNCTION("""COMPUTED_VALUE"""),"五年級")</f>
        <v>五年級</v>
      </c>
      <c r="G1476" s="14" t="str">
        <f>IFERROR(__xludf.DUMMYFUNCTION("""COMPUTED_VALUE"""),"●小禮物")</f>
        <v>●小禮物</v>
      </c>
      <c r="H1476" s="8"/>
    </row>
    <row r="1477">
      <c r="A1477" s="18"/>
      <c r="B1477" s="14">
        <f>IFERROR(__xludf.DUMMYFUNCTION("""COMPUTED_VALUE"""),1184414.0)</f>
        <v>1184414</v>
      </c>
      <c r="C1477" s="14" t="str">
        <f>IFERROR(__xludf.DUMMYFUNCTION("""COMPUTED_VALUE"""),"楊嘉喆")</f>
        <v>楊嘉喆</v>
      </c>
      <c r="D1477" s="16" t="str">
        <f>IFERROR(__xludf.DUMMYFUNCTION("""COMPUTED_VALUE"""),"107*****ail.bdes.tyc.edu.tw")</f>
        <v>107*****ail.bdes.tyc.edu.tw</v>
      </c>
      <c r="E1477" s="17" t="str">
        <f>IFERROR(__xludf.DUMMYFUNCTION("""COMPUTED_VALUE"""),"桃園市八德區八德國民小學")</f>
        <v>桃園市八德區八德國民小學</v>
      </c>
      <c r="F1477" s="14" t="str">
        <f>IFERROR(__xludf.DUMMYFUNCTION("""COMPUTED_VALUE"""),"五年級")</f>
        <v>五年級</v>
      </c>
      <c r="G1477" s="14" t="str">
        <f>IFERROR(__xludf.DUMMYFUNCTION("""COMPUTED_VALUE"""),"●小禮物")</f>
        <v>●小禮物</v>
      </c>
      <c r="H1477" s="8"/>
    </row>
    <row r="1478">
      <c r="A1478" s="18"/>
      <c r="B1478" s="14">
        <f>IFERROR(__xludf.DUMMYFUNCTION("""COMPUTED_VALUE"""),1184388.0)</f>
        <v>1184388</v>
      </c>
      <c r="C1478" s="14" t="str">
        <f>IFERROR(__xludf.DUMMYFUNCTION("""COMPUTED_VALUE"""),"簡杏恩")</f>
        <v>簡杏恩</v>
      </c>
      <c r="D1478" s="16" t="str">
        <f>IFERROR(__xludf.DUMMYFUNCTION("""COMPUTED_VALUE"""),"107*****ail.bdes.tyc.edu.tw")</f>
        <v>107*****ail.bdes.tyc.edu.tw</v>
      </c>
      <c r="E1478" s="17" t="str">
        <f>IFERROR(__xludf.DUMMYFUNCTION("""COMPUTED_VALUE"""),"桃園市八德區八德國民小學")</f>
        <v>桃園市八德區八德國民小學</v>
      </c>
      <c r="F1478" s="14" t="str">
        <f>IFERROR(__xludf.DUMMYFUNCTION("""COMPUTED_VALUE"""),"五年級")</f>
        <v>五年級</v>
      </c>
      <c r="G1478" s="14" t="str">
        <f>IFERROR(__xludf.DUMMYFUNCTION("""COMPUTED_VALUE"""),"●小禮物")</f>
        <v>●小禮物</v>
      </c>
      <c r="H1478" s="8"/>
    </row>
    <row r="1479">
      <c r="A1479" s="18"/>
      <c r="B1479" s="14">
        <f>IFERROR(__xludf.DUMMYFUNCTION("""COMPUTED_VALUE"""),1184391.0)</f>
        <v>1184391</v>
      </c>
      <c r="C1479" s="14" t="str">
        <f>IFERROR(__xludf.DUMMYFUNCTION("""COMPUTED_VALUE"""),"黃迦恩")</f>
        <v>黃迦恩</v>
      </c>
      <c r="D1479" s="16" t="str">
        <f>IFERROR(__xludf.DUMMYFUNCTION("""COMPUTED_VALUE"""),"107*****ail.bdes.tyc.edu.tw")</f>
        <v>107*****ail.bdes.tyc.edu.tw</v>
      </c>
      <c r="E1479" s="17" t="str">
        <f>IFERROR(__xludf.DUMMYFUNCTION("""COMPUTED_VALUE"""),"桃園市八德區八德國民小學")</f>
        <v>桃園市八德區八德國民小學</v>
      </c>
      <c r="F1479" s="14" t="str">
        <f>IFERROR(__xludf.DUMMYFUNCTION("""COMPUTED_VALUE"""),"五年級")</f>
        <v>五年級</v>
      </c>
      <c r="G1479" s="14" t="str">
        <f>IFERROR(__xludf.DUMMYFUNCTION("""COMPUTED_VALUE"""),"★禮券$500")</f>
        <v>★禮券$500</v>
      </c>
      <c r="H1479" s="8"/>
    </row>
    <row r="1480">
      <c r="A1480" s="18"/>
      <c r="B1480" s="14">
        <f>IFERROR(__xludf.DUMMYFUNCTION("""COMPUTED_VALUE"""),1184413.0)</f>
        <v>1184413</v>
      </c>
      <c r="C1480" s="14" t="str">
        <f>IFERROR(__xludf.DUMMYFUNCTION("""COMPUTED_VALUE"""),"呂哲宏")</f>
        <v>呂哲宏</v>
      </c>
      <c r="D1480" s="16" t="str">
        <f>IFERROR(__xludf.DUMMYFUNCTION("""COMPUTED_VALUE"""),"107*****ail.bdes.tyc.edu.tw")</f>
        <v>107*****ail.bdes.tyc.edu.tw</v>
      </c>
      <c r="E1480" s="17" t="str">
        <f>IFERROR(__xludf.DUMMYFUNCTION("""COMPUTED_VALUE"""),"桃園市八德區八德國民小學")</f>
        <v>桃園市八德區八德國民小學</v>
      </c>
      <c r="F1480" s="14" t="str">
        <f>IFERROR(__xludf.DUMMYFUNCTION("""COMPUTED_VALUE"""),"五年級")</f>
        <v>五年級</v>
      </c>
      <c r="G1480" s="14" t="str">
        <f>IFERROR(__xludf.DUMMYFUNCTION("""COMPUTED_VALUE"""),"獎狀")</f>
        <v>獎狀</v>
      </c>
      <c r="H1480" s="8"/>
    </row>
    <row r="1481">
      <c r="A1481" s="18"/>
      <c r="B1481" s="14">
        <f>IFERROR(__xludf.DUMMYFUNCTION("""COMPUTED_VALUE"""),1184389.0)</f>
        <v>1184389</v>
      </c>
      <c r="C1481" s="14" t="str">
        <f>IFERROR(__xludf.DUMMYFUNCTION("""COMPUTED_VALUE"""),"卓沄潔")</f>
        <v>卓沄潔</v>
      </c>
      <c r="D1481" s="16" t="str">
        <f>IFERROR(__xludf.DUMMYFUNCTION("""COMPUTED_VALUE"""),"107*****ail.bdes.tyc.edu.tw")</f>
        <v>107*****ail.bdes.tyc.edu.tw</v>
      </c>
      <c r="E1481" s="17" t="str">
        <f>IFERROR(__xludf.DUMMYFUNCTION("""COMPUTED_VALUE"""),"桃園市八德區八德國民小學")</f>
        <v>桃園市八德區八德國民小學</v>
      </c>
      <c r="F1481" s="14" t="str">
        <f>IFERROR(__xludf.DUMMYFUNCTION("""COMPUTED_VALUE"""),"五年級")</f>
        <v>五年級</v>
      </c>
      <c r="G1481" s="14" t="str">
        <f>IFERROR(__xludf.DUMMYFUNCTION("""COMPUTED_VALUE"""),"獎狀")</f>
        <v>獎狀</v>
      </c>
      <c r="H1481" s="8"/>
    </row>
    <row r="1482">
      <c r="A1482" s="18"/>
      <c r="B1482" s="14">
        <f>IFERROR(__xludf.DUMMYFUNCTION("""COMPUTED_VALUE"""),1184394.0)</f>
        <v>1184394</v>
      </c>
      <c r="C1482" s="14" t="str">
        <f>IFERROR(__xludf.DUMMYFUNCTION("""COMPUTED_VALUE"""),"林筱喬")</f>
        <v>林筱喬</v>
      </c>
      <c r="D1482" s="16" t="str">
        <f>IFERROR(__xludf.DUMMYFUNCTION("""COMPUTED_VALUE"""),"107*****ail.bdes.tyc.edu.tw")</f>
        <v>107*****ail.bdes.tyc.edu.tw</v>
      </c>
      <c r="E1482" s="17" t="str">
        <f>IFERROR(__xludf.DUMMYFUNCTION("""COMPUTED_VALUE"""),"桃園市八德區八德國民小學")</f>
        <v>桃園市八德區八德國民小學</v>
      </c>
      <c r="F1482" s="14" t="str">
        <f>IFERROR(__xludf.DUMMYFUNCTION("""COMPUTED_VALUE"""),"五年級")</f>
        <v>五年級</v>
      </c>
      <c r="G1482" s="14" t="str">
        <f>IFERROR(__xludf.DUMMYFUNCTION("""COMPUTED_VALUE"""),"獎狀")</f>
        <v>獎狀</v>
      </c>
      <c r="H1482" s="8"/>
    </row>
    <row r="1483">
      <c r="A1483" s="18"/>
      <c r="B1483" s="14">
        <f>IFERROR(__xludf.DUMMYFUNCTION("""COMPUTED_VALUE"""),1184453.0)</f>
        <v>1184453</v>
      </c>
      <c r="C1483" s="14" t="str">
        <f>IFERROR(__xludf.DUMMYFUNCTION("""COMPUTED_VALUE"""),"涂昀碩")</f>
        <v>涂昀碩</v>
      </c>
      <c r="D1483" s="16" t="str">
        <f>IFERROR(__xludf.DUMMYFUNCTION("""COMPUTED_VALUE"""),"107*****ail.bdes.tyc.edu.tw")</f>
        <v>107*****ail.bdes.tyc.edu.tw</v>
      </c>
      <c r="E1483" s="17" t="str">
        <f>IFERROR(__xludf.DUMMYFUNCTION("""COMPUTED_VALUE"""),"桃園市八德區八德國民小學")</f>
        <v>桃園市八德區八德國民小學</v>
      </c>
      <c r="F1483" s="14" t="str">
        <f>IFERROR(__xludf.DUMMYFUNCTION("""COMPUTED_VALUE"""),"五年級")</f>
        <v>五年級</v>
      </c>
      <c r="G1483" s="14" t="str">
        <f>IFERROR(__xludf.DUMMYFUNCTION("""COMPUTED_VALUE"""),"獎狀")</f>
        <v>獎狀</v>
      </c>
      <c r="H1483" s="8"/>
    </row>
    <row r="1484">
      <c r="A1484" s="18"/>
      <c r="B1484" s="14">
        <f>IFERROR(__xludf.DUMMYFUNCTION("""COMPUTED_VALUE"""),1184397.0)</f>
        <v>1184397</v>
      </c>
      <c r="C1484" s="14" t="str">
        <f>IFERROR(__xludf.DUMMYFUNCTION("""COMPUTED_VALUE"""),"陳韋亨")</f>
        <v>陳韋亨</v>
      </c>
      <c r="D1484" s="16" t="str">
        <f>IFERROR(__xludf.DUMMYFUNCTION("""COMPUTED_VALUE"""),"107*****ail.bdes.tyc.edu.tw")</f>
        <v>107*****ail.bdes.tyc.edu.tw</v>
      </c>
      <c r="E1484" s="17" t="str">
        <f>IFERROR(__xludf.DUMMYFUNCTION("""COMPUTED_VALUE"""),"桃園市八德區八德國民小學")</f>
        <v>桃園市八德區八德國民小學</v>
      </c>
      <c r="F1484" s="14" t="str">
        <f>IFERROR(__xludf.DUMMYFUNCTION("""COMPUTED_VALUE"""),"五年級")</f>
        <v>五年級</v>
      </c>
      <c r="G1484" s="14" t="str">
        <f>IFERROR(__xludf.DUMMYFUNCTION("""COMPUTED_VALUE"""),"獎狀")</f>
        <v>獎狀</v>
      </c>
      <c r="H1484" s="8"/>
    </row>
    <row r="1485">
      <c r="A1485" s="18"/>
      <c r="B1485" s="14">
        <f>IFERROR(__xludf.DUMMYFUNCTION("""COMPUTED_VALUE"""),1184436.0)</f>
        <v>1184436</v>
      </c>
      <c r="C1485" s="14" t="str">
        <f>IFERROR(__xludf.DUMMYFUNCTION("""COMPUTED_VALUE"""),"陳浿婕")</f>
        <v>陳浿婕</v>
      </c>
      <c r="D1485" s="16" t="str">
        <f>IFERROR(__xludf.DUMMYFUNCTION("""COMPUTED_VALUE"""),"107*****ail.bdes.tyc.edu.tw")</f>
        <v>107*****ail.bdes.tyc.edu.tw</v>
      </c>
      <c r="E1485" s="17" t="str">
        <f>IFERROR(__xludf.DUMMYFUNCTION("""COMPUTED_VALUE"""),"桃園市八德區八德國民小學")</f>
        <v>桃園市八德區八德國民小學</v>
      </c>
      <c r="F1485" s="14" t="str">
        <f>IFERROR(__xludf.DUMMYFUNCTION("""COMPUTED_VALUE"""),"五年級")</f>
        <v>五年級</v>
      </c>
      <c r="G1485" s="14" t="str">
        <f>IFERROR(__xludf.DUMMYFUNCTION("""COMPUTED_VALUE"""),"獎狀")</f>
        <v>獎狀</v>
      </c>
      <c r="H1485" s="8"/>
    </row>
    <row r="1486">
      <c r="A1486" s="18"/>
      <c r="B1486" s="14">
        <f>IFERROR(__xludf.DUMMYFUNCTION("""COMPUTED_VALUE"""),1184396.0)</f>
        <v>1184396</v>
      </c>
      <c r="C1486" s="14" t="str">
        <f>IFERROR(__xludf.DUMMYFUNCTION("""COMPUTED_VALUE"""),"黃允澤")</f>
        <v>黃允澤</v>
      </c>
      <c r="D1486" s="16" t="str">
        <f>IFERROR(__xludf.DUMMYFUNCTION("""COMPUTED_VALUE"""),"107*****ail.bdes.tyc.edu.tw")</f>
        <v>107*****ail.bdes.tyc.edu.tw</v>
      </c>
      <c r="E1486" s="17" t="str">
        <f>IFERROR(__xludf.DUMMYFUNCTION("""COMPUTED_VALUE"""),"桃園市八德區八德國民小學")</f>
        <v>桃園市八德區八德國民小學</v>
      </c>
      <c r="F1486" s="14" t="str">
        <f>IFERROR(__xludf.DUMMYFUNCTION("""COMPUTED_VALUE"""),"五年級")</f>
        <v>五年級</v>
      </c>
      <c r="G1486" s="14" t="str">
        <f>IFERROR(__xludf.DUMMYFUNCTION("""COMPUTED_VALUE"""),"獎狀")</f>
        <v>獎狀</v>
      </c>
      <c r="H1486" s="8"/>
    </row>
    <row r="1487">
      <c r="A1487" s="18"/>
      <c r="B1487" s="14">
        <f>IFERROR(__xludf.DUMMYFUNCTION("""COMPUTED_VALUE"""),1197052.0)</f>
        <v>1197052</v>
      </c>
      <c r="C1487" s="14" t="str">
        <f>IFERROR(__xludf.DUMMYFUNCTION("""COMPUTED_VALUE"""),"黃念慈")</f>
        <v>黃念慈</v>
      </c>
      <c r="D1487" s="16" t="str">
        <f>IFERROR(__xludf.DUMMYFUNCTION("""COMPUTED_VALUE"""),"107*****ail.bdes.tyc.edu.tw")</f>
        <v>107*****ail.bdes.tyc.edu.tw</v>
      </c>
      <c r="E1487" s="17" t="str">
        <f>IFERROR(__xludf.DUMMYFUNCTION("""COMPUTED_VALUE"""),"桃園市八德區八德國民小學")</f>
        <v>桃園市八德區八德國民小學</v>
      </c>
      <c r="F1487" s="14" t="str">
        <f>IFERROR(__xludf.DUMMYFUNCTION("""COMPUTED_VALUE"""),"五年級")</f>
        <v>五年級</v>
      </c>
      <c r="G1487" s="14" t="str">
        <f>IFERROR(__xludf.DUMMYFUNCTION("""COMPUTED_VALUE"""),"獎狀")</f>
        <v>獎狀</v>
      </c>
      <c r="H1487" s="8"/>
    </row>
    <row r="1488">
      <c r="A1488" s="18"/>
      <c r="B1488" s="14">
        <f>IFERROR(__xludf.DUMMYFUNCTION("""COMPUTED_VALUE"""),1184393.0)</f>
        <v>1184393</v>
      </c>
      <c r="C1488" s="14" t="str">
        <f>IFERROR(__xludf.DUMMYFUNCTION("""COMPUTED_VALUE"""),"黃凱薇")</f>
        <v>黃凱薇</v>
      </c>
      <c r="D1488" s="16" t="str">
        <f>IFERROR(__xludf.DUMMYFUNCTION("""COMPUTED_VALUE"""),"107*****ail.bdes.tyc.edu.tw")</f>
        <v>107*****ail.bdes.tyc.edu.tw</v>
      </c>
      <c r="E1488" s="17" t="str">
        <f>IFERROR(__xludf.DUMMYFUNCTION("""COMPUTED_VALUE"""),"桃園市八德區八德國民小學")</f>
        <v>桃園市八德區八德國民小學</v>
      </c>
      <c r="F1488" s="14" t="str">
        <f>IFERROR(__xludf.DUMMYFUNCTION("""COMPUTED_VALUE"""),"五年級")</f>
        <v>五年級</v>
      </c>
      <c r="G1488" s="14" t="str">
        <f>IFERROR(__xludf.DUMMYFUNCTION("""COMPUTED_VALUE"""),"獎狀")</f>
        <v>獎狀</v>
      </c>
      <c r="H1488" s="8"/>
    </row>
    <row r="1489">
      <c r="A1489" s="18"/>
      <c r="B1489" s="14">
        <f>IFERROR(__xludf.DUMMYFUNCTION("""COMPUTED_VALUE"""),1184411.0)</f>
        <v>1184411</v>
      </c>
      <c r="C1489" s="14" t="str">
        <f>IFERROR(__xludf.DUMMYFUNCTION("""COMPUTED_VALUE"""),"黃雅訢")</f>
        <v>黃雅訢</v>
      </c>
      <c r="D1489" s="16" t="str">
        <f>IFERROR(__xludf.DUMMYFUNCTION("""COMPUTED_VALUE"""),"107*****ail.bdes.tyc.edu.tw")</f>
        <v>107*****ail.bdes.tyc.edu.tw</v>
      </c>
      <c r="E1489" s="17" t="str">
        <f>IFERROR(__xludf.DUMMYFUNCTION("""COMPUTED_VALUE"""),"桃園市八德區八德國民小學")</f>
        <v>桃園市八德區八德國民小學</v>
      </c>
      <c r="F1489" s="14" t="str">
        <f>IFERROR(__xludf.DUMMYFUNCTION("""COMPUTED_VALUE"""),"五年級")</f>
        <v>五年級</v>
      </c>
      <c r="G1489" s="14" t="str">
        <f>IFERROR(__xludf.DUMMYFUNCTION("""COMPUTED_VALUE"""),"獎狀")</f>
        <v>獎狀</v>
      </c>
      <c r="H1489" s="8"/>
    </row>
    <row r="1490">
      <c r="A1490" s="18"/>
      <c r="B1490" s="14">
        <f>IFERROR(__xludf.DUMMYFUNCTION("""COMPUTED_VALUE"""),1184392.0)</f>
        <v>1184392</v>
      </c>
      <c r="C1490" s="14" t="str">
        <f>IFERROR(__xludf.DUMMYFUNCTION("""COMPUTED_VALUE"""),"黃暘翔")</f>
        <v>黃暘翔</v>
      </c>
      <c r="D1490" s="16" t="str">
        <f>IFERROR(__xludf.DUMMYFUNCTION("""COMPUTED_VALUE"""),"107*****ail.bdes.tyc.edu.tw")</f>
        <v>107*****ail.bdes.tyc.edu.tw</v>
      </c>
      <c r="E1490" s="17" t="str">
        <f>IFERROR(__xludf.DUMMYFUNCTION("""COMPUTED_VALUE"""),"桃園市八德區八德國民小學")</f>
        <v>桃園市八德區八德國民小學</v>
      </c>
      <c r="F1490" s="14" t="str">
        <f>IFERROR(__xludf.DUMMYFUNCTION("""COMPUTED_VALUE"""),"五年級")</f>
        <v>五年級</v>
      </c>
      <c r="G1490" s="14" t="str">
        <f>IFERROR(__xludf.DUMMYFUNCTION("""COMPUTED_VALUE"""),"獎狀")</f>
        <v>獎狀</v>
      </c>
      <c r="H1490" s="8"/>
    </row>
    <row r="1491">
      <c r="A1491" s="18"/>
      <c r="B1491" s="14">
        <f>IFERROR(__xludf.DUMMYFUNCTION("""COMPUTED_VALUE"""),1184406.0)</f>
        <v>1184406</v>
      </c>
      <c r="C1491" s="14" t="str">
        <f>IFERROR(__xludf.DUMMYFUNCTION("""COMPUTED_VALUE"""),"楊巧蕾")</f>
        <v>楊巧蕾</v>
      </c>
      <c r="D1491" s="16" t="str">
        <f>IFERROR(__xludf.DUMMYFUNCTION("""COMPUTED_VALUE"""),"107*****ail.bdes.tyc.edu.tw")</f>
        <v>107*****ail.bdes.tyc.edu.tw</v>
      </c>
      <c r="E1491" s="17" t="str">
        <f>IFERROR(__xludf.DUMMYFUNCTION("""COMPUTED_VALUE"""),"桃園市八德區八德國民小學")</f>
        <v>桃園市八德區八德國民小學</v>
      </c>
      <c r="F1491" s="14" t="str">
        <f>IFERROR(__xludf.DUMMYFUNCTION("""COMPUTED_VALUE"""),"五年級")</f>
        <v>五年級</v>
      </c>
      <c r="G1491" s="14" t="str">
        <f>IFERROR(__xludf.DUMMYFUNCTION("""COMPUTED_VALUE"""),"獎狀")</f>
        <v>獎狀</v>
      </c>
      <c r="H1491" s="8"/>
    </row>
    <row r="1492">
      <c r="A1492" s="18"/>
      <c r="B1492" s="14">
        <f>IFERROR(__xludf.DUMMYFUNCTION("""COMPUTED_VALUE"""),1116768.0)</f>
        <v>1116768</v>
      </c>
      <c r="C1492" s="14" t="str">
        <f>IFERROR(__xludf.DUMMYFUNCTION("""COMPUTED_VALUE"""),"劉金昇")</f>
        <v>劉金昇</v>
      </c>
      <c r="D1492" s="16" t="str">
        <f>IFERROR(__xludf.DUMMYFUNCTION("""COMPUTED_VALUE"""),"107*****ail.bdes.tyc.edu.tw")</f>
        <v>107*****ail.bdes.tyc.edu.tw</v>
      </c>
      <c r="E1492" s="17" t="str">
        <f>IFERROR(__xludf.DUMMYFUNCTION("""COMPUTED_VALUE"""),"桃園市八德區八德國民小學")</f>
        <v>桃園市八德區八德國民小學</v>
      </c>
      <c r="F1492" s="14" t="str">
        <f>IFERROR(__xludf.DUMMYFUNCTION("""COMPUTED_VALUE"""),"五年級")</f>
        <v>五年級</v>
      </c>
      <c r="G1492" s="14" t="str">
        <f>IFERROR(__xludf.DUMMYFUNCTION("""COMPUTED_VALUE"""),"獎狀")</f>
        <v>獎狀</v>
      </c>
      <c r="H1492" s="8"/>
    </row>
    <row r="1493">
      <c r="A1493" s="18"/>
      <c r="B1493" s="14">
        <f>IFERROR(__xludf.DUMMYFUNCTION("""COMPUTED_VALUE"""),1184412.0)</f>
        <v>1184412</v>
      </c>
      <c r="C1493" s="14" t="str">
        <f>IFERROR(__xludf.DUMMYFUNCTION("""COMPUTED_VALUE"""),"鄭又誠")</f>
        <v>鄭又誠</v>
      </c>
      <c r="D1493" s="16" t="str">
        <f>IFERROR(__xludf.DUMMYFUNCTION("""COMPUTED_VALUE"""),"107*****ail.bdes.tyc.edu.tw")</f>
        <v>107*****ail.bdes.tyc.edu.tw</v>
      </c>
      <c r="E1493" s="17" t="str">
        <f>IFERROR(__xludf.DUMMYFUNCTION("""COMPUTED_VALUE"""),"桃園市八德區八德國民小學")</f>
        <v>桃園市八德區八德國民小學</v>
      </c>
      <c r="F1493" s="14" t="str">
        <f>IFERROR(__xludf.DUMMYFUNCTION("""COMPUTED_VALUE"""),"五年級")</f>
        <v>五年級</v>
      </c>
      <c r="G1493" s="14" t="str">
        <f>IFERROR(__xludf.DUMMYFUNCTION("""COMPUTED_VALUE"""),"獎狀")</f>
        <v>獎狀</v>
      </c>
      <c r="H1493" s="8"/>
    </row>
    <row r="1494">
      <c r="A1494" s="18"/>
      <c r="B1494" s="14">
        <f>IFERROR(__xludf.DUMMYFUNCTION("""COMPUTED_VALUE"""),1190410.0)</f>
        <v>1190410</v>
      </c>
      <c r="C1494" s="14" t="str">
        <f>IFERROR(__xludf.DUMMYFUNCTION("""COMPUTED_VALUE"""),"王琦喻")</f>
        <v>王琦喻</v>
      </c>
      <c r="D1494" s="16" t="str">
        <f>IFERROR(__xludf.DUMMYFUNCTION("""COMPUTED_VALUE"""),"107*****ail.bdes.tyc.edu.tw")</f>
        <v>107*****ail.bdes.tyc.edu.tw</v>
      </c>
      <c r="E1494" s="17" t="str">
        <f>IFERROR(__xludf.DUMMYFUNCTION("""COMPUTED_VALUE"""),"桃園市八德區八德國民小學")</f>
        <v>桃園市八德區八德國民小學</v>
      </c>
      <c r="F1494" s="14" t="str">
        <f>IFERROR(__xludf.DUMMYFUNCTION("""COMPUTED_VALUE"""),"五年級")</f>
        <v>五年級</v>
      </c>
      <c r="G1494" s="14" t="str">
        <f>IFERROR(__xludf.DUMMYFUNCTION("""COMPUTED_VALUE"""),"●小禮物")</f>
        <v>●小禮物</v>
      </c>
      <c r="H1494" s="8"/>
    </row>
    <row r="1495">
      <c r="A1495" s="18"/>
      <c r="B1495" s="14">
        <f>IFERROR(__xludf.DUMMYFUNCTION("""COMPUTED_VALUE"""),1190373.0)</f>
        <v>1190373</v>
      </c>
      <c r="C1495" s="14" t="str">
        <f>IFERROR(__xludf.DUMMYFUNCTION("""COMPUTED_VALUE"""),"何羽旋")</f>
        <v>何羽旋</v>
      </c>
      <c r="D1495" s="16" t="str">
        <f>IFERROR(__xludf.DUMMYFUNCTION("""COMPUTED_VALUE"""),"107*****ail.bdes.tyc.edu.tw")</f>
        <v>107*****ail.bdes.tyc.edu.tw</v>
      </c>
      <c r="E1495" s="17" t="str">
        <f>IFERROR(__xludf.DUMMYFUNCTION("""COMPUTED_VALUE"""),"桃園市八德區八德國民小學")</f>
        <v>桃園市八德區八德國民小學</v>
      </c>
      <c r="F1495" s="14" t="str">
        <f>IFERROR(__xludf.DUMMYFUNCTION("""COMPUTED_VALUE"""),"五年級")</f>
        <v>五年級</v>
      </c>
      <c r="G1495" s="14" t="str">
        <f>IFERROR(__xludf.DUMMYFUNCTION("""COMPUTED_VALUE"""),"●小禮物")</f>
        <v>●小禮物</v>
      </c>
      <c r="H1495" s="8"/>
    </row>
    <row r="1496">
      <c r="A1496" s="18"/>
      <c r="B1496" s="14">
        <f>IFERROR(__xludf.DUMMYFUNCTION("""COMPUTED_VALUE"""),1190341.0)</f>
        <v>1190341</v>
      </c>
      <c r="C1496" s="14" t="str">
        <f>IFERROR(__xludf.DUMMYFUNCTION("""COMPUTED_VALUE"""),"呂昱霆")</f>
        <v>呂昱霆</v>
      </c>
      <c r="D1496" s="16" t="str">
        <f>IFERROR(__xludf.DUMMYFUNCTION("""COMPUTED_VALUE"""),"107*****ail.bdes.tyc.edu.tw")</f>
        <v>107*****ail.bdes.tyc.edu.tw</v>
      </c>
      <c r="E1496" s="17" t="str">
        <f>IFERROR(__xludf.DUMMYFUNCTION("""COMPUTED_VALUE"""),"桃園市八德區八德國民小學")</f>
        <v>桃園市八德區八德國民小學</v>
      </c>
      <c r="F1496" s="14" t="str">
        <f>IFERROR(__xludf.DUMMYFUNCTION("""COMPUTED_VALUE"""),"五年級")</f>
        <v>五年級</v>
      </c>
      <c r="G1496" s="14" t="str">
        <f>IFERROR(__xludf.DUMMYFUNCTION("""COMPUTED_VALUE"""),"●小禮物")</f>
        <v>●小禮物</v>
      </c>
      <c r="H1496" s="8"/>
    </row>
    <row r="1497">
      <c r="A1497" s="18"/>
      <c r="B1497" s="14">
        <f>IFERROR(__xludf.DUMMYFUNCTION("""COMPUTED_VALUE"""),1190389.0)</f>
        <v>1190389</v>
      </c>
      <c r="C1497" s="14" t="str">
        <f>IFERROR(__xludf.DUMMYFUNCTION("""COMPUTED_VALUE"""),"索安佐")</f>
        <v>索安佐</v>
      </c>
      <c r="D1497" s="16" t="str">
        <f>IFERROR(__xludf.DUMMYFUNCTION("""COMPUTED_VALUE"""),"107*****ail.bdes.tyc.edu.tw")</f>
        <v>107*****ail.bdes.tyc.edu.tw</v>
      </c>
      <c r="E1497" s="17" t="str">
        <f>IFERROR(__xludf.DUMMYFUNCTION("""COMPUTED_VALUE"""),"桃園市八德區八德國民小學")</f>
        <v>桃園市八德區八德國民小學</v>
      </c>
      <c r="F1497" s="14" t="str">
        <f>IFERROR(__xludf.DUMMYFUNCTION("""COMPUTED_VALUE"""),"五年級")</f>
        <v>五年級</v>
      </c>
      <c r="G1497" s="14" t="str">
        <f>IFERROR(__xludf.DUMMYFUNCTION("""COMPUTED_VALUE"""),"●小禮物")</f>
        <v>●小禮物</v>
      </c>
      <c r="H1497" s="8"/>
    </row>
    <row r="1498">
      <c r="A1498" s="18"/>
      <c r="B1498" s="14">
        <f>IFERROR(__xludf.DUMMYFUNCTION("""COMPUTED_VALUE"""),1190388.0)</f>
        <v>1190388</v>
      </c>
      <c r="C1498" s="14" t="str">
        <f>IFERROR(__xludf.DUMMYFUNCTION("""COMPUTED_VALUE"""),"張智晴")</f>
        <v>張智晴</v>
      </c>
      <c r="D1498" s="16" t="str">
        <f>IFERROR(__xludf.DUMMYFUNCTION("""COMPUTED_VALUE"""),"107*****ail.bdes.tyc.edu.tw")</f>
        <v>107*****ail.bdes.tyc.edu.tw</v>
      </c>
      <c r="E1498" s="17" t="str">
        <f>IFERROR(__xludf.DUMMYFUNCTION("""COMPUTED_VALUE"""),"桃園市八德區八德國民小學")</f>
        <v>桃園市八德區八德國民小學</v>
      </c>
      <c r="F1498" s="14" t="str">
        <f>IFERROR(__xludf.DUMMYFUNCTION("""COMPUTED_VALUE"""),"五年級")</f>
        <v>五年級</v>
      </c>
      <c r="G1498" s="14" t="str">
        <f>IFERROR(__xludf.DUMMYFUNCTION("""COMPUTED_VALUE"""),"●小禮物")</f>
        <v>●小禮物</v>
      </c>
      <c r="H1498" s="8"/>
    </row>
    <row r="1499">
      <c r="A1499" s="18"/>
      <c r="B1499" s="14">
        <f>IFERROR(__xludf.DUMMYFUNCTION("""COMPUTED_VALUE"""),1190391.0)</f>
        <v>1190391</v>
      </c>
      <c r="C1499" s="14" t="str">
        <f>IFERROR(__xludf.DUMMYFUNCTION("""COMPUTED_VALUE"""),"黃泊鈞")</f>
        <v>黃泊鈞</v>
      </c>
      <c r="D1499" s="16" t="str">
        <f>IFERROR(__xludf.DUMMYFUNCTION("""COMPUTED_VALUE"""),"107*****ail.bdes.tyc.edu.tw")</f>
        <v>107*****ail.bdes.tyc.edu.tw</v>
      </c>
      <c r="E1499" s="17" t="str">
        <f>IFERROR(__xludf.DUMMYFUNCTION("""COMPUTED_VALUE"""),"桃園市八德區八德國民小學")</f>
        <v>桃園市八德區八德國民小學</v>
      </c>
      <c r="F1499" s="14" t="str">
        <f>IFERROR(__xludf.DUMMYFUNCTION("""COMPUTED_VALUE"""),"五年級")</f>
        <v>五年級</v>
      </c>
      <c r="G1499" s="14" t="str">
        <f>IFERROR(__xludf.DUMMYFUNCTION("""COMPUTED_VALUE"""),"●小禮物")</f>
        <v>●小禮物</v>
      </c>
      <c r="H1499" s="8"/>
    </row>
    <row r="1500">
      <c r="A1500" s="18"/>
      <c r="B1500" s="14">
        <f>IFERROR(__xludf.DUMMYFUNCTION("""COMPUTED_VALUE"""),1190387.0)</f>
        <v>1190387</v>
      </c>
      <c r="C1500" s="14" t="str">
        <f>IFERROR(__xludf.DUMMYFUNCTION("""COMPUTED_VALUE"""),"黃甜溱")</f>
        <v>黃甜溱</v>
      </c>
      <c r="D1500" s="16" t="str">
        <f>IFERROR(__xludf.DUMMYFUNCTION("""COMPUTED_VALUE"""),"107*****ail.bdes.tyc.edu.tw")</f>
        <v>107*****ail.bdes.tyc.edu.tw</v>
      </c>
      <c r="E1500" s="17" t="str">
        <f>IFERROR(__xludf.DUMMYFUNCTION("""COMPUTED_VALUE"""),"桃園市八德區八德國民小學")</f>
        <v>桃園市八德區八德國民小學</v>
      </c>
      <c r="F1500" s="14" t="str">
        <f>IFERROR(__xludf.DUMMYFUNCTION("""COMPUTED_VALUE"""),"五年級")</f>
        <v>五年級</v>
      </c>
      <c r="G1500" s="14" t="str">
        <f>IFERROR(__xludf.DUMMYFUNCTION("""COMPUTED_VALUE"""),"●小禮物")</f>
        <v>●小禮物</v>
      </c>
      <c r="H1500" s="8"/>
    </row>
    <row r="1501">
      <c r="A1501" s="18"/>
      <c r="B1501" s="14">
        <f>IFERROR(__xludf.DUMMYFUNCTION("""COMPUTED_VALUE"""),1190393.0)</f>
        <v>1190393</v>
      </c>
      <c r="C1501" s="14" t="str">
        <f>IFERROR(__xludf.DUMMYFUNCTION("""COMPUTED_VALUE"""),"鄧莕妤")</f>
        <v>鄧莕妤</v>
      </c>
      <c r="D1501" s="16" t="str">
        <f>IFERROR(__xludf.DUMMYFUNCTION("""COMPUTED_VALUE"""),"107*****ail.bdes.tyc.edu.tw")</f>
        <v>107*****ail.bdes.tyc.edu.tw</v>
      </c>
      <c r="E1501" s="17" t="str">
        <f>IFERROR(__xludf.DUMMYFUNCTION("""COMPUTED_VALUE"""),"桃園市八德區八德國民小學")</f>
        <v>桃園市八德區八德國民小學</v>
      </c>
      <c r="F1501" s="14" t="str">
        <f>IFERROR(__xludf.DUMMYFUNCTION("""COMPUTED_VALUE"""),"五年級")</f>
        <v>五年級</v>
      </c>
      <c r="G1501" s="14" t="str">
        <f>IFERROR(__xludf.DUMMYFUNCTION("""COMPUTED_VALUE"""),"●小禮物")</f>
        <v>●小禮物</v>
      </c>
      <c r="H1501" s="8"/>
    </row>
    <row r="1502">
      <c r="A1502" s="18"/>
      <c r="B1502" s="14">
        <f>IFERROR(__xludf.DUMMYFUNCTION("""COMPUTED_VALUE"""),1201938.0)</f>
        <v>1201938</v>
      </c>
      <c r="C1502" s="14" t="str">
        <f>IFERROR(__xludf.DUMMYFUNCTION("""COMPUTED_VALUE"""),"李浚齊")</f>
        <v>李浚齊</v>
      </c>
      <c r="D1502" s="16" t="str">
        <f>IFERROR(__xludf.DUMMYFUNCTION("""COMPUTED_VALUE"""),"107*****ail.bdes.tyc.edu.tw")</f>
        <v>107*****ail.bdes.tyc.edu.tw</v>
      </c>
      <c r="E1502" s="17" t="str">
        <f>IFERROR(__xludf.DUMMYFUNCTION("""COMPUTED_VALUE"""),"桃園市八德區八德國民小學")</f>
        <v>桃園市八德區八德國民小學</v>
      </c>
      <c r="F1502" s="14" t="str">
        <f>IFERROR(__xludf.DUMMYFUNCTION("""COMPUTED_VALUE"""),"五年級")</f>
        <v>五年級</v>
      </c>
      <c r="G1502" s="14" t="str">
        <f>IFERROR(__xludf.DUMMYFUNCTION("""COMPUTED_VALUE"""),"獎狀")</f>
        <v>獎狀</v>
      </c>
      <c r="H1502" s="8"/>
    </row>
    <row r="1503">
      <c r="A1503" s="18"/>
      <c r="B1503" s="14">
        <f>IFERROR(__xludf.DUMMYFUNCTION("""COMPUTED_VALUE"""),1190342.0)</f>
        <v>1190342</v>
      </c>
      <c r="C1503" s="14" t="str">
        <f>IFERROR(__xludf.DUMMYFUNCTION("""COMPUTED_VALUE"""),"林游翔宇")</f>
        <v>林游翔宇</v>
      </c>
      <c r="D1503" s="16" t="str">
        <f>IFERROR(__xludf.DUMMYFUNCTION("""COMPUTED_VALUE"""),"107*****ail.bdes.tyc.edu.tw")</f>
        <v>107*****ail.bdes.tyc.edu.tw</v>
      </c>
      <c r="E1503" s="17" t="str">
        <f>IFERROR(__xludf.DUMMYFUNCTION("""COMPUTED_VALUE"""),"桃園市八德區八德國民小學")</f>
        <v>桃園市八德區八德國民小學</v>
      </c>
      <c r="F1503" s="14" t="str">
        <f>IFERROR(__xludf.DUMMYFUNCTION("""COMPUTED_VALUE"""),"五年級")</f>
        <v>五年級</v>
      </c>
      <c r="G1503" s="14" t="str">
        <f>IFERROR(__xludf.DUMMYFUNCTION("""COMPUTED_VALUE"""),"獎狀")</f>
        <v>獎狀</v>
      </c>
      <c r="H1503" s="8"/>
    </row>
    <row r="1504">
      <c r="A1504" s="18"/>
      <c r="B1504" s="14">
        <f>IFERROR(__xludf.DUMMYFUNCTION("""COMPUTED_VALUE"""),1190383.0)</f>
        <v>1190383</v>
      </c>
      <c r="C1504" s="14" t="str">
        <f>IFERROR(__xludf.DUMMYFUNCTION("""COMPUTED_VALUE"""),"林煜昇")</f>
        <v>林煜昇</v>
      </c>
      <c r="D1504" s="16" t="str">
        <f>IFERROR(__xludf.DUMMYFUNCTION("""COMPUTED_VALUE"""),"107*****ail.bdes.tyc.edu.tw")</f>
        <v>107*****ail.bdes.tyc.edu.tw</v>
      </c>
      <c r="E1504" s="17" t="str">
        <f>IFERROR(__xludf.DUMMYFUNCTION("""COMPUTED_VALUE"""),"桃園市八德區八德國民小學")</f>
        <v>桃園市八德區八德國民小學</v>
      </c>
      <c r="F1504" s="14" t="str">
        <f>IFERROR(__xludf.DUMMYFUNCTION("""COMPUTED_VALUE"""),"五年級")</f>
        <v>五年級</v>
      </c>
      <c r="G1504" s="14" t="str">
        <f>IFERROR(__xludf.DUMMYFUNCTION("""COMPUTED_VALUE"""),"獎狀")</f>
        <v>獎狀</v>
      </c>
      <c r="H1504" s="8"/>
    </row>
    <row r="1505">
      <c r="A1505" s="18"/>
      <c r="B1505" s="14">
        <f>IFERROR(__xludf.DUMMYFUNCTION("""COMPUTED_VALUE"""),1190372.0)</f>
        <v>1190372</v>
      </c>
      <c r="C1505" s="14" t="str">
        <f>IFERROR(__xludf.DUMMYFUNCTION("""COMPUTED_VALUE"""),"林瑋婷")</f>
        <v>林瑋婷</v>
      </c>
      <c r="D1505" s="16" t="str">
        <f>IFERROR(__xludf.DUMMYFUNCTION("""COMPUTED_VALUE"""),"107*****ail.bdes.tyc.edu.tw")</f>
        <v>107*****ail.bdes.tyc.edu.tw</v>
      </c>
      <c r="E1505" s="17" t="str">
        <f>IFERROR(__xludf.DUMMYFUNCTION("""COMPUTED_VALUE"""),"桃園市八德區八德國民小學")</f>
        <v>桃園市八德區八德國民小學</v>
      </c>
      <c r="F1505" s="14" t="str">
        <f>IFERROR(__xludf.DUMMYFUNCTION("""COMPUTED_VALUE"""),"五年級")</f>
        <v>五年級</v>
      </c>
      <c r="G1505" s="14" t="str">
        <f>IFERROR(__xludf.DUMMYFUNCTION("""COMPUTED_VALUE"""),"獎狀")</f>
        <v>獎狀</v>
      </c>
      <c r="H1505" s="8"/>
    </row>
    <row r="1506">
      <c r="A1506" s="18"/>
      <c r="B1506" s="14">
        <f>IFERROR(__xludf.DUMMYFUNCTION("""COMPUTED_VALUE"""),1190380.0)</f>
        <v>1190380</v>
      </c>
      <c r="C1506" s="14" t="str">
        <f>IFERROR(__xludf.DUMMYFUNCTION("""COMPUTED_VALUE"""),"張瑀晴")</f>
        <v>張瑀晴</v>
      </c>
      <c r="D1506" s="16" t="str">
        <f>IFERROR(__xludf.DUMMYFUNCTION("""COMPUTED_VALUE"""),"107*****ail.bdes.tyc.edu.tw")</f>
        <v>107*****ail.bdes.tyc.edu.tw</v>
      </c>
      <c r="E1506" s="17" t="str">
        <f>IFERROR(__xludf.DUMMYFUNCTION("""COMPUTED_VALUE"""),"桃園市八德區八德國民小學")</f>
        <v>桃園市八德區八德國民小學</v>
      </c>
      <c r="F1506" s="14" t="str">
        <f>IFERROR(__xludf.DUMMYFUNCTION("""COMPUTED_VALUE"""),"五年級")</f>
        <v>五年級</v>
      </c>
      <c r="G1506" s="14" t="str">
        <f>IFERROR(__xludf.DUMMYFUNCTION("""COMPUTED_VALUE"""),"獎狀")</f>
        <v>獎狀</v>
      </c>
      <c r="H1506" s="8"/>
    </row>
    <row r="1507">
      <c r="A1507" s="18"/>
      <c r="B1507" s="14">
        <f>IFERROR(__xludf.DUMMYFUNCTION("""COMPUTED_VALUE"""),1190375.0)</f>
        <v>1190375</v>
      </c>
      <c r="C1507" s="14" t="str">
        <f>IFERROR(__xludf.DUMMYFUNCTION("""COMPUTED_VALUE"""),"許舒涵")</f>
        <v>許舒涵</v>
      </c>
      <c r="D1507" s="16" t="str">
        <f>IFERROR(__xludf.DUMMYFUNCTION("""COMPUTED_VALUE"""),"107*****ail.bdes.tyc.edu.tw")</f>
        <v>107*****ail.bdes.tyc.edu.tw</v>
      </c>
      <c r="E1507" s="17" t="str">
        <f>IFERROR(__xludf.DUMMYFUNCTION("""COMPUTED_VALUE"""),"桃園市八德區八德國民小學")</f>
        <v>桃園市八德區八德國民小學</v>
      </c>
      <c r="F1507" s="14" t="str">
        <f>IFERROR(__xludf.DUMMYFUNCTION("""COMPUTED_VALUE"""),"五年級")</f>
        <v>五年級</v>
      </c>
      <c r="G1507" s="14" t="str">
        <f>IFERROR(__xludf.DUMMYFUNCTION("""COMPUTED_VALUE"""),"獎狀")</f>
        <v>獎狀</v>
      </c>
      <c r="H1507" s="8"/>
    </row>
    <row r="1508">
      <c r="A1508" s="18"/>
      <c r="B1508" s="14">
        <f>IFERROR(__xludf.DUMMYFUNCTION("""COMPUTED_VALUE"""),1190368.0)</f>
        <v>1190368</v>
      </c>
      <c r="C1508" s="14" t="str">
        <f>IFERROR(__xludf.DUMMYFUNCTION("""COMPUTED_VALUE"""),"郭湘姸")</f>
        <v>郭湘姸</v>
      </c>
      <c r="D1508" s="16" t="str">
        <f>IFERROR(__xludf.DUMMYFUNCTION("""COMPUTED_VALUE"""),"107*****ail.bdes.tyc.edu.tw")</f>
        <v>107*****ail.bdes.tyc.edu.tw</v>
      </c>
      <c r="E1508" s="17" t="str">
        <f>IFERROR(__xludf.DUMMYFUNCTION("""COMPUTED_VALUE"""),"桃園市八德區八德國民小學")</f>
        <v>桃園市八德區八德國民小學</v>
      </c>
      <c r="F1508" s="14" t="str">
        <f>IFERROR(__xludf.DUMMYFUNCTION("""COMPUTED_VALUE"""),"五年級")</f>
        <v>五年級</v>
      </c>
      <c r="G1508" s="14" t="str">
        <f>IFERROR(__xludf.DUMMYFUNCTION("""COMPUTED_VALUE"""),"獎狀")</f>
        <v>獎狀</v>
      </c>
      <c r="H1508" s="8"/>
    </row>
    <row r="1509">
      <c r="A1509" s="18"/>
      <c r="B1509" s="14">
        <f>IFERROR(__xludf.DUMMYFUNCTION("""COMPUTED_VALUE"""),1190370.0)</f>
        <v>1190370</v>
      </c>
      <c r="C1509" s="14" t="str">
        <f>IFERROR(__xludf.DUMMYFUNCTION("""COMPUTED_VALUE"""),"陳亭妘")</f>
        <v>陳亭妘</v>
      </c>
      <c r="D1509" s="16" t="str">
        <f>IFERROR(__xludf.DUMMYFUNCTION("""COMPUTED_VALUE"""),"107*****ail.bdes.tyc.edu.tw")</f>
        <v>107*****ail.bdes.tyc.edu.tw</v>
      </c>
      <c r="E1509" s="17" t="str">
        <f>IFERROR(__xludf.DUMMYFUNCTION("""COMPUTED_VALUE"""),"桃園市八德區八德國民小學")</f>
        <v>桃園市八德區八德國民小學</v>
      </c>
      <c r="F1509" s="14" t="str">
        <f>IFERROR(__xludf.DUMMYFUNCTION("""COMPUTED_VALUE"""),"五年級")</f>
        <v>五年級</v>
      </c>
      <c r="G1509" s="14" t="str">
        <f>IFERROR(__xludf.DUMMYFUNCTION("""COMPUTED_VALUE"""),"獎狀")</f>
        <v>獎狀</v>
      </c>
      <c r="H1509" s="8"/>
    </row>
    <row r="1510">
      <c r="A1510" s="18"/>
      <c r="B1510" s="14">
        <f>IFERROR(__xludf.DUMMYFUNCTION("""COMPUTED_VALUE"""),1190371.0)</f>
        <v>1190371</v>
      </c>
      <c r="C1510" s="14" t="str">
        <f>IFERROR(__xludf.DUMMYFUNCTION("""COMPUTED_VALUE"""),"陳品睿")</f>
        <v>陳品睿</v>
      </c>
      <c r="D1510" s="16" t="str">
        <f>IFERROR(__xludf.DUMMYFUNCTION("""COMPUTED_VALUE"""),"107*****ail.bdes.tyc.edu.tw")</f>
        <v>107*****ail.bdes.tyc.edu.tw</v>
      </c>
      <c r="E1510" s="17" t="str">
        <f>IFERROR(__xludf.DUMMYFUNCTION("""COMPUTED_VALUE"""),"桃園市八德區八德國民小學")</f>
        <v>桃園市八德區八德國民小學</v>
      </c>
      <c r="F1510" s="14" t="str">
        <f>IFERROR(__xludf.DUMMYFUNCTION("""COMPUTED_VALUE"""),"五年級")</f>
        <v>五年級</v>
      </c>
      <c r="G1510" s="14" t="str">
        <f>IFERROR(__xludf.DUMMYFUNCTION("""COMPUTED_VALUE"""),"獎狀")</f>
        <v>獎狀</v>
      </c>
      <c r="H1510" s="8"/>
    </row>
    <row r="1511">
      <c r="A1511" s="18"/>
      <c r="B1511" s="14">
        <f>IFERROR(__xludf.DUMMYFUNCTION("""COMPUTED_VALUE"""),1190406.0)</f>
        <v>1190406</v>
      </c>
      <c r="C1511" s="14" t="str">
        <f>IFERROR(__xludf.DUMMYFUNCTION("""COMPUTED_VALUE"""),"陶冠燁")</f>
        <v>陶冠燁</v>
      </c>
      <c r="D1511" s="16" t="str">
        <f>IFERROR(__xludf.DUMMYFUNCTION("""COMPUTED_VALUE"""),"107*****ail.bdes.tyc.edu.tw")</f>
        <v>107*****ail.bdes.tyc.edu.tw</v>
      </c>
      <c r="E1511" s="17" t="str">
        <f>IFERROR(__xludf.DUMMYFUNCTION("""COMPUTED_VALUE"""),"桃園市八德區八德國民小學")</f>
        <v>桃園市八德區八德國民小學</v>
      </c>
      <c r="F1511" s="14" t="str">
        <f>IFERROR(__xludf.DUMMYFUNCTION("""COMPUTED_VALUE"""),"五年級")</f>
        <v>五年級</v>
      </c>
      <c r="G1511" s="14" t="str">
        <f>IFERROR(__xludf.DUMMYFUNCTION("""COMPUTED_VALUE"""),"獎狀")</f>
        <v>獎狀</v>
      </c>
      <c r="H1511" s="8"/>
    </row>
    <row r="1512">
      <c r="A1512" s="18"/>
      <c r="B1512" s="14">
        <f>IFERROR(__xludf.DUMMYFUNCTION("""COMPUTED_VALUE"""),1201926.0)</f>
        <v>1201926</v>
      </c>
      <c r="C1512" s="14" t="str">
        <f>IFERROR(__xludf.DUMMYFUNCTION("""COMPUTED_VALUE"""),"傅友韋")</f>
        <v>傅友韋</v>
      </c>
      <c r="D1512" s="16" t="str">
        <f>IFERROR(__xludf.DUMMYFUNCTION("""COMPUTED_VALUE"""),"107*****ail.bdes.tyc.edu.tw")</f>
        <v>107*****ail.bdes.tyc.edu.tw</v>
      </c>
      <c r="E1512" s="17" t="str">
        <f>IFERROR(__xludf.DUMMYFUNCTION("""COMPUTED_VALUE"""),"桃園市八德區八德國民小學")</f>
        <v>桃園市八德區八德國民小學</v>
      </c>
      <c r="F1512" s="14" t="str">
        <f>IFERROR(__xludf.DUMMYFUNCTION("""COMPUTED_VALUE"""),"五年級")</f>
        <v>五年級</v>
      </c>
      <c r="G1512" s="14" t="str">
        <f>IFERROR(__xludf.DUMMYFUNCTION("""COMPUTED_VALUE"""),"獎狀")</f>
        <v>獎狀</v>
      </c>
      <c r="H1512" s="8"/>
    </row>
    <row r="1513">
      <c r="A1513" s="18"/>
      <c r="B1513" s="14">
        <f>IFERROR(__xludf.DUMMYFUNCTION("""COMPUTED_VALUE"""),1190382.0)</f>
        <v>1190382</v>
      </c>
      <c r="C1513" s="14" t="str">
        <f>IFERROR(__xludf.DUMMYFUNCTION("""COMPUTED_VALUE"""),"曾夢威")</f>
        <v>曾夢威</v>
      </c>
      <c r="D1513" s="16" t="str">
        <f>IFERROR(__xludf.DUMMYFUNCTION("""COMPUTED_VALUE"""),"107*****ail.bdes.tyc.edu.tw")</f>
        <v>107*****ail.bdes.tyc.edu.tw</v>
      </c>
      <c r="E1513" s="17" t="str">
        <f>IFERROR(__xludf.DUMMYFUNCTION("""COMPUTED_VALUE"""),"桃園市八德區八德國民小學")</f>
        <v>桃園市八德區八德國民小學</v>
      </c>
      <c r="F1513" s="14" t="str">
        <f>IFERROR(__xludf.DUMMYFUNCTION("""COMPUTED_VALUE"""),"五年級")</f>
        <v>五年級</v>
      </c>
      <c r="G1513" s="14" t="str">
        <f>IFERROR(__xludf.DUMMYFUNCTION("""COMPUTED_VALUE"""),"獎狀")</f>
        <v>獎狀</v>
      </c>
      <c r="H1513" s="8"/>
    </row>
    <row r="1514">
      <c r="A1514" s="18"/>
      <c r="B1514" s="14">
        <f>IFERROR(__xludf.DUMMYFUNCTION("""COMPUTED_VALUE"""),1190340.0)</f>
        <v>1190340</v>
      </c>
      <c r="C1514" s="14" t="str">
        <f>IFERROR(__xludf.DUMMYFUNCTION("""COMPUTED_VALUE"""),"游曜鴻")</f>
        <v>游曜鴻</v>
      </c>
      <c r="D1514" s="16" t="str">
        <f>IFERROR(__xludf.DUMMYFUNCTION("""COMPUTED_VALUE"""),"107*****ail.bdes.tyc.edu.tw")</f>
        <v>107*****ail.bdes.tyc.edu.tw</v>
      </c>
      <c r="E1514" s="17" t="str">
        <f>IFERROR(__xludf.DUMMYFUNCTION("""COMPUTED_VALUE"""),"桃園市八德區八德國民小學")</f>
        <v>桃園市八德區八德國民小學</v>
      </c>
      <c r="F1514" s="14" t="str">
        <f>IFERROR(__xludf.DUMMYFUNCTION("""COMPUTED_VALUE"""),"五年級")</f>
        <v>五年級</v>
      </c>
      <c r="G1514" s="14" t="str">
        <f>IFERROR(__xludf.DUMMYFUNCTION("""COMPUTED_VALUE"""),"獎狀")</f>
        <v>獎狀</v>
      </c>
      <c r="H1514" s="8"/>
    </row>
    <row r="1515">
      <c r="A1515" s="18"/>
      <c r="B1515" s="14">
        <f>IFERROR(__xludf.DUMMYFUNCTION("""COMPUTED_VALUE"""),1190381.0)</f>
        <v>1190381</v>
      </c>
      <c r="C1515" s="14" t="str">
        <f>IFERROR(__xludf.DUMMYFUNCTION("""COMPUTED_VALUE"""),"馮柔蒨")</f>
        <v>馮柔蒨</v>
      </c>
      <c r="D1515" s="16" t="str">
        <f>IFERROR(__xludf.DUMMYFUNCTION("""COMPUTED_VALUE"""),"107*****ail.bdes.tyc.edu.tw")</f>
        <v>107*****ail.bdes.tyc.edu.tw</v>
      </c>
      <c r="E1515" s="17" t="str">
        <f>IFERROR(__xludf.DUMMYFUNCTION("""COMPUTED_VALUE"""),"桃園市八德區八德國民小學")</f>
        <v>桃園市八德區八德國民小學</v>
      </c>
      <c r="F1515" s="14" t="str">
        <f>IFERROR(__xludf.DUMMYFUNCTION("""COMPUTED_VALUE"""),"五年級")</f>
        <v>五年級</v>
      </c>
      <c r="G1515" s="14" t="str">
        <f>IFERROR(__xludf.DUMMYFUNCTION("""COMPUTED_VALUE"""),"獎狀")</f>
        <v>獎狀</v>
      </c>
      <c r="H1515" s="8"/>
    </row>
    <row r="1516">
      <c r="A1516" s="18"/>
      <c r="B1516" s="14">
        <f>IFERROR(__xludf.DUMMYFUNCTION("""COMPUTED_VALUE"""),1190339.0)</f>
        <v>1190339</v>
      </c>
      <c r="C1516" s="14" t="str">
        <f>IFERROR(__xludf.DUMMYFUNCTION("""COMPUTED_VALUE"""),"黃昱羲")</f>
        <v>黃昱羲</v>
      </c>
      <c r="D1516" s="16" t="str">
        <f>IFERROR(__xludf.DUMMYFUNCTION("""COMPUTED_VALUE"""),"107*****ail.bdes.tyc.edu.tw")</f>
        <v>107*****ail.bdes.tyc.edu.tw</v>
      </c>
      <c r="E1516" s="17" t="str">
        <f>IFERROR(__xludf.DUMMYFUNCTION("""COMPUTED_VALUE"""),"桃園市八德區八德國民小學")</f>
        <v>桃園市八德區八德國民小學</v>
      </c>
      <c r="F1516" s="14" t="str">
        <f>IFERROR(__xludf.DUMMYFUNCTION("""COMPUTED_VALUE"""),"五年級")</f>
        <v>五年級</v>
      </c>
      <c r="G1516" s="14" t="str">
        <f>IFERROR(__xludf.DUMMYFUNCTION("""COMPUTED_VALUE"""),"獎狀")</f>
        <v>獎狀</v>
      </c>
      <c r="H1516" s="8"/>
    </row>
    <row r="1517">
      <c r="A1517" s="18"/>
      <c r="B1517" s="14">
        <f>IFERROR(__xludf.DUMMYFUNCTION("""COMPUTED_VALUE"""),1190369.0)</f>
        <v>1190369</v>
      </c>
      <c r="C1517" s="14" t="str">
        <f>IFERROR(__xludf.DUMMYFUNCTION("""COMPUTED_VALUE"""),"賴羿姗")</f>
        <v>賴羿姗</v>
      </c>
      <c r="D1517" s="16" t="str">
        <f>IFERROR(__xludf.DUMMYFUNCTION("""COMPUTED_VALUE"""),"107*****ail.bdes.tyc.edu.tw")</f>
        <v>107*****ail.bdes.tyc.edu.tw</v>
      </c>
      <c r="E1517" s="17" t="str">
        <f>IFERROR(__xludf.DUMMYFUNCTION("""COMPUTED_VALUE"""),"桃園市八德區八德國民小學")</f>
        <v>桃園市八德區八德國民小學</v>
      </c>
      <c r="F1517" s="14" t="str">
        <f>IFERROR(__xludf.DUMMYFUNCTION("""COMPUTED_VALUE"""),"五年級")</f>
        <v>五年級</v>
      </c>
      <c r="G1517" s="14" t="str">
        <f>IFERROR(__xludf.DUMMYFUNCTION("""COMPUTED_VALUE"""),"獎狀")</f>
        <v>獎狀</v>
      </c>
      <c r="H1517" s="8"/>
    </row>
    <row r="1518">
      <c r="A1518" s="18"/>
      <c r="B1518" s="14">
        <f>IFERROR(__xludf.DUMMYFUNCTION("""COMPUTED_VALUE"""),1180358.0)</f>
        <v>1180358</v>
      </c>
      <c r="C1518" s="14" t="str">
        <f>IFERROR(__xludf.DUMMYFUNCTION("""COMPUTED_VALUE"""),"江沛澄")</f>
        <v>江沛澄</v>
      </c>
      <c r="D1518" s="16" t="str">
        <f>IFERROR(__xludf.DUMMYFUNCTION("""COMPUTED_VALUE"""),"107*****ail.bdes.tyc.edu.tw")</f>
        <v>107*****ail.bdes.tyc.edu.tw</v>
      </c>
      <c r="E1518" s="17" t="str">
        <f>IFERROR(__xludf.DUMMYFUNCTION("""COMPUTED_VALUE"""),"桃園市八德區八德國民小學")</f>
        <v>桃園市八德區八德國民小學</v>
      </c>
      <c r="F1518" s="14" t="str">
        <f>IFERROR(__xludf.DUMMYFUNCTION("""COMPUTED_VALUE"""),"五年級")</f>
        <v>五年級</v>
      </c>
      <c r="G1518" s="14" t="str">
        <f>IFERROR(__xludf.DUMMYFUNCTION("""COMPUTED_VALUE"""),"●小禮物")</f>
        <v>●小禮物</v>
      </c>
      <c r="H1518" s="8"/>
    </row>
    <row r="1519">
      <c r="A1519" s="18"/>
      <c r="B1519" s="14">
        <f>IFERROR(__xludf.DUMMYFUNCTION("""COMPUTED_VALUE"""),1180328.0)</f>
        <v>1180328</v>
      </c>
      <c r="C1519" s="14" t="str">
        <f>IFERROR(__xludf.DUMMYFUNCTION("""COMPUTED_VALUE"""),"李佳恩")</f>
        <v>李佳恩</v>
      </c>
      <c r="D1519" s="16" t="str">
        <f>IFERROR(__xludf.DUMMYFUNCTION("""COMPUTED_VALUE"""),"107*****ail.bdes.tyc.edu.tw")</f>
        <v>107*****ail.bdes.tyc.edu.tw</v>
      </c>
      <c r="E1519" s="17" t="str">
        <f>IFERROR(__xludf.DUMMYFUNCTION("""COMPUTED_VALUE"""),"桃園市八德區八德國民小學")</f>
        <v>桃園市八德區八德國民小學</v>
      </c>
      <c r="F1519" s="14" t="str">
        <f>IFERROR(__xludf.DUMMYFUNCTION("""COMPUTED_VALUE"""),"五年級")</f>
        <v>五年級</v>
      </c>
      <c r="G1519" s="14" t="str">
        <f>IFERROR(__xludf.DUMMYFUNCTION("""COMPUTED_VALUE"""),"●小禮物")</f>
        <v>●小禮物</v>
      </c>
      <c r="H1519" s="8"/>
    </row>
    <row r="1520">
      <c r="A1520" s="18"/>
      <c r="B1520" s="14">
        <f>IFERROR(__xludf.DUMMYFUNCTION("""COMPUTED_VALUE"""),1180330.0)</f>
        <v>1180330</v>
      </c>
      <c r="C1520" s="14" t="str">
        <f>IFERROR(__xludf.DUMMYFUNCTION("""COMPUTED_VALUE"""),"李宜瑾")</f>
        <v>李宜瑾</v>
      </c>
      <c r="D1520" s="16" t="str">
        <f>IFERROR(__xludf.DUMMYFUNCTION("""COMPUTED_VALUE"""),"107*****ail.bdes.tyc.edu.tw")</f>
        <v>107*****ail.bdes.tyc.edu.tw</v>
      </c>
      <c r="E1520" s="17" t="str">
        <f>IFERROR(__xludf.DUMMYFUNCTION("""COMPUTED_VALUE"""),"桃園市八德區八德國民小學")</f>
        <v>桃園市八德區八德國民小學</v>
      </c>
      <c r="F1520" s="14" t="str">
        <f>IFERROR(__xludf.DUMMYFUNCTION("""COMPUTED_VALUE"""),"五年級")</f>
        <v>五年級</v>
      </c>
      <c r="G1520" s="14" t="str">
        <f>IFERROR(__xludf.DUMMYFUNCTION("""COMPUTED_VALUE"""),"●小禮物")</f>
        <v>●小禮物</v>
      </c>
      <c r="H1520" s="8"/>
    </row>
    <row r="1521">
      <c r="A1521" s="18"/>
      <c r="B1521" s="14">
        <f>IFERROR(__xludf.DUMMYFUNCTION("""COMPUTED_VALUE"""),1180318.0)</f>
        <v>1180318</v>
      </c>
      <c r="C1521" s="14" t="str">
        <f>IFERROR(__xludf.DUMMYFUNCTION("""COMPUTED_VALUE"""),"張詠涵")</f>
        <v>張詠涵</v>
      </c>
      <c r="D1521" s="16" t="str">
        <f>IFERROR(__xludf.DUMMYFUNCTION("""COMPUTED_VALUE"""),"107*****ail.bdes.tyc.edu.tw")</f>
        <v>107*****ail.bdes.tyc.edu.tw</v>
      </c>
      <c r="E1521" s="17" t="str">
        <f>IFERROR(__xludf.DUMMYFUNCTION("""COMPUTED_VALUE"""),"桃園市八德區八德國民小學")</f>
        <v>桃園市八德區八德國民小學</v>
      </c>
      <c r="F1521" s="14" t="str">
        <f>IFERROR(__xludf.DUMMYFUNCTION("""COMPUTED_VALUE"""),"五年級")</f>
        <v>五年級</v>
      </c>
      <c r="G1521" s="14" t="str">
        <f>IFERROR(__xludf.DUMMYFUNCTION("""COMPUTED_VALUE"""),"●小禮物")</f>
        <v>●小禮物</v>
      </c>
      <c r="H1521" s="8"/>
    </row>
    <row r="1522">
      <c r="A1522" s="18"/>
      <c r="B1522" s="14">
        <f>IFERROR(__xludf.DUMMYFUNCTION("""COMPUTED_VALUE"""),1180335.0)</f>
        <v>1180335</v>
      </c>
      <c r="C1522" s="14" t="str">
        <f>IFERROR(__xludf.DUMMYFUNCTION("""COMPUTED_VALUE"""),"陳宥錡")</f>
        <v>陳宥錡</v>
      </c>
      <c r="D1522" s="16" t="str">
        <f>IFERROR(__xludf.DUMMYFUNCTION("""COMPUTED_VALUE"""),"107*****ail.bdes.tyc.edu.tw")</f>
        <v>107*****ail.bdes.tyc.edu.tw</v>
      </c>
      <c r="E1522" s="17" t="str">
        <f>IFERROR(__xludf.DUMMYFUNCTION("""COMPUTED_VALUE"""),"桃園市八德區八德國民小學")</f>
        <v>桃園市八德區八德國民小學</v>
      </c>
      <c r="F1522" s="14" t="str">
        <f>IFERROR(__xludf.DUMMYFUNCTION("""COMPUTED_VALUE"""),"五年級")</f>
        <v>五年級</v>
      </c>
      <c r="G1522" s="14" t="str">
        <f>IFERROR(__xludf.DUMMYFUNCTION("""COMPUTED_VALUE"""),"●小禮物")</f>
        <v>●小禮物</v>
      </c>
      <c r="H1522" s="8"/>
    </row>
    <row r="1523">
      <c r="A1523" s="18"/>
      <c r="B1523" s="14">
        <f>IFERROR(__xludf.DUMMYFUNCTION("""COMPUTED_VALUE"""),1180348.0)</f>
        <v>1180348</v>
      </c>
      <c r="C1523" s="14" t="str">
        <f>IFERROR(__xludf.DUMMYFUNCTION("""COMPUTED_VALUE"""),"陳禹晴")</f>
        <v>陳禹晴</v>
      </c>
      <c r="D1523" s="16" t="str">
        <f>IFERROR(__xludf.DUMMYFUNCTION("""COMPUTED_VALUE"""),"107*****ail.bdes.tyc.edu.tw")</f>
        <v>107*****ail.bdes.tyc.edu.tw</v>
      </c>
      <c r="E1523" s="17" t="str">
        <f>IFERROR(__xludf.DUMMYFUNCTION("""COMPUTED_VALUE"""),"桃園市八德區八德國民小學")</f>
        <v>桃園市八德區八德國民小學</v>
      </c>
      <c r="F1523" s="14" t="str">
        <f>IFERROR(__xludf.DUMMYFUNCTION("""COMPUTED_VALUE"""),"五年級")</f>
        <v>五年級</v>
      </c>
      <c r="G1523" s="14" t="str">
        <f>IFERROR(__xludf.DUMMYFUNCTION("""COMPUTED_VALUE"""),"●小禮物")</f>
        <v>●小禮物</v>
      </c>
      <c r="H1523" s="8"/>
    </row>
    <row r="1524">
      <c r="A1524" s="18"/>
      <c r="B1524" s="14">
        <f>IFERROR(__xludf.DUMMYFUNCTION("""COMPUTED_VALUE"""),1180363.0)</f>
        <v>1180363</v>
      </c>
      <c r="C1524" s="14" t="str">
        <f>IFERROR(__xludf.DUMMYFUNCTION("""COMPUTED_VALUE"""),"黃海茵")</f>
        <v>黃海茵</v>
      </c>
      <c r="D1524" s="16" t="str">
        <f>IFERROR(__xludf.DUMMYFUNCTION("""COMPUTED_VALUE"""),"107*****ail.bdes.tyc.edu.tw")</f>
        <v>107*****ail.bdes.tyc.edu.tw</v>
      </c>
      <c r="E1524" s="17" t="str">
        <f>IFERROR(__xludf.DUMMYFUNCTION("""COMPUTED_VALUE"""),"桃園市八德區八德國民小學")</f>
        <v>桃園市八德區八德國民小學</v>
      </c>
      <c r="F1524" s="14" t="str">
        <f>IFERROR(__xludf.DUMMYFUNCTION("""COMPUTED_VALUE"""),"五年級")</f>
        <v>五年級</v>
      </c>
      <c r="G1524" s="14" t="str">
        <f>IFERROR(__xludf.DUMMYFUNCTION("""COMPUTED_VALUE"""),"●小禮物")</f>
        <v>●小禮物</v>
      </c>
      <c r="H1524" s="8"/>
    </row>
    <row r="1525">
      <c r="A1525" s="18"/>
      <c r="B1525" s="14">
        <f>IFERROR(__xludf.DUMMYFUNCTION("""COMPUTED_VALUE"""),1180343.0)</f>
        <v>1180343</v>
      </c>
      <c r="C1525" s="14" t="str">
        <f>IFERROR(__xludf.DUMMYFUNCTION("""COMPUTED_VALUE"""),"萬冠霆")</f>
        <v>萬冠霆</v>
      </c>
      <c r="D1525" s="16" t="str">
        <f>IFERROR(__xludf.DUMMYFUNCTION("""COMPUTED_VALUE"""),"107*****ail.bdes.tyc.edu.tw")</f>
        <v>107*****ail.bdes.tyc.edu.tw</v>
      </c>
      <c r="E1525" s="17" t="str">
        <f>IFERROR(__xludf.DUMMYFUNCTION("""COMPUTED_VALUE"""),"桃園市八德區八德國民小學")</f>
        <v>桃園市八德區八德國民小學</v>
      </c>
      <c r="F1525" s="14" t="str">
        <f>IFERROR(__xludf.DUMMYFUNCTION("""COMPUTED_VALUE"""),"五年級")</f>
        <v>五年級</v>
      </c>
      <c r="G1525" s="14" t="str">
        <f>IFERROR(__xludf.DUMMYFUNCTION("""COMPUTED_VALUE"""),"●小禮物")</f>
        <v>●小禮物</v>
      </c>
      <c r="H1525" s="8"/>
    </row>
    <row r="1526">
      <c r="A1526" s="18"/>
      <c r="B1526" s="14">
        <f>IFERROR(__xludf.DUMMYFUNCTION("""COMPUTED_VALUE"""),1180319.0)</f>
        <v>1180319</v>
      </c>
      <c r="C1526" s="14" t="str">
        <f>IFERROR(__xludf.DUMMYFUNCTION("""COMPUTED_VALUE"""),"劉思岑")</f>
        <v>劉思岑</v>
      </c>
      <c r="D1526" s="16" t="str">
        <f>IFERROR(__xludf.DUMMYFUNCTION("""COMPUTED_VALUE"""),"107*****ail.bdes.tyc.edu.tw")</f>
        <v>107*****ail.bdes.tyc.edu.tw</v>
      </c>
      <c r="E1526" s="17" t="str">
        <f>IFERROR(__xludf.DUMMYFUNCTION("""COMPUTED_VALUE"""),"桃園市八德區八德國民小學")</f>
        <v>桃園市八德區八德國民小學</v>
      </c>
      <c r="F1526" s="14" t="str">
        <f>IFERROR(__xludf.DUMMYFUNCTION("""COMPUTED_VALUE"""),"五年級")</f>
        <v>五年級</v>
      </c>
      <c r="G1526" s="14" t="str">
        <f>IFERROR(__xludf.DUMMYFUNCTION("""COMPUTED_VALUE"""),"●小禮物")</f>
        <v>●小禮物</v>
      </c>
      <c r="H1526" s="8"/>
    </row>
    <row r="1527">
      <c r="A1527" s="18"/>
      <c r="B1527" s="14">
        <f>IFERROR(__xludf.DUMMYFUNCTION("""COMPUTED_VALUE"""),1180344.0)</f>
        <v>1180344</v>
      </c>
      <c r="C1527" s="14" t="str">
        <f>IFERROR(__xludf.DUMMYFUNCTION("""COMPUTED_VALUE"""),"王冠捷")</f>
        <v>王冠捷</v>
      </c>
      <c r="D1527" s="16" t="str">
        <f>IFERROR(__xludf.DUMMYFUNCTION("""COMPUTED_VALUE"""),"107*****ail.bdes.tyc.edu.tw")</f>
        <v>107*****ail.bdes.tyc.edu.tw</v>
      </c>
      <c r="E1527" s="17" t="str">
        <f>IFERROR(__xludf.DUMMYFUNCTION("""COMPUTED_VALUE"""),"桃園市八德區八德國民小學")</f>
        <v>桃園市八德區八德國民小學</v>
      </c>
      <c r="F1527" s="14" t="str">
        <f>IFERROR(__xludf.DUMMYFUNCTION("""COMPUTED_VALUE"""),"五年級")</f>
        <v>五年級</v>
      </c>
      <c r="G1527" s="14" t="str">
        <f>IFERROR(__xludf.DUMMYFUNCTION("""COMPUTED_VALUE"""),"獎狀")</f>
        <v>獎狀</v>
      </c>
      <c r="H1527" s="8"/>
    </row>
    <row r="1528">
      <c r="A1528" s="18"/>
      <c r="B1528" s="14">
        <f>IFERROR(__xludf.DUMMYFUNCTION("""COMPUTED_VALUE"""),1180322.0)</f>
        <v>1180322</v>
      </c>
      <c r="C1528" s="14" t="str">
        <f>IFERROR(__xludf.DUMMYFUNCTION("""COMPUTED_VALUE"""),"李欣蕙")</f>
        <v>李欣蕙</v>
      </c>
      <c r="D1528" s="16" t="str">
        <f>IFERROR(__xludf.DUMMYFUNCTION("""COMPUTED_VALUE"""),"107*****ail.bdes.tyc.edu.tw")</f>
        <v>107*****ail.bdes.tyc.edu.tw</v>
      </c>
      <c r="E1528" s="17" t="str">
        <f>IFERROR(__xludf.DUMMYFUNCTION("""COMPUTED_VALUE"""),"桃園市八德區八德國民小學")</f>
        <v>桃園市八德區八德國民小學</v>
      </c>
      <c r="F1528" s="14" t="str">
        <f>IFERROR(__xludf.DUMMYFUNCTION("""COMPUTED_VALUE"""),"五年級")</f>
        <v>五年級</v>
      </c>
      <c r="G1528" s="14" t="str">
        <f>IFERROR(__xludf.DUMMYFUNCTION("""COMPUTED_VALUE"""),"獎狀")</f>
        <v>獎狀</v>
      </c>
      <c r="H1528" s="8"/>
    </row>
    <row r="1529">
      <c r="A1529" s="18"/>
      <c r="B1529" s="14">
        <f>IFERROR(__xludf.DUMMYFUNCTION("""COMPUTED_VALUE"""),1180350.0)</f>
        <v>1180350</v>
      </c>
      <c r="C1529" s="14" t="str">
        <f>IFERROR(__xludf.DUMMYFUNCTION("""COMPUTED_VALUE"""),"林芸伊")</f>
        <v>林芸伊</v>
      </c>
      <c r="D1529" s="16" t="str">
        <f>IFERROR(__xludf.DUMMYFUNCTION("""COMPUTED_VALUE"""),"107*****ail.bdes.tyc.edu.tw")</f>
        <v>107*****ail.bdes.tyc.edu.tw</v>
      </c>
      <c r="E1529" s="17" t="str">
        <f>IFERROR(__xludf.DUMMYFUNCTION("""COMPUTED_VALUE"""),"桃園市八德區八德國民小學")</f>
        <v>桃園市八德區八德國民小學</v>
      </c>
      <c r="F1529" s="14" t="str">
        <f>IFERROR(__xludf.DUMMYFUNCTION("""COMPUTED_VALUE"""),"五年級")</f>
        <v>五年級</v>
      </c>
      <c r="G1529" s="14" t="str">
        <f>IFERROR(__xludf.DUMMYFUNCTION("""COMPUTED_VALUE"""),"獎狀")</f>
        <v>獎狀</v>
      </c>
      <c r="H1529" s="8"/>
    </row>
    <row r="1530">
      <c r="A1530" s="18"/>
      <c r="B1530" s="14">
        <f>IFERROR(__xludf.DUMMYFUNCTION("""COMPUTED_VALUE"""),1180326.0)</f>
        <v>1180326</v>
      </c>
      <c r="C1530" s="14" t="str">
        <f>IFERROR(__xludf.DUMMYFUNCTION("""COMPUTED_VALUE"""),"林洋辰")</f>
        <v>林洋辰</v>
      </c>
      <c r="D1530" s="16" t="str">
        <f>IFERROR(__xludf.DUMMYFUNCTION("""COMPUTED_VALUE"""),"107*****ail.bdes.tyc.edu.tw")</f>
        <v>107*****ail.bdes.tyc.edu.tw</v>
      </c>
      <c r="E1530" s="17" t="str">
        <f>IFERROR(__xludf.DUMMYFUNCTION("""COMPUTED_VALUE"""),"桃園市八德區八德國民小學")</f>
        <v>桃園市八德區八德國民小學</v>
      </c>
      <c r="F1530" s="14" t="str">
        <f>IFERROR(__xludf.DUMMYFUNCTION("""COMPUTED_VALUE"""),"五年級")</f>
        <v>五年級</v>
      </c>
      <c r="G1530" s="14" t="str">
        <f>IFERROR(__xludf.DUMMYFUNCTION("""COMPUTED_VALUE"""),"獎狀")</f>
        <v>獎狀</v>
      </c>
      <c r="H1530" s="8"/>
    </row>
    <row r="1531">
      <c r="A1531" s="18"/>
      <c r="B1531" s="14">
        <f>IFERROR(__xludf.DUMMYFUNCTION("""COMPUTED_VALUE"""),1180327.0)</f>
        <v>1180327</v>
      </c>
      <c r="C1531" s="14" t="str">
        <f>IFERROR(__xludf.DUMMYFUNCTION("""COMPUTED_VALUE"""),"林頊焞")</f>
        <v>林頊焞</v>
      </c>
      <c r="D1531" s="16" t="str">
        <f>IFERROR(__xludf.DUMMYFUNCTION("""COMPUTED_VALUE"""),"107*****ail.bdes.tyc.edu.tw")</f>
        <v>107*****ail.bdes.tyc.edu.tw</v>
      </c>
      <c r="E1531" s="17" t="str">
        <f>IFERROR(__xludf.DUMMYFUNCTION("""COMPUTED_VALUE"""),"桃園市八德區八德國民小學")</f>
        <v>桃園市八德區八德國民小學</v>
      </c>
      <c r="F1531" s="14" t="str">
        <f>IFERROR(__xludf.DUMMYFUNCTION("""COMPUTED_VALUE"""),"五年級")</f>
        <v>五年級</v>
      </c>
      <c r="G1531" s="14" t="str">
        <f>IFERROR(__xludf.DUMMYFUNCTION("""COMPUTED_VALUE"""),"獎狀")</f>
        <v>獎狀</v>
      </c>
      <c r="H1531" s="8"/>
    </row>
    <row r="1532">
      <c r="A1532" s="18"/>
      <c r="B1532" s="14">
        <f>IFERROR(__xludf.DUMMYFUNCTION("""COMPUTED_VALUE"""),1180342.0)</f>
        <v>1180342</v>
      </c>
      <c r="C1532" s="14" t="str">
        <f>IFERROR(__xludf.DUMMYFUNCTION("""COMPUTED_VALUE"""),"莊淳彗")</f>
        <v>莊淳彗</v>
      </c>
      <c r="D1532" s="16" t="str">
        <f>IFERROR(__xludf.DUMMYFUNCTION("""COMPUTED_VALUE"""),"107*****ail.bdes.tyc.edu.tw")</f>
        <v>107*****ail.bdes.tyc.edu.tw</v>
      </c>
      <c r="E1532" s="17" t="str">
        <f>IFERROR(__xludf.DUMMYFUNCTION("""COMPUTED_VALUE"""),"桃園市八德區八德國民小學")</f>
        <v>桃園市八德區八德國民小學</v>
      </c>
      <c r="F1532" s="14" t="str">
        <f>IFERROR(__xludf.DUMMYFUNCTION("""COMPUTED_VALUE"""),"五年級")</f>
        <v>五年級</v>
      </c>
      <c r="G1532" s="14" t="str">
        <f>IFERROR(__xludf.DUMMYFUNCTION("""COMPUTED_VALUE"""),"獎狀")</f>
        <v>獎狀</v>
      </c>
      <c r="H1532" s="8"/>
    </row>
    <row r="1533">
      <c r="A1533" s="18"/>
      <c r="B1533" s="14">
        <f>IFERROR(__xludf.DUMMYFUNCTION("""COMPUTED_VALUE"""),1180345.0)</f>
        <v>1180345</v>
      </c>
      <c r="C1533" s="14" t="str">
        <f>IFERROR(__xludf.DUMMYFUNCTION("""COMPUTED_VALUE"""),"陳建誠")</f>
        <v>陳建誠</v>
      </c>
      <c r="D1533" s="16" t="str">
        <f>IFERROR(__xludf.DUMMYFUNCTION("""COMPUTED_VALUE"""),"107*****ail.bdes.tyc.edu.tw")</f>
        <v>107*****ail.bdes.tyc.edu.tw</v>
      </c>
      <c r="E1533" s="17" t="str">
        <f>IFERROR(__xludf.DUMMYFUNCTION("""COMPUTED_VALUE"""),"桃園市八德區八德國民小學")</f>
        <v>桃園市八德區八德國民小學</v>
      </c>
      <c r="F1533" s="14" t="str">
        <f>IFERROR(__xludf.DUMMYFUNCTION("""COMPUTED_VALUE"""),"五年級")</f>
        <v>五年級</v>
      </c>
      <c r="G1533" s="14" t="str">
        <f>IFERROR(__xludf.DUMMYFUNCTION("""COMPUTED_VALUE"""),"獎狀")</f>
        <v>獎狀</v>
      </c>
      <c r="H1533" s="8"/>
    </row>
    <row r="1534">
      <c r="A1534" s="18"/>
      <c r="B1534" s="14">
        <f>IFERROR(__xludf.DUMMYFUNCTION("""COMPUTED_VALUE"""),1180317.0)</f>
        <v>1180317</v>
      </c>
      <c r="C1534" s="14" t="str">
        <f>IFERROR(__xludf.DUMMYFUNCTION("""COMPUTED_VALUE"""),"陳星妤")</f>
        <v>陳星妤</v>
      </c>
      <c r="D1534" s="16" t="str">
        <f>IFERROR(__xludf.DUMMYFUNCTION("""COMPUTED_VALUE"""),"107*****ail.bdes.tyc.edu.tw")</f>
        <v>107*****ail.bdes.tyc.edu.tw</v>
      </c>
      <c r="E1534" s="17" t="str">
        <f>IFERROR(__xludf.DUMMYFUNCTION("""COMPUTED_VALUE"""),"桃園市八德區八德國民小學")</f>
        <v>桃園市八德區八德國民小學</v>
      </c>
      <c r="F1534" s="14" t="str">
        <f>IFERROR(__xludf.DUMMYFUNCTION("""COMPUTED_VALUE"""),"五年級")</f>
        <v>五年級</v>
      </c>
      <c r="G1534" s="14" t="str">
        <f>IFERROR(__xludf.DUMMYFUNCTION("""COMPUTED_VALUE"""),"獎狀")</f>
        <v>獎狀</v>
      </c>
      <c r="H1534" s="8"/>
    </row>
    <row r="1535">
      <c r="A1535" s="18"/>
      <c r="B1535" s="14">
        <f>IFERROR(__xludf.DUMMYFUNCTION("""COMPUTED_VALUE"""),1180320.0)</f>
        <v>1180320</v>
      </c>
      <c r="C1535" s="14" t="str">
        <f>IFERROR(__xludf.DUMMYFUNCTION("""COMPUTED_VALUE"""),"陳畇榛")</f>
        <v>陳畇榛</v>
      </c>
      <c r="D1535" s="16" t="str">
        <f>IFERROR(__xludf.DUMMYFUNCTION("""COMPUTED_VALUE"""),"107*****ail.bdes.tyc.edu.tw")</f>
        <v>107*****ail.bdes.tyc.edu.tw</v>
      </c>
      <c r="E1535" s="17" t="str">
        <f>IFERROR(__xludf.DUMMYFUNCTION("""COMPUTED_VALUE"""),"桃園市八德區八德國民小學")</f>
        <v>桃園市八德區八德國民小學</v>
      </c>
      <c r="F1535" s="14" t="str">
        <f>IFERROR(__xludf.DUMMYFUNCTION("""COMPUTED_VALUE"""),"五年級")</f>
        <v>五年級</v>
      </c>
      <c r="G1535" s="14" t="str">
        <f>IFERROR(__xludf.DUMMYFUNCTION("""COMPUTED_VALUE"""),"獎狀")</f>
        <v>獎狀</v>
      </c>
      <c r="H1535" s="8"/>
    </row>
    <row r="1536">
      <c r="A1536" s="18"/>
      <c r="B1536" s="14">
        <f>IFERROR(__xludf.DUMMYFUNCTION("""COMPUTED_VALUE"""),1180341.0)</f>
        <v>1180341</v>
      </c>
      <c r="C1536" s="14" t="str">
        <f>IFERROR(__xludf.DUMMYFUNCTION("""COMPUTED_VALUE"""),"劉以晴")</f>
        <v>劉以晴</v>
      </c>
      <c r="D1536" s="16" t="str">
        <f>IFERROR(__xludf.DUMMYFUNCTION("""COMPUTED_VALUE"""),"107*****ail.bdes.tyc.edu.tw")</f>
        <v>107*****ail.bdes.tyc.edu.tw</v>
      </c>
      <c r="E1536" s="17" t="str">
        <f>IFERROR(__xludf.DUMMYFUNCTION("""COMPUTED_VALUE"""),"桃園市八德區八德國民小學")</f>
        <v>桃園市八德區八德國民小學</v>
      </c>
      <c r="F1536" s="14" t="str">
        <f>IFERROR(__xludf.DUMMYFUNCTION("""COMPUTED_VALUE"""),"五年級")</f>
        <v>五年級</v>
      </c>
      <c r="G1536" s="14" t="str">
        <f>IFERROR(__xludf.DUMMYFUNCTION("""COMPUTED_VALUE"""),"獎狀")</f>
        <v>獎狀</v>
      </c>
      <c r="H1536" s="8"/>
    </row>
    <row r="1537">
      <c r="A1537" s="18"/>
      <c r="B1537" s="14">
        <f>IFERROR(__xludf.DUMMYFUNCTION("""COMPUTED_VALUE"""),1180334.0)</f>
        <v>1180334</v>
      </c>
      <c r="C1537" s="14" t="str">
        <f>IFERROR(__xludf.DUMMYFUNCTION("""COMPUTED_VALUE"""),"潘彥成")</f>
        <v>潘彥成</v>
      </c>
      <c r="D1537" s="16" t="str">
        <f>IFERROR(__xludf.DUMMYFUNCTION("""COMPUTED_VALUE"""),"107*****ail.bdes.tyc.edu.tw")</f>
        <v>107*****ail.bdes.tyc.edu.tw</v>
      </c>
      <c r="E1537" s="17" t="str">
        <f>IFERROR(__xludf.DUMMYFUNCTION("""COMPUTED_VALUE"""),"桃園市八德區八德國民小學")</f>
        <v>桃園市八德區八德國民小學</v>
      </c>
      <c r="F1537" s="14" t="str">
        <f>IFERROR(__xludf.DUMMYFUNCTION("""COMPUTED_VALUE"""),"五年級")</f>
        <v>五年級</v>
      </c>
      <c r="G1537" s="14" t="str">
        <f>IFERROR(__xludf.DUMMYFUNCTION("""COMPUTED_VALUE"""),"獎狀")</f>
        <v>獎狀</v>
      </c>
      <c r="H1537" s="8"/>
    </row>
    <row r="1538">
      <c r="A1538" s="18"/>
      <c r="B1538" s="14">
        <f>IFERROR(__xludf.DUMMYFUNCTION("""COMPUTED_VALUE"""),1180355.0)</f>
        <v>1180355</v>
      </c>
      <c r="C1538" s="14" t="str">
        <f>IFERROR(__xludf.DUMMYFUNCTION("""COMPUTED_VALUE"""),"蔡言承")</f>
        <v>蔡言承</v>
      </c>
      <c r="D1538" s="16" t="str">
        <f>IFERROR(__xludf.DUMMYFUNCTION("""COMPUTED_VALUE"""),"107*****ail.bdes.tyc.edu.tw")</f>
        <v>107*****ail.bdes.tyc.edu.tw</v>
      </c>
      <c r="E1538" s="17" t="str">
        <f>IFERROR(__xludf.DUMMYFUNCTION("""COMPUTED_VALUE"""),"桃園市八德區八德國民小學")</f>
        <v>桃園市八德區八德國民小學</v>
      </c>
      <c r="F1538" s="14" t="str">
        <f>IFERROR(__xludf.DUMMYFUNCTION("""COMPUTED_VALUE"""),"五年級")</f>
        <v>五年級</v>
      </c>
      <c r="G1538" s="14" t="str">
        <f>IFERROR(__xludf.DUMMYFUNCTION("""COMPUTED_VALUE"""),"獎狀")</f>
        <v>獎狀</v>
      </c>
      <c r="H1538" s="8"/>
    </row>
    <row r="1539">
      <c r="A1539" s="18"/>
      <c r="B1539" s="14">
        <f>IFERROR(__xludf.DUMMYFUNCTION("""COMPUTED_VALUE"""),1180351.0)</f>
        <v>1180351</v>
      </c>
      <c r="C1539" s="14" t="str">
        <f>IFERROR(__xludf.DUMMYFUNCTION("""COMPUTED_VALUE"""),"蔡亞育")</f>
        <v>蔡亞育</v>
      </c>
      <c r="D1539" s="16" t="str">
        <f>IFERROR(__xludf.DUMMYFUNCTION("""COMPUTED_VALUE"""),"107*****ail.bdes.tyc.edu.tw")</f>
        <v>107*****ail.bdes.tyc.edu.tw</v>
      </c>
      <c r="E1539" s="17" t="str">
        <f>IFERROR(__xludf.DUMMYFUNCTION("""COMPUTED_VALUE"""),"桃園市八德區八德國民小學")</f>
        <v>桃園市八德區八德國民小學</v>
      </c>
      <c r="F1539" s="14" t="str">
        <f>IFERROR(__xludf.DUMMYFUNCTION("""COMPUTED_VALUE"""),"五年級")</f>
        <v>五年級</v>
      </c>
      <c r="G1539" s="14" t="str">
        <f>IFERROR(__xludf.DUMMYFUNCTION("""COMPUTED_VALUE"""),"獎狀")</f>
        <v>獎狀</v>
      </c>
      <c r="H1539" s="8"/>
    </row>
    <row r="1540">
      <c r="A1540" s="18"/>
      <c r="B1540" s="14">
        <f>IFERROR(__xludf.DUMMYFUNCTION("""COMPUTED_VALUE"""),1180347.0)</f>
        <v>1180347</v>
      </c>
      <c r="C1540" s="14" t="str">
        <f>IFERROR(__xludf.DUMMYFUNCTION("""COMPUTED_VALUE"""),"賴柏霖")</f>
        <v>賴柏霖</v>
      </c>
      <c r="D1540" s="16" t="str">
        <f>IFERROR(__xludf.DUMMYFUNCTION("""COMPUTED_VALUE"""),"107*****ail.bdes.tyc.edu.tw")</f>
        <v>107*****ail.bdes.tyc.edu.tw</v>
      </c>
      <c r="E1540" s="17" t="str">
        <f>IFERROR(__xludf.DUMMYFUNCTION("""COMPUTED_VALUE"""),"桃園市八德區八德國民小學")</f>
        <v>桃園市八德區八德國民小學</v>
      </c>
      <c r="F1540" s="14" t="str">
        <f>IFERROR(__xludf.DUMMYFUNCTION("""COMPUTED_VALUE"""),"五年級")</f>
        <v>五年級</v>
      </c>
      <c r="G1540" s="14" t="str">
        <f>IFERROR(__xludf.DUMMYFUNCTION("""COMPUTED_VALUE"""),"獎狀")</f>
        <v>獎狀</v>
      </c>
      <c r="H1540" s="8"/>
    </row>
    <row r="1541">
      <c r="A1541" s="18"/>
      <c r="B1541" s="14">
        <f>IFERROR(__xludf.DUMMYFUNCTION("""COMPUTED_VALUE"""),1180340.0)</f>
        <v>1180340</v>
      </c>
      <c r="C1541" s="14" t="str">
        <f>IFERROR(__xludf.DUMMYFUNCTION("""COMPUTED_VALUE"""),"謝淑臻")</f>
        <v>謝淑臻</v>
      </c>
      <c r="D1541" s="16" t="str">
        <f>IFERROR(__xludf.DUMMYFUNCTION("""COMPUTED_VALUE"""),"107*****ail.bdes.tyc.edu.tw")</f>
        <v>107*****ail.bdes.tyc.edu.tw</v>
      </c>
      <c r="E1541" s="17" t="str">
        <f>IFERROR(__xludf.DUMMYFUNCTION("""COMPUTED_VALUE"""),"桃園市八德區八德國民小學")</f>
        <v>桃園市八德區八德國民小學</v>
      </c>
      <c r="F1541" s="14" t="str">
        <f>IFERROR(__xludf.DUMMYFUNCTION("""COMPUTED_VALUE"""),"五年級")</f>
        <v>五年級</v>
      </c>
      <c r="G1541" s="14" t="str">
        <f>IFERROR(__xludf.DUMMYFUNCTION("""COMPUTED_VALUE"""),"獎狀")</f>
        <v>獎狀</v>
      </c>
      <c r="H1541" s="8"/>
    </row>
    <row r="1542">
      <c r="A1542" s="18"/>
      <c r="B1542" s="14">
        <f>IFERROR(__xludf.DUMMYFUNCTION("""COMPUTED_VALUE"""),1180329.0)</f>
        <v>1180329</v>
      </c>
      <c r="C1542" s="14" t="str">
        <f>IFERROR(__xludf.DUMMYFUNCTION("""COMPUTED_VALUE"""),"瞿苡安")</f>
        <v>瞿苡安</v>
      </c>
      <c r="D1542" s="16" t="str">
        <f>IFERROR(__xludf.DUMMYFUNCTION("""COMPUTED_VALUE"""),"107*****ail.bdes.tyc.edu.tw")</f>
        <v>107*****ail.bdes.tyc.edu.tw</v>
      </c>
      <c r="E1542" s="17" t="str">
        <f>IFERROR(__xludf.DUMMYFUNCTION("""COMPUTED_VALUE"""),"桃園市八德區八德國民小學")</f>
        <v>桃園市八德區八德國民小學</v>
      </c>
      <c r="F1542" s="14" t="str">
        <f>IFERROR(__xludf.DUMMYFUNCTION("""COMPUTED_VALUE"""),"五年級")</f>
        <v>五年級</v>
      </c>
      <c r="G1542" s="14" t="str">
        <f>IFERROR(__xludf.DUMMYFUNCTION("""COMPUTED_VALUE"""),"獎狀")</f>
        <v>獎狀</v>
      </c>
      <c r="H1542" s="8"/>
    </row>
    <row r="1543">
      <c r="A1543" s="18"/>
      <c r="B1543" s="14">
        <f>IFERROR(__xludf.DUMMYFUNCTION("""COMPUTED_VALUE"""),1180346.0)</f>
        <v>1180346</v>
      </c>
      <c r="C1543" s="14" t="str">
        <f>IFERROR(__xludf.DUMMYFUNCTION("""COMPUTED_VALUE"""),"顏睿暘")</f>
        <v>顏睿暘</v>
      </c>
      <c r="D1543" s="16" t="str">
        <f>IFERROR(__xludf.DUMMYFUNCTION("""COMPUTED_VALUE"""),"107*****ail.bdes.tyc.edu.tw")</f>
        <v>107*****ail.bdes.tyc.edu.tw</v>
      </c>
      <c r="E1543" s="17" t="str">
        <f>IFERROR(__xludf.DUMMYFUNCTION("""COMPUTED_VALUE"""),"桃園市八德區八德國民小學")</f>
        <v>桃園市八德區八德國民小學</v>
      </c>
      <c r="F1543" s="14" t="str">
        <f>IFERROR(__xludf.DUMMYFUNCTION("""COMPUTED_VALUE"""),"五年級")</f>
        <v>五年級</v>
      </c>
      <c r="G1543" s="14" t="str">
        <f>IFERROR(__xludf.DUMMYFUNCTION("""COMPUTED_VALUE"""),"獎狀")</f>
        <v>獎狀</v>
      </c>
      <c r="H1543" s="8"/>
    </row>
    <row r="1544">
      <c r="A1544" s="18"/>
      <c r="B1544" s="14">
        <f>IFERROR(__xludf.DUMMYFUNCTION("""COMPUTED_VALUE"""),1180356.0)</f>
        <v>1180356</v>
      </c>
      <c r="C1544" s="14" t="str">
        <f>IFERROR(__xludf.DUMMYFUNCTION("""COMPUTED_VALUE"""),"魏國桐")</f>
        <v>魏國桐</v>
      </c>
      <c r="D1544" s="16" t="str">
        <f>IFERROR(__xludf.DUMMYFUNCTION("""COMPUTED_VALUE"""),"107*****ail.bdes.tyc.edu.tw")</f>
        <v>107*****ail.bdes.tyc.edu.tw</v>
      </c>
      <c r="E1544" s="17" t="str">
        <f>IFERROR(__xludf.DUMMYFUNCTION("""COMPUTED_VALUE"""),"桃園市八德區八德國民小學")</f>
        <v>桃園市八德區八德國民小學</v>
      </c>
      <c r="F1544" s="14" t="str">
        <f>IFERROR(__xludf.DUMMYFUNCTION("""COMPUTED_VALUE"""),"五年級")</f>
        <v>五年級</v>
      </c>
      <c r="G1544" s="14" t="str">
        <f>IFERROR(__xludf.DUMMYFUNCTION("""COMPUTED_VALUE"""),"獎狀")</f>
        <v>獎狀</v>
      </c>
      <c r="H1544" s="8"/>
    </row>
    <row r="1545">
      <c r="A1545" s="18"/>
      <c r="B1545" s="14">
        <f>IFERROR(__xludf.DUMMYFUNCTION("""COMPUTED_VALUE"""),1182623.0)</f>
        <v>1182623</v>
      </c>
      <c r="C1545" s="14" t="str">
        <f>IFERROR(__xludf.DUMMYFUNCTION("""COMPUTED_VALUE"""),"王浚豪")</f>
        <v>王浚豪</v>
      </c>
      <c r="D1545" s="16" t="str">
        <f>IFERROR(__xludf.DUMMYFUNCTION("""COMPUTED_VALUE"""),"107*****ail.bdes.tyc.edu.tw")</f>
        <v>107*****ail.bdes.tyc.edu.tw</v>
      </c>
      <c r="E1545" s="17" t="str">
        <f>IFERROR(__xludf.DUMMYFUNCTION("""COMPUTED_VALUE"""),"桃園市八德區八德國民小學")</f>
        <v>桃園市八德區八德國民小學</v>
      </c>
      <c r="F1545" s="14" t="str">
        <f>IFERROR(__xludf.DUMMYFUNCTION("""COMPUTED_VALUE"""),"五年級")</f>
        <v>五年級</v>
      </c>
      <c r="G1545" s="14" t="str">
        <f>IFERROR(__xludf.DUMMYFUNCTION("""COMPUTED_VALUE"""),"●小禮物")</f>
        <v>●小禮物</v>
      </c>
      <c r="H1545" s="8"/>
    </row>
    <row r="1546">
      <c r="A1546" s="18"/>
      <c r="B1546" s="14">
        <f>IFERROR(__xludf.DUMMYFUNCTION("""COMPUTED_VALUE"""),1182612.0)</f>
        <v>1182612</v>
      </c>
      <c r="C1546" s="14" t="str">
        <f>IFERROR(__xludf.DUMMYFUNCTION("""COMPUTED_VALUE"""),"余奕萱")</f>
        <v>余奕萱</v>
      </c>
      <c r="D1546" s="16" t="str">
        <f>IFERROR(__xludf.DUMMYFUNCTION("""COMPUTED_VALUE"""),"107*****ail.bdes.tyc.edu.tw")</f>
        <v>107*****ail.bdes.tyc.edu.tw</v>
      </c>
      <c r="E1546" s="17" t="str">
        <f>IFERROR(__xludf.DUMMYFUNCTION("""COMPUTED_VALUE"""),"桃園市八德區八德國民小學")</f>
        <v>桃園市八德區八德國民小學</v>
      </c>
      <c r="F1546" s="14" t="str">
        <f>IFERROR(__xludf.DUMMYFUNCTION("""COMPUTED_VALUE"""),"五年級")</f>
        <v>五年級</v>
      </c>
      <c r="G1546" s="14" t="str">
        <f>IFERROR(__xludf.DUMMYFUNCTION("""COMPUTED_VALUE"""),"●小禮物")</f>
        <v>●小禮物</v>
      </c>
      <c r="H1546" s="8"/>
    </row>
    <row r="1547">
      <c r="A1547" s="18"/>
      <c r="B1547" s="14">
        <f>IFERROR(__xludf.DUMMYFUNCTION("""COMPUTED_VALUE"""),1182615.0)</f>
        <v>1182615</v>
      </c>
      <c r="C1547" s="14" t="str">
        <f>IFERROR(__xludf.DUMMYFUNCTION("""COMPUTED_VALUE"""),"林彥池")</f>
        <v>林彥池</v>
      </c>
      <c r="D1547" s="16" t="str">
        <f>IFERROR(__xludf.DUMMYFUNCTION("""COMPUTED_VALUE"""),"107*****ail.bdes.tyc.edu.tw")</f>
        <v>107*****ail.bdes.tyc.edu.tw</v>
      </c>
      <c r="E1547" s="17" t="str">
        <f>IFERROR(__xludf.DUMMYFUNCTION("""COMPUTED_VALUE"""),"桃園市八德區八德國民小學")</f>
        <v>桃園市八德區八德國民小學</v>
      </c>
      <c r="F1547" s="14" t="str">
        <f>IFERROR(__xludf.DUMMYFUNCTION("""COMPUTED_VALUE"""),"五年級")</f>
        <v>五年級</v>
      </c>
      <c r="G1547" s="14" t="str">
        <f>IFERROR(__xludf.DUMMYFUNCTION("""COMPUTED_VALUE"""),"●小禮物")</f>
        <v>●小禮物</v>
      </c>
      <c r="H1547" s="8"/>
    </row>
    <row r="1548">
      <c r="A1548" s="18"/>
      <c r="B1548" s="14">
        <f>IFERROR(__xludf.DUMMYFUNCTION("""COMPUTED_VALUE"""),1182592.0)</f>
        <v>1182592</v>
      </c>
      <c r="C1548" s="14" t="str">
        <f>IFERROR(__xludf.DUMMYFUNCTION("""COMPUTED_VALUE"""),"凃尹璇")</f>
        <v>凃尹璇</v>
      </c>
      <c r="D1548" s="16" t="str">
        <f>IFERROR(__xludf.DUMMYFUNCTION("""COMPUTED_VALUE"""),"107*****ail.bdes.tyc.edu.tw")</f>
        <v>107*****ail.bdes.tyc.edu.tw</v>
      </c>
      <c r="E1548" s="17" t="str">
        <f>IFERROR(__xludf.DUMMYFUNCTION("""COMPUTED_VALUE"""),"桃園市八德區八德國民小學")</f>
        <v>桃園市八德區八德國民小學</v>
      </c>
      <c r="F1548" s="14" t="str">
        <f>IFERROR(__xludf.DUMMYFUNCTION("""COMPUTED_VALUE"""),"五年級")</f>
        <v>五年級</v>
      </c>
      <c r="G1548" s="14" t="str">
        <f>IFERROR(__xludf.DUMMYFUNCTION("""COMPUTED_VALUE"""),"●小禮物")</f>
        <v>●小禮物</v>
      </c>
      <c r="H1548" s="8"/>
    </row>
    <row r="1549">
      <c r="A1549" s="18"/>
      <c r="B1549" s="14">
        <f>IFERROR(__xludf.DUMMYFUNCTION("""COMPUTED_VALUE"""),1182634.0)</f>
        <v>1182634</v>
      </c>
      <c r="C1549" s="14" t="str">
        <f>IFERROR(__xludf.DUMMYFUNCTION("""COMPUTED_VALUE"""),"莊晴")</f>
        <v>莊晴</v>
      </c>
      <c r="D1549" s="16" t="str">
        <f>IFERROR(__xludf.DUMMYFUNCTION("""COMPUTED_VALUE"""),"107*****ail.bdes.tyc.edu.tw")</f>
        <v>107*****ail.bdes.tyc.edu.tw</v>
      </c>
      <c r="E1549" s="17" t="str">
        <f>IFERROR(__xludf.DUMMYFUNCTION("""COMPUTED_VALUE"""),"桃園市八德區八德國民小學")</f>
        <v>桃園市八德區八德國民小學</v>
      </c>
      <c r="F1549" s="14" t="str">
        <f>IFERROR(__xludf.DUMMYFUNCTION("""COMPUTED_VALUE"""),"五年級")</f>
        <v>五年級</v>
      </c>
      <c r="G1549" s="14" t="str">
        <f>IFERROR(__xludf.DUMMYFUNCTION("""COMPUTED_VALUE"""),"●小禮物")</f>
        <v>●小禮物</v>
      </c>
      <c r="H1549" s="8"/>
    </row>
    <row r="1550">
      <c r="A1550" s="18"/>
      <c r="B1550" s="14">
        <f>IFERROR(__xludf.DUMMYFUNCTION("""COMPUTED_VALUE"""),1182632.0)</f>
        <v>1182632</v>
      </c>
      <c r="C1550" s="14" t="str">
        <f>IFERROR(__xludf.DUMMYFUNCTION("""COMPUTED_VALUE"""),"劉至晴")</f>
        <v>劉至晴</v>
      </c>
      <c r="D1550" s="16" t="str">
        <f>IFERROR(__xludf.DUMMYFUNCTION("""COMPUTED_VALUE"""),"107*****ail.bdes.tyc.edu.tw")</f>
        <v>107*****ail.bdes.tyc.edu.tw</v>
      </c>
      <c r="E1550" s="17" t="str">
        <f>IFERROR(__xludf.DUMMYFUNCTION("""COMPUTED_VALUE"""),"桃園市八德區八德國民小學")</f>
        <v>桃園市八德區八德國民小學</v>
      </c>
      <c r="F1550" s="14" t="str">
        <f>IFERROR(__xludf.DUMMYFUNCTION("""COMPUTED_VALUE"""),"五年級")</f>
        <v>五年級</v>
      </c>
      <c r="G1550" s="14" t="str">
        <f>IFERROR(__xludf.DUMMYFUNCTION("""COMPUTED_VALUE"""),"●小禮物")</f>
        <v>●小禮物</v>
      </c>
      <c r="H1550" s="8"/>
    </row>
    <row r="1551">
      <c r="A1551" s="18"/>
      <c r="B1551" s="14">
        <f>IFERROR(__xludf.DUMMYFUNCTION("""COMPUTED_VALUE"""),1182594.0)</f>
        <v>1182594</v>
      </c>
      <c r="C1551" s="14" t="str">
        <f>IFERROR(__xludf.DUMMYFUNCTION("""COMPUTED_VALUE"""),"潘家寶")</f>
        <v>潘家寶</v>
      </c>
      <c r="D1551" s="16" t="str">
        <f>IFERROR(__xludf.DUMMYFUNCTION("""COMPUTED_VALUE"""),"107*****ail.bdes.tyc.edu.tw")</f>
        <v>107*****ail.bdes.tyc.edu.tw</v>
      </c>
      <c r="E1551" s="17" t="str">
        <f>IFERROR(__xludf.DUMMYFUNCTION("""COMPUTED_VALUE"""),"桃園市八德區八德國民小學")</f>
        <v>桃園市八德區八德國民小學</v>
      </c>
      <c r="F1551" s="14" t="str">
        <f>IFERROR(__xludf.DUMMYFUNCTION("""COMPUTED_VALUE"""),"五年級")</f>
        <v>五年級</v>
      </c>
      <c r="G1551" s="14" t="str">
        <f>IFERROR(__xludf.DUMMYFUNCTION("""COMPUTED_VALUE"""),"●小禮物")</f>
        <v>●小禮物</v>
      </c>
      <c r="H1551" s="8"/>
    </row>
    <row r="1552">
      <c r="A1552" s="18"/>
      <c r="B1552" s="14">
        <f>IFERROR(__xludf.DUMMYFUNCTION("""COMPUTED_VALUE"""),1182629.0)</f>
        <v>1182629</v>
      </c>
      <c r="C1552" s="14" t="str">
        <f>IFERROR(__xludf.DUMMYFUNCTION("""COMPUTED_VALUE"""),"賴欣彤")</f>
        <v>賴欣彤</v>
      </c>
      <c r="D1552" s="16" t="str">
        <f>IFERROR(__xludf.DUMMYFUNCTION("""COMPUTED_VALUE"""),"107*****ail.bdes.tyc.edu.tw")</f>
        <v>107*****ail.bdes.tyc.edu.tw</v>
      </c>
      <c r="E1552" s="17" t="str">
        <f>IFERROR(__xludf.DUMMYFUNCTION("""COMPUTED_VALUE"""),"桃園市八德區八德國民小學")</f>
        <v>桃園市八德區八德國民小學</v>
      </c>
      <c r="F1552" s="14" t="str">
        <f>IFERROR(__xludf.DUMMYFUNCTION("""COMPUTED_VALUE"""),"五年級")</f>
        <v>五年級</v>
      </c>
      <c r="G1552" s="14" t="str">
        <f>IFERROR(__xludf.DUMMYFUNCTION("""COMPUTED_VALUE"""),"●小禮物")</f>
        <v>●小禮物</v>
      </c>
      <c r="H1552" s="8"/>
    </row>
    <row r="1553">
      <c r="A1553" s="18"/>
      <c r="B1553" s="14">
        <f>IFERROR(__xludf.DUMMYFUNCTION("""COMPUTED_VALUE"""),1182611.0)</f>
        <v>1182611</v>
      </c>
      <c r="C1553" s="14" t="str">
        <f>IFERROR(__xludf.DUMMYFUNCTION("""COMPUTED_VALUE"""),"陳炫儒")</f>
        <v>陳炫儒</v>
      </c>
      <c r="D1553" s="16" t="str">
        <f>IFERROR(__xludf.DUMMYFUNCTION("""COMPUTED_VALUE"""),"107*****ail.bdes.tyc.edu.tw")</f>
        <v>107*****ail.bdes.tyc.edu.tw</v>
      </c>
      <c r="E1553" s="17" t="str">
        <f>IFERROR(__xludf.DUMMYFUNCTION("""COMPUTED_VALUE"""),"桃園市八德區八德國民小學")</f>
        <v>桃園市八德區八德國民小學</v>
      </c>
      <c r="F1553" s="14" t="str">
        <f>IFERROR(__xludf.DUMMYFUNCTION("""COMPUTED_VALUE"""),"五年級")</f>
        <v>五年級</v>
      </c>
      <c r="G1553" s="14" t="str">
        <f>IFERROR(__xludf.DUMMYFUNCTION("""COMPUTED_VALUE"""),"★禮券$200")</f>
        <v>★禮券$200</v>
      </c>
      <c r="H1553" s="8"/>
    </row>
    <row r="1554">
      <c r="A1554" s="18"/>
      <c r="B1554" s="14">
        <f>IFERROR(__xludf.DUMMYFUNCTION("""COMPUTED_VALUE"""),1182658.0)</f>
        <v>1182658</v>
      </c>
      <c r="C1554" s="14" t="str">
        <f>IFERROR(__xludf.DUMMYFUNCTION("""COMPUTED_VALUE"""),"陳楷畯")</f>
        <v>陳楷畯</v>
      </c>
      <c r="D1554" s="16" t="str">
        <f>IFERROR(__xludf.DUMMYFUNCTION("""COMPUTED_VALUE"""),"107*****ail.bdes.tyc.edu.tw")</f>
        <v>107*****ail.bdes.tyc.edu.tw</v>
      </c>
      <c r="E1554" s="17" t="str">
        <f>IFERROR(__xludf.DUMMYFUNCTION("""COMPUTED_VALUE"""),"桃園市八德區八德國民小學")</f>
        <v>桃園市八德區八德國民小學</v>
      </c>
      <c r="F1554" s="14" t="str">
        <f>IFERROR(__xludf.DUMMYFUNCTION("""COMPUTED_VALUE"""),"五年級")</f>
        <v>五年級</v>
      </c>
      <c r="G1554" s="14" t="str">
        <f>IFERROR(__xludf.DUMMYFUNCTION("""COMPUTED_VALUE"""),"★禮券$200")</f>
        <v>★禮券$200</v>
      </c>
      <c r="H1554" s="8"/>
    </row>
    <row r="1555">
      <c r="A1555" s="18"/>
      <c r="B1555" s="14">
        <f>IFERROR(__xludf.DUMMYFUNCTION("""COMPUTED_VALUE"""),1182616.0)</f>
        <v>1182616</v>
      </c>
      <c r="C1555" s="14" t="str">
        <f>IFERROR(__xludf.DUMMYFUNCTION("""COMPUTED_VALUE"""),"施于歆")</f>
        <v>施于歆</v>
      </c>
      <c r="D1555" s="16" t="str">
        <f>IFERROR(__xludf.DUMMYFUNCTION("""COMPUTED_VALUE"""),"107*****ail.bdes.tyc.edu.tw")</f>
        <v>107*****ail.bdes.tyc.edu.tw</v>
      </c>
      <c r="E1555" s="17" t="str">
        <f>IFERROR(__xludf.DUMMYFUNCTION("""COMPUTED_VALUE"""),"桃園市八德區八德國民小學")</f>
        <v>桃園市八德區八德國民小學</v>
      </c>
      <c r="F1555" s="14" t="str">
        <f>IFERROR(__xludf.DUMMYFUNCTION("""COMPUTED_VALUE"""),"五年級")</f>
        <v>五年級</v>
      </c>
      <c r="G1555" s="14" t="str">
        <f>IFERROR(__xludf.DUMMYFUNCTION("""COMPUTED_VALUE"""),"★禮券$500")</f>
        <v>★禮券$500</v>
      </c>
      <c r="H1555" s="8"/>
    </row>
    <row r="1556">
      <c r="A1556" s="18"/>
      <c r="B1556" s="14">
        <f>IFERROR(__xludf.DUMMYFUNCTION("""COMPUTED_VALUE"""),1182613.0)</f>
        <v>1182613</v>
      </c>
      <c r="C1556" s="14" t="str">
        <f>IFERROR(__xludf.DUMMYFUNCTION("""COMPUTED_VALUE"""),"高沛淇")</f>
        <v>高沛淇</v>
      </c>
      <c r="D1556" s="16" t="str">
        <f>IFERROR(__xludf.DUMMYFUNCTION("""COMPUTED_VALUE"""),"107*****ail.bdes.tyc.edu.tw")</f>
        <v>107*****ail.bdes.tyc.edu.tw</v>
      </c>
      <c r="E1556" s="17" t="str">
        <f>IFERROR(__xludf.DUMMYFUNCTION("""COMPUTED_VALUE"""),"桃園市八德區八德國民小學")</f>
        <v>桃園市八德區八德國民小學</v>
      </c>
      <c r="F1556" s="14" t="str">
        <f>IFERROR(__xludf.DUMMYFUNCTION("""COMPUTED_VALUE"""),"五年級")</f>
        <v>五年級</v>
      </c>
      <c r="G1556" s="14" t="str">
        <f>IFERROR(__xludf.DUMMYFUNCTION("""COMPUTED_VALUE"""),"★禮券$500")</f>
        <v>★禮券$500</v>
      </c>
      <c r="H1556" s="8"/>
    </row>
    <row r="1557">
      <c r="A1557" s="18"/>
      <c r="B1557" s="14">
        <f>IFERROR(__xludf.DUMMYFUNCTION("""COMPUTED_VALUE"""),1182617.0)</f>
        <v>1182617</v>
      </c>
      <c r="C1557" s="14" t="str">
        <f>IFERROR(__xludf.DUMMYFUNCTION("""COMPUTED_VALUE"""),"左秉晏")</f>
        <v>左秉晏</v>
      </c>
      <c r="D1557" s="16" t="str">
        <f>IFERROR(__xludf.DUMMYFUNCTION("""COMPUTED_VALUE"""),"107*****ail.bdes.tyc.edu.tw")</f>
        <v>107*****ail.bdes.tyc.edu.tw</v>
      </c>
      <c r="E1557" s="17" t="str">
        <f>IFERROR(__xludf.DUMMYFUNCTION("""COMPUTED_VALUE"""),"桃園市八德區八德國民小學")</f>
        <v>桃園市八德區八德國民小學</v>
      </c>
      <c r="F1557" s="14" t="str">
        <f>IFERROR(__xludf.DUMMYFUNCTION("""COMPUTED_VALUE"""),"五年級")</f>
        <v>五年級</v>
      </c>
      <c r="G1557" s="14" t="str">
        <f>IFERROR(__xludf.DUMMYFUNCTION("""COMPUTED_VALUE"""),"獎狀")</f>
        <v>獎狀</v>
      </c>
      <c r="H1557" s="8"/>
    </row>
    <row r="1558">
      <c r="A1558" s="18"/>
      <c r="B1558" s="14">
        <f>IFERROR(__xludf.DUMMYFUNCTION("""COMPUTED_VALUE"""),1182639.0)</f>
        <v>1182639</v>
      </c>
      <c r="C1558" s="14" t="str">
        <f>IFERROR(__xludf.DUMMYFUNCTION("""COMPUTED_VALUE"""),"李弘仁")</f>
        <v>李弘仁</v>
      </c>
      <c r="D1558" s="16" t="str">
        <f>IFERROR(__xludf.DUMMYFUNCTION("""COMPUTED_VALUE"""),"107*****ail.bdes.tyc.edu.tw")</f>
        <v>107*****ail.bdes.tyc.edu.tw</v>
      </c>
      <c r="E1558" s="17" t="str">
        <f>IFERROR(__xludf.DUMMYFUNCTION("""COMPUTED_VALUE"""),"桃園市八德區八德國民小學")</f>
        <v>桃園市八德區八德國民小學</v>
      </c>
      <c r="F1558" s="14" t="str">
        <f>IFERROR(__xludf.DUMMYFUNCTION("""COMPUTED_VALUE"""),"五年級")</f>
        <v>五年級</v>
      </c>
      <c r="G1558" s="14" t="str">
        <f>IFERROR(__xludf.DUMMYFUNCTION("""COMPUTED_VALUE"""),"獎狀")</f>
        <v>獎狀</v>
      </c>
      <c r="H1558" s="8"/>
    </row>
    <row r="1559">
      <c r="A1559" s="18"/>
      <c r="B1559" s="14">
        <f>IFERROR(__xludf.DUMMYFUNCTION("""COMPUTED_VALUE"""),1182630.0)</f>
        <v>1182630</v>
      </c>
      <c r="C1559" s="14" t="str">
        <f>IFERROR(__xludf.DUMMYFUNCTION("""COMPUTED_VALUE"""),"陳君碩")</f>
        <v>陳君碩</v>
      </c>
      <c r="D1559" s="16" t="str">
        <f>IFERROR(__xludf.DUMMYFUNCTION("""COMPUTED_VALUE"""),"107*****ail.bdes.tyc.edu.tw")</f>
        <v>107*****ail.bdes.tyc.edu.tw</v>
      </c>
      <c r="E1559" s="17" t="str">
        <f>IFERROR(__xludf.DUMMYFUNCTION("""COMPUTED_VALUE"""),"桃園市八德區八德國民小學")</f>
        <v>桃園市八德區八德國民小學</v>
      </c>
      <c r="F1559" s="14" t="str">
        <f>IFERROR(__xludf.DUMMYFUNCTION("""COMPUTED_VALUE"""),"五年級")</f>
        <v>五年級</v>
      </c>
      <c r="G1559" s="14" t="str">
        <f>IFERROR(__xludf.DUMMYFUNCTION("""COMPUTED_VALUE"""),"獎狀")</f>
        <v>獎狀</v>
      </c>
      <c r="H1559" s="8"/>
    </row>
    <row r="1560">
      <c r="A1560" s="18"/>
      <c r="B1560" s="14">
        <f>IFERROR(__xludf.DUMMYFUNCTION("""COMPUTED_VALUE"""),1182624.0)</f>
        <v>1182624</v>
      </c>
      <c r="C1560" s="14" t="str">
        <f>IFERROR(__xludf.DUMMYFUNCTION("""COMPUTED_VALUE"""),"陳彥廷")</f>
        <v>陳彥廷</v>
      </c>
      <c r="D1560" s="16" t="str">
        <f>IFERROR(__xludf.DUMMYFUNCTION("""COMPUTED_VALUE"""),"107*****ail.bdes.tyc.edu.tw")</f>
        <v>107*****ail.bdes.tyc.edu.tw</v>
      </c>
      <c r="E1560" s="17" t="str">
        <f>IFERROR(__xludf.DUMMYFUNCTION("""COMPUTED_VALUE"""),"桃園市八德區八德國民小學")</f>
        <v>桃園市八德區八德國民小學</v>
      </c>
      <c r="F1560" s="14" t="str">
        <f>IFERROR(__xludf.DUMMYFUNCTION("""COMPUTED_VALUE"""),"五年級")</f>
        <v>五年級</v>
      </c>
      <c r="G1560" s="14" t="str">
        <f>IFERROR(__xludf.DUMMYFUNCTION("""COMPUTED_VALUE"""),"獎狀")</f>
        <v>獎狀</v>
      </c>
      <c r="H1560" s="8"/>
    </row>
    <row r="1561">
      <c r="A1561" s="18"/>
      <c r="B1561" s="14">
        <f>IFERROR(__xludf.DUMMYFUNCTION("""COMPUTED_VALUE"""),1182620.0)</f>
        <v>1182620</v>
      </c>
      <c r="C1561" s="14" t="str">
        <f>IFERROR(__xludf.DUMMYFUNCTION("""COMPUTED_VALUE"""),"陳映羽")</f>
        <v>陳映羽</v>
      </c>
      <c r="D1561" s="16" t="str">
        <f>IFERROR(__xludf.DUMMYFUNCTION("""COMPUTED_VALUE"""),"107*****ail.bdes.tyc.edu.tw")</f>
        <v>107*****ail.bdes.tyc.edu.tw</v>
      </c>
      <c r="E1561" s="17" t="str">
        <f>IFERROR(__xludf.DUMMYFUNCTION("""COMPUTED_VALUE"""),"桃園市八德區八德國民小學")</f>
        <v>桃園市八德區八德國民小學</v>
      </c>
      <c r="F1561" s="14" t="str">
        <f>IFERROR(__xludf.DUMMYFUNCTION("""COMPUTED_VALUE"""),"五年級")</f>
        <v>五年級</v>
      </c>
      <c r="G1561" s="14" t="str">
        <f>IFERROR(__xludf.DUMMYFUNCTION("""COMPUTED_VALUE"""),"獎狀")</f>
        <v>獎狀</v>
      </c>
      <c r="H1561" s="8"/>
    </row>
    <row r="1562">
      <c r="A1562" s="18"/>
      <c r="B1562" s="14">
        <f>IFERROR(__xludf.DUMMYFUNCTION("""COMPUTED_VALUE"""),1182614.0)</f>
        <v>1182614</v>
      </c>
      <c r="C1562" s="14" t="str">
        <f>IFERROR(__xludf.DUMMYFUNCTION("""COMPUTED_VALUE"""),"游翊柔")</f>
        <v>游翊柔</v>
      </c>
      <c r="D1562" s="16" t="str">
        <f>IFERROR(__xludf.DUMMYFUNCTION("""COMPUTED_VALUE"""),"107*****ail.bdes.tyc.edu.tw")</f>
        <v>107*****ail.bdes.tyc.edu.tw</v>
      </c>
      <c r="E1562" s="17" t="str">
        <f>IFERROR(__xludf.DUMMYFUNCTION("""COMPUTED_VALUE"""),"桃園市八德區八德國民小學")</f>
        <v>桃園市八德區八德國民小學</v>
      </c>
      <c r="F1562" s="14" t="str">
        <f>IFERROR(__xludf.DUMMYFUNCTION("""COMPUTED_VALUE"""),"五年級")</f>
        <v>五年級</v>
      </c>
      <c r="G1562" s="14" t="str">
        <f>IFERROR(__xludf.DUMMYFUNCTION("""COMPUTED_VALUE"""),"獎狀")</f>
        <v>獎狀</v>
      </c>
      <c r="H1562" s="8"/>
    </row>
    <row r="1563">
      <c r="A1563" s="18"/>
      <c r="B1563" s="14">
        <f>IFERROR(__xludf.DUMMYFUNCTION("""COMPUTED_VALUE"""),1182633.0)</f>
        <v>1182633</v>
      </c>
      <c r="C1563" s="14" t="str">
        <f>IFERROR(__xludf.DUMMYFUNCTION("""COMPUTED_VALUE"""),"黃俞瑾")</f>
        <v>黃俞瑾</v>
      </c>
      <c r="D1563" s="16" t="str">
        <f>IFERROR(__xludf.DUMMYFUNCTION("""COMPUTED_VALUE"""),"107*****ail.bdes.tyc.edu.tw")</f>
        <v>107*****ail.bdes.tyc.edu.tw</v>
      </c>
      <c r="E1563" s="17" t="str">
        <f>IFERROR(__xludf.DUMMYFUNCTION("""COMPUTED_VALUE"""),"桃園市八德區八德國民小學")</f>
        <v>桃園市八德區八德國民小學</v>
      </c>
      <c r="F1563" s="14" t="str">
        <f>IFERROR(__xludf.DUMMYFUNCTION("""COMPUTED_VALUE"""),"五年級")</f>
        <v>五年級</v>
      </c>
      <c r="G1563" s="14" t="str">
        <f>IFERROR(__xludf.DUMMYFUNCTION("""COMPUTED_VALUE"""),"獎狀")</f>
        <v>獎狀</v>
      </c>
      <c r="H1563" s="8"/>
    </row>
    <row r="1564">
      <c r="A1564" s="18"/>
      <c r="B1564" s="14">
        <f>IFERROR(__xludf.DUMMYFUNCTION("""COMPUTED_VALUE"""),1182635.0)</f>
        <v>1182635</v>
      </c>
      <c r="C1564" s="14" t="str">
        <f>IFERROR(__xludf.DUMMYFUNCTION("""COMPUTED_VALUE"""),"蔡采玓")</f>
        <v>蔡采玓</v>
      </c>
      <c r="D1564" s="16" t="str">
        <f>IFERROR(__xludf.DUMMYFUNCTION("""COMPUTED_VALUE"""),"107*****ail.bdes.tyc.edu.tw")</f>
        <v>107*****ail.bdes.tyc.edu.tw</v>
      </c>
      <c r="E1564" s="17" t="str">
        <f>IFERROR(__xludf.DUMMYFUNCTION("""COMPUTED_VALUE"""),"桃園市八德區八德國民小學")</f>
        <v>桃園市八德區八德國民小學</v>
      </c>
      <c r="F1564" s="14" t="str">
        <f>IFERROR(__xludf.DUMMYFUNCTION("""COMPUTED_VALUE"""),"五年級")</f>
        <v>五年級</v>
      </c>
      <c r="G1564" s="14" t="str">
        <f>IFERROR(__xludf.DUMMYFUNCTION("""COMPUTED_VALUE"""),"獎狀")</f>
        <v>獎狀</v>
      </c>
      <c r="H1564" s="8"/>
    </row>
    <row r="1565">
      <c r="A1565" s="18"/>
      <c r="B1565" s="14">
        <f>IFERROR(__xludf.DUMMYFUNCTION("""COMPUTED_VALUE"""),1182619.0)</f>
        <v>1182619</v>
      </c>
      <c r="C1565" s="14" t="str">
        <f>IFERROR(__xludf.DUMMYFUNCTION("""COMPUTED_VALUE"""),"蕭丞均")</f>
        <v>蕭丞均</v>
      </c>
      <c r="D1565" s="16" t="str">
        <f>IFERROR(__xludf.DUMMYFUNCTION("""COMPUTED_VALUE"""),"107*****ail.bdes.tyc.edu.tw")</f>
        <v>107*****ail.bdes.tyc.edu.tw</v>
      </c>
      <c r="E1565" s="17" t="str">
        <f>IFERROR(__xludf.DUMMYFUNCTION("""COMPUTED_VALUE"""),"桃園市八德區八德國民小學")</f>
        <v>桃園市八德區八德國民小學</v>
      </c>
      <c r="F1565" s="14" t="str">
        <f>IFERROR(__xludf.DUMMYFUNCTION("""COMPUTED_VALUE"""),"五年級")</f>
        <v>五年級</v>
      </c>
      <c r="G1565" s="14" t="str">
        <f>IFERROR(__xludf.DUMMYFUNCTION("""COMPUTED_VALUE"""),"獎狀")</f>
        <v>獎狀</v>
      </c>
      <c r="H1565" s="8"/>
    </row>
    <row r="1566">
      <c r="A1566" s="18"/>
      <c r="B1566" s="14">
        <f>IFERROR(__xludf.DUMMYFUNCTION("""COMPUTED_VALUE"""),1182621.0)</f>
        <v>1182621</v>
      </c>
      <c r="C1566" s="14" t="str">
        <f>IFERROR(__xludf.DUMMYFUNCTION("""COMPUTED_VALUE"""),"簡亞威")</f>
        <v>簡亞威</v>
      </c>
      <c r="D1566" s="16" t="str">
        <f>IFERROR(__xludf.DUMMYFUNCTION("""COMPUTED_VALUE"""),"107*****ail.bdes.tyc.edu.tw")</f>
        <v>107*****ail.bdes.tyc.edu.tw</v>
      </c>
      <c r="E1566" s="17" t="str">
        <f>IFERROR(__xludf.DUMMYFUNCTION("""COMPUTED_VALUE"""),"桃園市八德區八德國民小學")</f>
        <v>桃園市八德區八德國民小學</v>
      </c>
      <c r="F1566" s="14" t="str">
        <f>IFERROR(__xludf.DUMMYFUNCTION("""COMPUTED_VALUE"""),"五年級")</f>
        <v>五年級</v>
      </c>
      <c r="G1566" s="14" t="str">
        <f>IFERROR(__xludf.DUMMYFUNCTION("""COMPUTED_VALUE"""),"獎狀")</f>
        <v>獎狀</v>
      </c>
      <c r="H1566" s="8"/>
    </row>
    <row r="1567">
      <c r="A1567" s="18"/>
      <c r="B1567" s="14">
        <f>IFERROR(__xludf.DUMMYFUNCTION("""COMPUTED_VALUE"""),1182622.0)</f>
        <v>1182622</v>
      </c>
      <c r="C1567" s="14" t="str">
        <f>IFERROR(__xludf.DUMMYFUNCTION("""COMPUTED_VALUE"""),"蘇苡愛")</f>
        <v>蘇苡愛</v>
      </c>
      <c r="D1567" s="16" t="str">
        <f>IFERROR(__xludf.DUMMYFUNCTION("""COMPUTED_VALUE"""),"107*****ail.bdes.tyc.edu.tw")</f>
        <v>107*****ail.bdes.tyc.edu.tw</v>
      </c>
      <c r="E1567" s="17" t="str">
        <f>IFERROR(__xludf.DUMMYFUNCTION("""COMPUTED_VALUE"""),"桃園市八德區八德國民小學")</f>
        <v>桃園市八德區八德國民小學</v>
      </c>
      <c r="F1567" s="14" t="str">
        <f>IFERROR(__xludf.DUMMYFUNCTION("""COMPUTED_VALUE"""),"五年級")</f>
        <v>五年級</v>
      </c>
      <c r="G1567" s="14" t="str">
        <f>IFERROR(__xludf.DUMMYFUNCTION("""COMPUTED_VALUE"""),"獎狀")</f>
        <v>獎狀</v>
      </c>
      <c r="H1567" s="8"/>
    </row>
    <row r="1568">
      <c r="A1568" s="18"/>
      <c r="B1568" s="14">
        <f>IFERROR(__xludf.DUMMYFUNCTION("""COMPUTED_VALUE"""),1180525.0)</f>
        <v>1180525</v>
      </c>
      <c r="C1568" s="14" t="str">
        <f>IFERROR(__xludf.DUMMYFUNCTION("""COMPUTED_VALUE"""),"吳崇維")</f>
        <v>吳崇維</v>
      </c>
      <c r="D1568" s="16" t="str">
        <f>IFERROR(__xludf.DUMMYFUNCTION("""COMPUTED_VALUE"""),"107*****ail.bdes.tyc.edu.tw")</f>
        <v>107*****ail.bdes.tyc.edu.tw</v>
      </c>
      <c r="E1568" s="17" t="str">
        <f>IFERROR(__xludf.DUMMYFUNCTION("""COMPUTED_VALUE"""),"桃園市八德區八德國民小學")</f>
        <v>桃園市八德區八德國民小學</v>
      </c>
      <c r="F1568" s="14" t="str">
        <f>IFERROR(__xludf.DUMMYFUNCTION("""COMPUTED_VALUE"""),"五年級")</f>
        <v>五年級</v>
      </c>
      <c r="G1568" s="14" t="str">
        <f>IFERROR(__xludf.DUMMYFUNCTION("""COMPUTED_VALUE"""),"●小禮物")</f>
        <v>●小禮物</v>
      </c>
      <c r="H1568" s="8"/>
    </row>
    <row r="1569">
      <c r="A1569" s="18"/>
      <c r="B1569" s="14">
        <f>IFERROR(__xludf.DUMMYFUNCTION("""COMPUTED_VALUE"""),1180492.0)</f>
        <v>1180492</v>
      </c>
      <c r="C1569" s="14" t="str">
        <f>IFERROR(__xludf.DUMMYFUNCTION("""COMPUTED_VALUE"""),"林蔚瓈")</f>
        <v>林蔚瓈</v>
      </c>
      <c r="D1569" s="16" t="str">
        <f>IFERROR(__xludf.DUMMYFUNCTION("""COMPUTED_VALUE"""),"107*****ail.bdes.tyc.edu.tw")</f>
        <v>107*****ail.bdes.tyc.edu.tw</v>
      </c>
      <c r="E1569" s="17" t="str">
        <f>IFERROR(__xludf.DUMMYFUNCTION("""COMPUTED_VALUE"""),"桃園市八德區八德國民小學")</f>
        <v>桃園市八德區八德國民小學</v>
      </c>
      <c r="F1569" s="14" t="str">
        <f>IFERROR(__xludf.DUMMYFUNCTION("""COMPUTED_VALUE"""),"五年級")</f>
        <v>五年級</v>
      </c>
      <c r="G1569" s="14" t="str">
        <f>IFERROR(__xludf.DUMMYFUNCTION("""COMPUTED_VALUE"""),"●小禮物")</f>
        <v>●小禮物</v>
      </c>
      <c r="H1569" s="8"/>
    </row>
    <row r="1570">
      <c r="A1570" s="18"/>
      <c r="B1570" s="14">
        <f>IFERROR(__xludf.DUMMYFUNCTION("""COMPUTED_VALUE"""),1180514.0)</f>
        <v>1180514</v>
      </c>
      <c r="C1570" s="14" t="str">
        <f>IFERROR(__xludf.DUMMYFUNCTION("""COMPUTED_VALUE"""),"邱品熏")</f>
        <v>邱品熏</v>
      </c>
      <c r="D1570" s="16" t="str">
        <f>IFERROR(__xludf.DUMMYFUNCTION("""COMPUTED_VALUE"""),"107*****ail.bdes.tyc.edu.tw")</f>
        <v>107*****ail.bdes.tyc.edu.tw</v>
      </c>
      <c r="E1570" s="17" t="str">
        <f>IFERROR(__xludf.DUMMYFUNCTION("""COMPUTED_VALUE"""),"桃園市八德區八德國民小學")</f>
        <v>桃園市八德區八德國民小學</v>
      </c>
      <c r="F1570" s="14" t="str">
        <f>IFERROR(__xludf.DUMMYFUNCTION("""COMPUTED_VALUE"""),"五年級")</f>
        <v>五年級</v>
      </c>
      <c r="G1570" s="14" t="str">
        <f>IFERROR(__xludf.DUMMYFUNCTION("""COMPUTED_VALUE"""),"●小禮物")</f>
        <v>●小禮物</v>
      </c>
      <c r="H1570" s="8"/>
    </row>
    <row r="1571">
      <c r="A1571" s="18"/>
      <c r="B1571" s="14">
        <f>IFERROR(__xludf.DUMMYFUNCTION("""COMPUTED_VALUE"""),1180504.0)</f>
        <v>1180504</v>
      </c>
      <c r="C1571" s="14" t="str">
        <f>IFERROR(__xludf.DUMMYFUNCTION("""COMPUTED_VALUE"""),"段昀希")</f>
        <v>段昀希</v>
      </c>
      <c r="D1571" s="16" t="str">
        <f>IFERROR(__xludf.DUMMYFUNCTION("""COMPUTED_VALUE"""),"107*****ail.bdes.tyc.edu.tw")</f>
        <v>107*****ail.bdes.tyc.edu.tw</v>
      </c>
      <c r="E1571" s="17" t="str">
        <f>IFERROR(__xludf.DUMMYFUNCTION("""COMPUTED_VALUE"""),"桃園市八德區八德國民小學")</f>
        <v>桃園市八德區八德國民小學</v>
      </c>
      <c r="F1571" s="14" t="str">
        <f>IFERROR(__xludf.DUMMYFUNCTION("""COMPUTED_VALUE"""),"五年級")</f>
        <v>五年級</v>
      </c>
      <c r="G1571" s="14" t="str">
        <f>IFERROR(__xludf.DUMMYFUNCTION("""COMPUTED_VALUE"""),"●小禮物")</f>
        <v>●小禮物</v>
      </c>
      <c r="H1571" s="8"/>
    </row>
    <row r="1572">
      <c r="A1572" s="18"/>
      <c r="B1572" s="14">
        <f>IFERROR(__xludf.DUMMYFUNCTION("""COMPUTED_VALUE"""),1180519.0)</f>
        <v>1180519</v>
      </c>
      <c r="C1572" s="14" t="str">
        <f>IFERROR(__xludf.DUMMYFUNCTION("""COMPUTED_VALUE"""),"孫晨凱")</f>
        <v>孫晨凱</v>
      </c>
      <c r="D1572" s="16" t="str">
        <f>IFERROR(__xludf.DUMMYFUNCTION("""COMPUTED_VALUE"""),"107*****ail.bdes.tyc.edu.tw")</f>
        <v>107*****ail.bdes.tyc.edu.tw</v>
      </c>
      <c r="E1572" s="17" t="str">
        <f>IFERROR(__xludf.DUMMYFUNCTION("""COMPUTED_VALUE"""),"桃園市八德區八德國民小學")</f>
        <v>桃園市八德區八德國民小學</v>
      </c>
      <c r="F1572" s="14" t="str">
        <f>IFERROR(__xludf.DUMMYFUNCTION("""COMPUTED_VALUE"""),"五年級")</f>
        <v>五年級</v>
      </c>
      <c r="G1572" s="14" t="str">
        <f>IFERROR(__xludf.DUMMYFUNCTION("""COMPUTED_VALUE"""),"●小禮物")</f>
        <v>●小禮物</v>
      </c>
      <c r="H1572" s="8"/>
    </row>
    <row r="1573">
      <c r="A1573" s="18"/>
      <c r="B1573" s="14">
        <f>IFERROR(__xludf.DUMMYFUNCTION("""COMPUTED_VALUE"""),1180517.0)</f>
        <v>1180517</v>
      </c>
      <c r="C1573" s="14" t="str">
        <f>IFERROR(__xludf.DUMMYFUNCTION("""COMPUTED_VALUE"""),"許緁晅")</f>
        <v>許緁晅</v>
      </c>
      <c r="D1573" s="16" t="str">
        <f>IFERROR(__xludf.DUMMYFUNCTION("""COMPUTED_VALUE"""),"107*****ail.bdes.tyc.edu.tw")</f>
        <v>107*****ail.bdes.tyc.edu.tw</v>
      </c>
      <c r="E1573" s="17" t="str">
        <f>IFERROR(__xludf.DUMMYFUNCTION("""COMPUTED_VALUE"""),"桃園市八德區八德國民小學")</f>
        <v>桃園市八德區八德國民小學</v>
      </c>
      <c r="F1573" s="14" t="str">
        <f>IFERROR(__xludf.DUMMYFUNCTION("""COMPUTED_VALUE"""),"五年級")</f>
        <v>五年級</v>
      </c>
      <c r="G1573" s="14" t="str">
        <f>IFERROR(__xludf.DUMMYFUNCTION("""COMPUTED_VALUE"""),"●小禮物")</f>
        <v>●小禮物</v>
      </c>
      <c r="H1573" s="8"/>
    </row>
    <row r="1574">
      <c r="A1574" s="18"/>
      <c r="B1574" s="14">
        <f>IFERROR(__xludf.DUMMYFUNCTION("""COMPUTED_VALUE"""),1180488.0)</f>
        <v>1180488</v>
      </c>
      <c r="C1574" s="14" t="str">
        <f>IFERROR(__xludf.DUMMYFUNCTION("""COMPUTED_VALUE"""),"陳奕妤")</f>
        <v>陳奕妤</v>
      </c>
      <c r="D1574" s="16" t="str">
        <f>IFERROR(__xludf.DUMMYFUNCTION("""COMPUTED_VALUE"""),"107*****ail.bdes.tyc.edu.tw")</f>
        <v>107*****ail.bdes.tyc.edu.tw</v>
      </c>
      <c r="E1574" s="17" t="str">
        <f>IFERROR(__xludf.DUMMYFUNCTION("""COMPUTED_VALUE"""),"桃園市八德區八德國民小學")</f>
        <v>桃園市八德區八德國民小學</v>
      </c>
      <c r="F1574" s="14" t="str">
        <f>IFERROR(__xludf.DUMMYFUNCTION("""COMPUTED_VALUE"""),"五年級")</f>
        <v>五年級</v>
      </c>
      <c r="G1574" s="14" t="str">
        <f>IFERROR(__xludf.DUMMYFUNCTION("""COMPUTED_VALUE"""),"●小禮物")</f>
        <v>●小禮物</v>
      </c>
      <c r="H1574" s="8"/>
    </row>
    <row r="1575">
      <c r="A1575" s="18"/>
      <c r="B1575" s="14">
        <f>IFERROR(__xludf.DUMMYFUNCTION("""COMPUTED_VALUE"""),1180509.0)</f>
        <v>1180509</v>
      </c>
      <c r="C1575" s="14" t="str">
        <f>IFERROR(__xludf.DUMMYFUNCTION("""COMPUTED_VALUE"""),"陳昱璇")</f>
        <v>陳昱璇</v>
      </c>
      <c r="D1575" s="16" t="str">
        <f>IFERROR(__xludf.DUMMYFUNCTION("""COMPUTED_VALUE"""),"107*****ail.bdes.tyc.edu.tw")</f>
        <v>107*****ail.bdes.tyc.edu.tw</v>
      </c>
      <c r="E1575" s="17" t="str">
        <f>IFERROR(__xludf.DUMMYFUNCTION("""COMPUTED_VALUE"""),"桃園市八德區八德國民小學")</f>
        <v>桃園市八德區八德國民小學</v>
      </c>
      <c r="F1575" s="14" t="str">
        <f>IFERROR(__xludf.DUMMYFUNCTION("""COMPUTED_VALUE"""),"五年級")</f>
        <v>五年級</v>
      </c>
      <c r="G1575" s="14" t="str">
        <f>IFERROR(__xludf.DUMMYFUNCTION("""COMPUTED_VALUE"""),"●小禮物")</f>
        <v>●小禮物</v>
      </c>
      <c r="H1575" s="8"/>
    </row>
    <row r="1576">
      <c r="A1576" s="18"/>
      <c r="B1576" s="14">
        <f>IFERROR(__xludf.DUMMYFUNCTION("""COMPUTED_VALUE"""),1180524.0)</f>
        <v>1180524</v>
      </c>
      <c r="C1576" s="14" t="str">
        <f>IFERROR(__xludf.DUMMYFUNCTION("""COMPUTED_VALUE"""),"楊郅浩")</f>
        <v>楊郅浩</v>
      </c>
      <c r="D1576" s="16" t="str">
        <f>IFERROR(__xludf.DUMMYFUNCTION("""COMPUTED_VALUE"""),"107*****ail.bdes.tyc.edu.tw")</f>
        <v>107*****ail.bdes.tyc.edu.tw</v>
      </c>
      <c r="E1576" s="17" t="str">
        <f>IFERROR(__xludf.DUMMYFUNCTION("""COMPUTED_VALUE"""),"桃園市八德區八德國民小學")</f>
        <v>桃園市八德區八德國民小學</v>
      </c>
      <c r="F1576" s="14" t="str">
        <f>IFERROR(__xludf.DUMMYFUNCTION("""COMPUTED_VALUE"""),"五年級")</f>
        <v>五年級</v>
      </c>
      <c r="G1576" s="14" t="str">
        <f>IFERROR(__xludf.DUMMYFUNCTION("""COMPUTED_VALUE"""),"●小禮物")</f>
        <v>●小禮物</v>
      </c>
      <c r="H1576" s="8"/>
    </row>
    <row r="1577">
      <c r="A1577" s="18"/>
      <c r="B1577" s="14">
        <f>IFERROR(__xludf.DUMMYFUNCTION("""COMPUTED_VALUE"""),1180526.0)</f>
        <v>1180526</v>
      </c>
      <c r="C1577" s="14" t="str">
        <f>IFERROR(__xludf.DUMMYFUNCTION("""COMPUTED_VALUE"""),"廖翊凱")</f>
        <v>廖翊凱</v>
      </c>
      <c r="D1577" s="16" t="str">
        <f>IFERROR(__xludf.DUMMYFUNCTION("""COMPUTED_VALUE"""),"107*****ail.bdes.tyc.edu.tw")</f>
        <v>107*****ail.bdes.tyc.edu.tw</v>
      </c>
      <c r="E1577" s="17" t="str">
        <f>IFERROR(__xludf.DUMMYFUNCTION("""COMPUTED_VALUE"""),"桃園市八德區八德國民小學")</f>
        <v>桃園市八德區八德國民小學</v>
      </c>
      <c r="F1577" s="14" t="str">
        <f>IFERROR(__xludf.DUMMYFUNCTION("""COMPUTED_VALUE"""),"五年級")</f>
        <v>五年級</v>
      </c>
      <c r="G1577" s="14" t="str">
        <f>IFERROR(__xludf.DUMMYFUNCTION("""COMPUTED_VALUE"""),"●小禮物")</f>
        <v>●小禮物</v>
      </c>
      <c r="H1577" s="8"/>
    </row>
    <row r="1578">
      <c r="A1578" s="18"/>
      <c r="B1578" s="14">
        <f>IFERROR(__xludf.DUMMYFUNCTION("""COMPUTED_VALUE"""),1180507.0)</f>
        <v>1180507</v>
      </c>
      <c r="C1578" s="14" t="str">
        <f>IFERROR(__xludf.DUMMYFUNCTION("""COMPUTED_VALUE"""),"劉芷綺")</f>
        <v>劉芷綺</v>
      </c>
      <c r="D1578" s="16" t="str">
        <f>IFERROR(__xludf.DUMMYFUNCTION("""COMPUTED_VALUE"""),"107*****ail.bdes.tyc.edu.tw")</f>
        <v>107*****ail.bdes.tyc.edu.tw</v>
      </c>
      <c r="E1578" s="17" t="str">
        <f>IFERROR(__xludf.DUMMYFUNCTION("""COMPUTED_VALUE"""),"桃園市八德區八德國民小學")</f>
        <v>桃園市八德區八德國民小學</v>
      </c>
      <c r="F1578" s="14" t="str">
        <f>IFERROR(__xludf.DUMMYFUNCTION("""COMPUTED_VALUE"""),"五年級")</f>
        <v>五年級</v>
      </c>
      <c r="G1578" s="14" t="str">
        <f>IFERROR(__xludf.DUMMYFUNCTION("""COMPUTED_VALUE"""),"●小禮物")</f>
        <v>●小禮物</v>
      </c>
      <c r="H1578" s="8"/>
    </row>
    <row r="1579">
      <c r="A1579" s="18"/>
      <c r="B1579" s="14">
        <f>IFERROR(__xludf.DUMMYFUNCTION("""COMPUTED_VALUE"""),1180527.0)</f>
        <v>1180527</v>
      </c>
      <c r="C1579" s="14" t="str">
        <f>IFERROR(__xludf.DUMMYFUNCTION("""COMPUTED_VALUE"""),"盧琦恩")</f>
        <v>盧琦恩</v>
      </c>
      <c r="D1579" s="16" t="str">
        <f>IFERROR(__xludf.DUMMYFUNCTION("""COMPUTED_VALUE"""),"107*****ail.bdes.tyc.edu.tw")</f>
        <v>107*****ail.bdes.tyc.edu.tw</v>
      </c>
      <c r="E1579" s="17" t="str">
        <f>IFERROR(__xludf.DUMMYFUNCTION("""COMPUTED_VALUE"""),"桃園市八德區八德國民小學")</f>
        <v>桃園市八德區八德國民小學</v>
      </c>
      <c r="F1579" s="14" t="str">
        <f>IFERROR(__xludf.DUMMYFUNCTION("""COMPUTED_VALUE"""),"五年級")</f>
        <v>五年級</v>
      </c>
      <c r="G1579" s="14" t="str">
        <f>IFERROR(__xludf.DUMMYFUNCTION("""COMPUTED_VALUE"""),"●小禮物")</f>
        <v>●小禮物</v>
      </c>
      <c r="H1579" s="8"/>
    </row>
    <row r="1580">
      <c r="A1580" s="18"/>
      <c r="B1580" s="14">
        <f>IFERROR(__xludf.DUMMYFUNCTION("""COMPUTED_VALUE"""),1180506.0)</f>
        <v>1180506</v>
      </c>
      <c r="C1580" s="14" t="str">
        <f>IFERROR(__xludf.DUMMYFUNCTION("""COMPUTED_VALUE"""),"謝彥為")</f>
        <v>謝彥為</v>
      </c>
      <c r="D1580" s="16" t="str">
        <f>IFERROR(__xludf.DUMMYFUNCTION("""COMPUTED_VALUE"""),"107*****ail.bdes.tyc.edu.tw")</f>
        <v>107*****ail.bdes.tyc.edu.tw</v>
      </c>
      <c r="E1580" s="17" t="str">
        <f>IFERROR(__xludf.DUMMYFUNCTION("""COMPUTED_VALUE"""),"桃園市八德區八德國民小學")</f>
        <v>桃園市八德區八德國民小學</v>
      </c>
      <c r="F1580" s="14" t="str">
        <f>IFERROR(__xludf.DUMMYFUNCTION("""COMPUTED_VALUE"""),"五年級")</f>
        <v>五年級</v>
      </c>
      <c r="G1580" s="14" t="str">
        <f>IFERROR(__xludf.DUMMYFUNCTION("""COMPUTED_VALUE"""),"●小禮物")</f>
        <v>●小禮物</v>
      </c>
      <c r="H1580" s="8"/>
    </row>
    <row r="1581">
      <c r="A1581" s="18"/>
      <c r="B1581" s="14">
        <f>IFERROR(__xludf.DUMMYFUNCTION("""COMPUTED_VALUE"""),1180512.0)</f>
        <v>1180512</v>
      </c>
      <c r="C1581" s="14" t="str">
        <f>IFERROR(__xludf.DUMMYFUNCTION("""COMPUTED_VALUE"""),"文欣羽")</f>
        <v>文欣羽</v>
      </c>
      <c r="D1581" s="16" t="str">
        <f>IFERROR(__xludf.DUMMYFUNCTION("""COMPUTED_VALUE"""),"107*****ail.bdes.tyc.edu.tw")</f>
        <v>107*****ail.bdes.tyc.edu.tw</v>
      </c>
      <c r="E1581" s="17" t="str">
        <f>IFERROR(__xludf.DUMMYFUNCTION("""COMPUTED_VALUE"""),"桃園市八德區八德國民小學")</f>
        <v>桃園市八德區八德國民小學</v>
      </c>
      <c r="F1581" s="14" t="str">
        <f>IFERROR(__xludf.DUMMYFUNCTION("""COMPUTED_VALUE"""),"五年級")</f>
        <v>五年級</v>
      </c>
      <c r="G1581" s="14" t="str">
        <f>IFERROR(__xludf.DUMMYFUNCTION("""COMPUTED_VALUE"""),"獎狀")</f>
        <v>獎狀</v>
      </c>
      <c r="H1581" s="8"/>
    </row>
    <row r="1582">
      <c r="A1582" s="18"/>
      <c r="B1582" s="14">
        <f>IFERROR(__xludf.DUMMYFUNCTION("""COMPUTED_VALUE"""),1180496.0)</f>
        <v>1180496</v>
      </c>
      <c r="C1582" s="14" t="str">
        <f>IFERROR(__xludf.DUMMYFUNCTION("""COMPUTED_VALUE"""),"吳佩潔")</f>
        <v>吳佩潔</v>
      </c>
      <c r="D1582" s="16" t="str">
        <f>IFERROR(__xludf.DUMMYFUNCTION("""COMPUTED_VALUE"""),"107*****ail.bdes.tyc.edu.tw")</f>
        <v>107*****ail.bdes.tyc.edu.tw</v>
      </c>
      <c r="E1582" s="17" t="str">
        <f>IFERROR(__xludf.DUMMYFUNCTION("""COMPUTED_VALUE"""),"桃園市八德區八德國民小學")</f>
        <v>桃園市八德區八德國民小學</v>
      </c>
      <c r="F1582" s="14" t="str">
        <f>IFERROR(__xludf.DUMMYFUNCTION("""COMPUTED_VALUE"""),"五年級")</f>
        <v>五年級</v>
      </c>
      <c r="G1582" s="14" t="str">
        <f>IFERROR(__xludf.DUMMYFUNCTION("""COMPUTED_VALUE"""),"獎狀")</f>
        <v>獎狀</v>
      </c>
      <c r="H1582" s="8"/>
    </row>
    <row r="1583">
      <c r="A1583" s="18"/>
      <c r="B1583" s="14">
        <f>IFERROR(__xludf.DUMMYFUNCTION("""COMPUTED_VALUE"""),1192839.0)</f>
        <v>1192839</v>
      </c>
      <c r="C1583" s="14" t="str">
        <f>IFERROR(__xludf.DUMMYFUNCTION("""COMPUTED_VALUE"""),"李元熙")</f>
        <v>李元熙</v>
      </c>
      <c r="D1583" s="16" t="str">
        <f>IFERROR(__xludf.DUMMYFUNCTION("""COMPUTED_VALUE"""),"107*****ail.bdes.tyc.edu.tw")</f>
        <v>107*****ail.bdes.tyc.edu.tw</v>
      </c>
      <c r="E1583" s="17" t="str">
        <f>IFERROR(__xludf.DUMMYFUNCTION("""COMPUTED_VALUE"""),"桃園市八德區八德國民小學")</f>
        <v>桃園市八德區八德國民小學</v>
      </c>
      <c r="F1583" s="14" t="str">
        <f>IFERROR(__xludf.DUMMYFUNCTION("""COMPUTED_VALUE"""),"五年級")</f>
        <v>五年級</v>
      </c>
      <c r="G1583" s="14" t="str">
        <f>IFERROR(__xludf.DUMMYFUNCTION("""COMPUTED_VALUE"""),"獎狀")</f>
        <v>獎狀</v>
      </c>
      <c r="H1583" s="8"/>
    </row>
    <row r="1584">
      <c r="A1584" s="18"/>
      <c r="B1584" s="14">
        <f>IFERROR(__xludf.DUMMYFUNCTION("""COMPUTED_VALUE"""),1180508.0)</f>
        <v>1180508</v>
      </c>
      <c r="C1584" s="14" t="str">
        <f>IFERROR(__xludf.DUMMYFUNCTION("""COMPUTED_VALUE"""),"林妍晴")</f>
        <v>林妍晴</v>
      </c>
      <c r="D1584" s="16" t="str">
        <f>IFERROR(__xludf.DUMMYFUNCTION("""COMPUTED_VALUE"""),"107*****ail.bdes.tyc.edu.tw")</f>
        <v>107*****ail.bdes.tyc.edu.tw</v>
      </c>
      <c r="E1584" s="17" t="str">
        <f>IFERROR(__xludf.DUMMYFUNCTION("""COMPUTED_VALUE"""),"桃園市八德區八德國民小學")</f>
        <v>桃園市八德區八德國民小學</v>
      </c>
      <c r="F1584" s="14" t="str">
        <f>IFERROR(__xludf.DUMMYFUNCTION("""COMPUTED_VALUE"""),"五年級")</f>
        <v>五年級</v>
      </c>
      <c r="G1584" s="14" t="str">
        <f>IFERROR(__xludf.DUMMYFUNCTION("""COMPUTED_VALUE"""),"獎狀")</f>
        <v>獎狀</v>
      </c>
      <c r="H1584" s="8"/>
    </row>
    <row r="1585">
      <c r="A1585" s="18"/>
      <c r="B1585" s="14">
        <f>IFERROR(__xludf.DUMMYFUNCTION("""COMPUTED_VALUE"""),1180515.0)</f>
        <v>1180515</v>
      </c>
      <c r="C1585" s="14" t="str">
        <f>IFERROR(__xludf.DUMMYFUNCTION("""COMPUTED_VALUE"""),"張嘉築")</f>
        <v>張嘉築</v>
      </c>
      <c r="D1585" s="16" t="str">
        <f>IFERROR(__xludf.DUMMYFUNCTION("""COMPUTED_VALUE"""),"107*****ail.bdes.tyc.edu.tw")</f>
        <v>107*****ail.bdes.tyc.edu.tw</v>
      </c>
      <c r="E1585" s="17" t="str">
        <f>IFERROR(__xludf.DUMMYFUNCTION("""COMPUTED_VALUE"""),"桃園市八德區八德國民小學")</f>
        <v>桃園市八德區八德國民小學</v>
      </c>
      <c r="F1585" s="14" t="str">
        <f>IFERROR(__xludf.DUMMYFUNCTION("""COMPUTED_VALUE"""),"五年級")</f>
        <v>五年級</v>
      </c>
      <c r="G1585" s="14" t="str">
        <f>IFERROR(__xludf.DUMMYFUNCTION("""COMPUTED_VALUE"""),"獎狀")</f>
        <v>獎狀</v>
      </c>
      <c r="H1585" s="8"/>
    </row>
    <row r="1586">
      <c r="A1586" s="18"/>
      <c r="B1586" s="14">
        <f>IFERROR(__xludf.DUMMYFUNCTION("""COMPUTED_VALUE"""),1180503.0)</f>
        <v>1180503</v>
      </c>
      <c r="C1586" s="14" t="str">
        <f>IFERROR(__xludf.DUMMYFUNCTION("""COMPUTED_VALUE"""),"黃妍恩")</f>
        <v>黃妍恩</v>
      </c>
      <c r="D1586" s="16" t="str">
        <f>IFERROR(__xludf.DUMMYFUNCTION("""COMPUTED_VALUE"""),"107*****ail.bdes.tyc.edu.tw")</f>
        <v>107*****ail.bdes.tyc.edu.tw</v>
      </c>
      <c r="E1586" s="17" t="str">
        <f>IFERROR(__xludf.DUMMYFUNCTION("""COMPUTED_VALUE"""),"桃園市八德區八德國民小學")</f>
        <v>桃園市八德區八德國民小學</v>
      </c>
      <c r="F1586" s="14" t="str">
        <f>IFERROR(__xludf.DUMMYFUNCTION("""COMPUTED_VALUE"""),"五年級")</f>
        <v>五年級</v>
      </c>
      <c r="G1586" s="14" t="str">
        <f>IFERROR(__xludf.DUMMYFUNCTION("""COMPUTED_VALUE"""),"獎狀")</f>
        <v>獎狀</v>
      </c>
      <c r="H1586" s="8"/>
    </row>
    <row r="1587">
      <c r="A1587" s="18"/>
      <c r="B1587" s="14">
        <f>IFERROR(__xludf.DUMMYFUNCTION("""COMPUTED_VALUE"""),1180493.0)</f>
        <v>1180493</v>
      </c>
      <c r="C1587" s="14" t="str">
        <f>IFERROR(__xludf.DUMMYFUNCTION("""COMPUTED_VALUE"""),"黃唯恩")</f>
        <v>黃唯恩</v>
      </c>
      <c r="D1587" s="16" t="str">
        <f>IFERROR(__xludf.DUMMYFUNCTION("""COMPUTED_VALUE"""),"107*****ail.bdes.tyc.edu.tw")</f>
        <v>107*****ail.bdes.tyc.edu.tw</v>
      </c>
      <c r="E1587" s="17" t="str">
        <f>IFERROR(__xludf.DUMMYFUNCTION("""COMPUTED_VALUE"""),"桃園市八德區八德國民小學")</f>
        <v>桃園市八德區八德國民小學</v>
      </c>
      <c r="F1587" s="14" t="str">
        <f>IFERROR(__xludf.DUMMYFUNCTION("""COMPUTED_VALUE"""),"五年級")</f>
        <v>五年級</v>
      </c>
      <c r="G1587" s="14" t="str">
        <f>IFERROR(__xludf.DUMMYFUNCTION("""COMPUTED_VALUE"""),"獎狀")</f>
        <v>獎狀</v>
      </c>
      <c r="H1587" s="8"/>
    </row>
    <row r="1588">
      <c r="A1588" s="18"/>
      <c r="B1588" s="14">
        <f>IFERROR(__xludf.DUMMYFUNCTION("""COMPUTED_VALUE"""),1180491.0)</f>
        <v>1180491</v>
      </c>
      <c r="C1588" s="14" t="str">
        <f>IFERROR(__xludf.DUMMYFUNCTION("""COMPUTED_VALUE"""),"楊澤厚")</f>
        <v>楊澤厚</v>
      </c>
      <c r="D1588" s="16" t="str">
        <f>IFERROR(__xludf.DUMMYFUNCTION("""COMPUTED_VALUE"""),"107*****ail.bdes.tyc.edu.tw")</f>
        <v>107*****ail.bdes.tyc.edu.tw</v>
      </c>
      <c r="E1588" s="17" t="str">
        <f>IFERROR(__xludf.DUMMYFUNCTION("""COMPUTED_VALUE"""),"桃園市八德區八德國民小學")</f>
        <v>桃園市八德區八德國民小學</v>
      </c>
      <c r="F1588" s="14" t="str">
        <f>IFERROR(__xludf.DUMMYFUNCTION("""COMPUTED_VALUE"""),"五年級")</f>
        <v>五年級</v>
      </c>
      <c r="G1588" s="14" t="str">
        <f>IFERROR(__xludf.DUMMYFUNCTION("""COMPUTED_VALUE"""),"獎狀")</f>
        <v>獎狀</v>
      </c>
      <c r="H1588" s="8"/>
    </row>
    <row r="1589">
      <c r="A1589" s="18"/>
      <c r="B1589" s="14">
        <f>IFERROR(__xludf.DUMMYFUNCTION("""COMPUTED_VALUE"""),1180498.0)</f>
        <v>1180498</v>
      </c>
      <c r="C1589" s="14" t="str">
        <f>IFERROR(__xludf.DUMMYFUNCTION("""COMPUTED_VALUE"""),"葉政均")</f>
        <v>葉政均</v>
      </c>
      <c r="D1589" s="16" t="str">
        <f>IFERROR(__xludf.DUMMYFUNCTION("""COMPUTED_VALUE"""),"107*****ail.bdes.tyc.edu.tw")</f>
        <v>107*****ail.bdes.tyc.edu.tw</v>
      </c>
      <c r="E1589" s="17" t="str">
        <f>IFERROR(__xludf.DUMMYFUNCTION("""COMPUTED_VALUE"""),"桃園市八德區八德國民小學")</f>
        <v>桃園市八德區八德國民小學</v>
      </c>
      <c r="F1589" s="14" t="str">
        <f>IFERROR(__xludf.DUMMYFUNCTION("""COMPUTED_VALUE"""),"五年級")</f>
        <v>五年級</v>
      </c>
      <c r="G1589" s="14" t="str">
        <f>IFERROR(__xludf.DUMMYFUNCTION("""COMPUTED_VALUE"""),"獎狀")</f>
        <v>獎狀</v>
      </c>
      <c r="H1589" s="8"/>
    </row>
    <row r="1590">
      <c r="A1590" s="18"/>
      <c r="B1590" s="14">
        <f>IFERROR(__xludf.DUMMYFUNCTION("""COMPUTED_VALUE"""),1180518.0)</f>
        <v>1180518</v>
      </c>
      <c r="C1590" s="14" t="str">
        <f>IFERROR(__xludf.DUMMYFUNCTION("""COMPUTED_VALUE"""),"詹媛晴")</f>
        <v>詹媛晴</v>
      </c>
      <c r="D1590" s="16" t="str">
        <f>IFERROR(__xludf.DUMMYFUNCTION("""COMPUTED_VALUE"""),"107*****ail.bdes.tyc.edu.tw")</f>
        <v>107*****ail.bdes.tyc.edu.tw</v>
      </c>
      <c r="E1590" s="17" t="str">
        <f>IFERROR(__xludf.DUMMYFUNCTION("""COMPUTED_VALUE"""),"桃園市八德區八德國民小學")</f>
        <v>桃園市八德區八德國民小學</v>
      </c>
      <c r="F1590" s="14" t="str">
        <f>IFERROR(__xludf.DUMMYFUNCTION("""COMPUTED_VALUE"""),"五年級")</f>
        <v>五年級</v>
      </c>
      <c r="G1590" s="14" t="str">
        <f>IFERROR(__xludf.DUMMYFUNCTION("""COMPUTED_VALUE"""),"獎狀")</f>
        <v>獎狀</v>
      </c>
      <c r="H1590" s="8"/>
    </row>
    <row r="1591">
      <c r="A1591" s="18"/>
      <c r="B1591" s="14">
        <f>IFERROR(__xludf.DUMMYFUNCTION("""COMPUTED_VALUE"""),1180497.0)</f>
        <v>1180497</v>
      </c>
      <c r="C1591" s="14" t="str">
        <f>IFERROR(__xludf.DUMMYFUNCTION("""COMPUTED_VALUE"""),"廖翊傑")</f>
        <v>廖翊傑</v>
      </c>
      <c r="D1591" s="16" t="str">
        <f>IFERROR(__xludf.DUMMYFUNCTION("""COMPUTED_VALUE"""),"107*****ail.bdes.tyc.edu.tw")</f>
        <v>107*****ail.bdes.tyc.edu.tw</v>
      </c>
      <c r="E1591" s="17" t="str">
        <f>IFERROR(__xludf.DUMMYFUNCTION("""COMPUTED_VALUE"""),"桃園市八德區八德國民小學")</f>
        <v>桃園市八德區八德國民小學</v>
      </c>
      <c r="F1591" s="14" t="str">
        <f>IFERROR(__xludf.DUMMYFUNCTION("""COMPUTED_VALUE"""),"五年級")</f>
        <v>五年級</v>
      </c>
      <c r="G1591" s="14" t="str">
        <f>IFERROR(__xludf.DUMMYFUNCTION("""COMPUTED_VALUE"""),"獎狀")</f>
        <v>獎狀</v>
      </c>
      <c r="H1591" s="8"/>
    </row>
    <row r="1592">
      <c r="A1592" s="18"/>
      <c r="B1592" s="14">
        <f>IFERROR(__xludf.DUMMYFUNCTION("""COMPUTED_VALUE"""),1203687.0)</f>
        <v>1203687</v>
      </c>
      <c r="C1592" s="14" t="str">
        <f>IFERROR(__xludf.DUMMYFUNCTION("""COMPUTED_VALUE"""),"鄭黃子紜")</f>
        <v>鄭黃子紜</v>
      </c>
      <c r="D1592" s="16" t="str">
        <f>IFERROR(__xludf.DUMMYFUNCTION("""COMPUTED_VALUE"""),"107*****ail.bdes.tyc.edu.tw")</f>
        <v>107*****ail.bdes.tyc.edu.tw</v>
      </c>
      <c r="E1592" s="17" t="str">
        <f>IFERROR(__xludf.DUMMYFUNCTION("""COMPUTED_VALUE"""),"桃園市八德區八德國民小學")</f>
        <v>桃園市八德區八德國民小學</v>
      </c>
      <c r="F1592" s="14" t="str">
        <f>IFERROR(__xludf.DUMMYFUNCTION("""COMPUTED_VALUE"""),"五年級")</f>
        <v>五年級</v>
      </c>
      <c r="G1592" s="14" t="str">
        <f>IFERROR(__xludf.DUMMYFUNCTION("""COMPUTED_VALUE"""),"獎狀")</f>
        <v>獎狀</v>
      </c>
      <c r="H1592" s="8"/>
    </row>
    <row r="1593">
      <c r="A1593" s="18"/>
      <c r="B1593" s="14">
        <f>IFERROR(__xludf.DUMMYFUNCTION("""COMPUTED_VALUE"""),1180520.0)</f>
        <v>1180520</v>
      </c>
      <c r="C1593" s="14" t="str">
        <f>IFERROR(__xludf.DUMMYFUNCTION("""COMPUTED_VALUE"""),"蕭永熙")</f>
        <v>蕭永熙</v>
      </c>
      <c r="D1593" s="16" t="str">
        <f>IFERROR(__xludf.DUMMYFUNCTION("""COMPUTED_VALUE"""),"107*****ail.bdes.tyc.edu.tw")</f>
        <v>107*****ail.bdes.tyc.edu.tw</v>
      </c>
      <c r="E1593" s="17" t="str">
        <f>IFERROR(__xludf.DUMMYFUNCTION("""COMPUTED_VALUE"""),"桃園市八德區八德國民小學")</f>
        <v>桃園市八德區八德國民小學</v>
      </c>
      <c r="F1593" s="14" t="str">
        <f>IFERROR(__xludf.DUMMYFUNCTION("""COMPUTED_VALUE"""),"五年級")</f>
        <v>五年級</v>
      </c>
      <c r="G1593" s="14" t="str">
        <f>IFERROR(__xludf.DUMMYFUNCTION("""COMPUTED_VALUE"""),"獎狀")</f>
        <v>獎狀</v>
      </c>
      <c r="H1593" s="8"/>
    </row>
    <row r="1594">
      <c r="A1594" s="18"/>
      <c r="B1594" s="14">
        <f>IFERROR(__xludf.DUMMYFUNCTION("""COMPUTED_VALUE"""),1180502.0)</f>
        <v>1180502</v>
      </c>
      <c r="C1594" s="14" t="str">
        <f>IFERROR(__xludf.DUMMYFUNCTION("""COMPUTED_VALUE"""),"羅昱昕")</f>
        <v>羅昱昕</v>
      </c>
      <c r="D1594" s="16" t="str">
        <f>IFERROR(__xludf.DUMMYFUNCTION("""COMPUTED_VALUE"""),"107*****ail.bdes.tyc.edu.tw")</f>
        <v>107*****ail.bdes.tyc.edu.tw</v>
      </c>
      <c r="E1594" s="17" t="str">
        <f>IFERROR(__xludf.DUMMYFUNCTION("""COMPUTED_VALUE"""),"桃園市八德區八德國民小學")</f>
        <v>桃園市八德區八德國民小學</v>
      </c>
      <c r="F1594" s="14" t="str">
        <f>IFERROR(__xludf.DUMMYFUNCTION("""COMPUTED_VALUE"""),"五年級")</f>
        <v>五年級</v>
      </c>
      <c r="G1594" s="14" t="str">
        <f>IFERROR(__xludf.DUMMYFUNCTION("""COMPUTED_VALUE"""),"獎狀")</f>
        <v>獎狀</v>
      </c>
      <c r="H1594" s="8"/>
    </row>
    <row r="1595">
      <c r="A1595" s="18"/>
      <c r="B1595" s="14">
        <f>IFERROR(__xludf.DUMMYFUNCTION("""COMPUTED_VALUE"""),1187725.0)</f>
        <v>1187725</v>
      </c>
      <c r="C1595" s="14" t="str">
        <f>IFERROR(__xludf.DUMMYFUNCTION("""COMPUTED_VALUE"""),"張筠敏")</f>
        <v>張筠敏</v>
      </c>
      <c r="D1595" s="16" t="str">
        <f>IFERROR(__xludf.DUMMYFUNCTION("""COMPUTED_VALUE"""),"107*****ail.bdes.tyc.edu.tw")</f>
        <v>107*****ail.bdes.tyc.edu.tw</v>
      </c>
      <c r="E1595" s="17" t="str">
        <f>IFERROR(__xludf.DUMMYFUNCTION("""COMPUTED_VALUE"""),"桃園市八德區八德國民小學")</f>
        <v>桃園市八德區八德國民小學</v>
      </c>
      <c r="F1595" s="14" t="str">
        <f>IFERROR(__xludf.DUMMYFUNCTION("""COMPUTED_VALUE"""),"五年級")</f>
        <v>五年級</v>
      </c>
      <c r="G1595" s="14" t="str">
        <f>IFERROR(__xludf.DUMMYFUNCTION("""COMPUTED_VALUE"""),"●小禮物")</f>
        <v>●小禮物</v>
      </c>
      <c r="H1595" s="8"/>
    </row>
    <row r="1596">
      <c r="A1596" s="18"/>
      <c r="B1596" s="14">
        <f>IFERROR(__xludf.DUMMYFUNCTION("""COMPUTED_VALUE"""),1209385.0)</f>
        <v>1209385</v>
      </c>
      <c r="C1596" s="14" t="str">
        <f>IFERROR(__xludf.DUMMYFUNCTION("""COMPUTED_VALUE"""),"莊凱晴")</f>
        <v>莊凱晴</v>
      </c>
      <c r="D1596" s="16" t="str">
        <f>IFERROR(__xludf.DUMMYFUNCTION("""COMPUTED_VALUE"""),"107*****ail.bdes.tyc.edu.tw")</f>
        <v>107*****ail.bdes.tyc.edu.tw</v>
      </c>
      <c r="E1596" s="17" t="str">
        <f>IFERROR(__xludf.DUMMYFUNCTION("""COMPUTED_VALUE"""),"桃園市八德區八德國民小學")</f>
        <v>桃園市八德區八德國民小學</v>
      </c>
      <c r="F1596" s="14" t="str">
        <f>IFERROR(__xludf.DUMMYFUNCTION("""COMPUTED_VALUE"""),"五年級")</f>
        <v>五年級</v>
      </c>
      <c r="G1596" s="14" t="str">
        <f>IFERROR(__xludf.DUMMYFUNCTION("""COMPUTED_VALUE"""),"●小禮物")</f>
        <v>●小禮物</v>
      </c>
      <c r="H1596" s="8"/>
    </row>
    <row r="1597">
      <c r="A1597" s="18"/>
      <c r="B1597" s="14">
        <f>IFERROR(__xludf.DUMMYFUNCTION("""COMPUTED_VALUE"""),1187729.0)</f>
        <v>1187729</v>
      </c>
      <c r="C1597" s="14" t="str">
        <f>IFERROR(__xludf.DUMMYFUNCTION("""COMPUTED_VALUE"""),"李向晴")</f>
        <v>李向晴</v>
      </c>
      <c r="D1597" s="16" t="str">
        <f>IFERROR(__xludf.DUMMYFUNCTION("""COMPUTED_VALUE"""),"107*****ail.bdes.tyc.edu.tw")</f>
        <v>107*****ail.bdes.tyc.edu.tw</v>
      </c>
      <c r="E1597" s="17" t="str">
        <f>IFERROR(__xludf.DUMMYFUNCTION("""COMPUTED_VALUE"""),"桃園市八德區八德國民小學")</f>
        <v>桃園市八德區八德國民小學</v>
      </c>
      <c r="F1597" s="14" t="str">
        <f>IFERROR(__xludf.DUMMYFUNCTION("""COMPUTED_VALUE"""),"五年級")</f>
        <v>五年級</v>
      </c>
      <c r="G1597" s="14" t="str">
        <f>IFERROR(__xludf.DUMMYFUNCTION("""COMPUTED_VALUE"""),"獎狀")</f>
        <v>獎狀</v>
      </c>
      <c r="H1597" s="8"/>
    </row>
    <row r="1598">
      <c r="A1598" s="18"/>
      <c r="B1598" s="14">
        <f>IFERROR(__xludf.DUMMYFUNCTION("""COMPUTED_VALUE"""),1187733.0)</f>
        <v>1187733</v>
      </c>
      <c r="C1598" s="14" t="str">
        <f>IFERROR(__xludf.DUMMYFUNCTION("""COMPUTED_VALUE"""),"林宣翰")</f>
        <v>林宣翰</v>
      </c>
      <c r="D1598" s="16" t="str">
        <f>IFERROR(__xludf.DUMMYFUNCTION("""COMPUTED_VALUE"""),"107*****ail.bdes.tyc.edu.tw")</f>
        <v>107*****ail.bdes.tyc.edu.tw</v>
      </c>
      <c r="E1598" s="17" t="str">
        <f>IFERROR(__xludf.DUMMYFUNCTION("""COMPUTED_VALUE"""),"桃園市八德區八德國民小學")</f>
        <v>桃園市八德區八德國民小學</v>
      </c>
      <c r="F1598" s="14" t="str">
        <f>IFERROR(__xludf.DUMMYFUNCTION("""COMPUTED_VALUE"""),"五年級")</f>
        <v>五年級</v>
      </c>
      <c r="G1598" s="14" t="str">
        <f>IFERROR(__xludf.DUMMYFUNCTION("""COMPUTED_VALUE"""),"獎狀")</f>
        <v>獎狀</v>
      </c>
      <c r="H1598" s="8"/>
    </row>
    <row r="1599">
      <c r="A1599" s="18"/>
      <c r="B1599" s="14">
        <f>IFERROR(__xludf.DUMMYFUNCTION("""COMPUTED_VALUE"""),1127112.0)</f>
        <v>1127112</v>
      </c>
      <c r="C1599" s="14" t="str">
        <f>IFERROR(__xludf.DUMMYFUNCTION("""COMPUTED_VALUE"""),"徐唯瑄")</f>
        <v>徐唯瑄</v>
      </c>
      <c r="D1599" s="16" t="str">
        <f>IFERROR(__xludf.DUMMYFUNCTION("""COMPUTED_VALUE"""),"107*****ail.bdes.tyc.edu.tw")</f>
        <v>107*****ail.bdes.tyc.edu.tw</v>
      </c>
      <c r="E1599" s="17" t="str">
        <f>IFERROR(__xludf.DUMMYFUNCTION("""COMPUTED_VALUE"""),"桃園市八德區八德國民小學")</f>
        <v>桃園市八德區八德國民小學</v>
      </c>
      <c r="F1599" s="14" t="str">
        <f>IFERROR(__xludf.DUMMYFUNCTION("""COMPUTED_VALUE"""),"五年級")</f>
        <v>五年級</v>
      </c>
      <c r="G1599" s="14" t="str">
        <f>IFERROR(__xludf.DUMMYFUNCTION("""COMPUTED_VALUE"""),"獎狀")</f>
        <v>獎狀</v>
      </c>
      <c r="H1599" s="8"/>
    </row>
    <row r="1600">
      <c r="A1600" s="18"/>
      <c r="B1600" s="14">
        <f>IFERROR(__xludf.DUMMYFUNCTION("""COMPUTED_VALUE"""),1187724.0)</f>
        <v>1187724</v>
      </c>
      <c r="C1600" s="14" t="str">
        <f>IFERROR(__xludf.DUMMYFUNCTION("""COMPUTED_VALUE"""),"盧映岑")</f>
        <v>盧映岑</v>
      </c>
      <c r="D1600" s="16" t="str">
        <f>IFERROR(__xludf.DUMMYFUNCTION("""COMPUTED_VALUE"""),"107*****ail.bdes.tyc.edu.tw")</f>
        <v>107*****ail.bdes.tyc.edu.tw</v>
      </c>
      <c r="E1600" s="17" t="str">
        <f>IFERROR(__xludf.DUMMYFUNCTION("""COMPUTED_VALUE"""),"桃園市八德區八德國民小學")</f>
        <v>桃園市八德區八德國民小學</v>
      </c>
      <c r="F1600" s="14" t="str">
        <f>IFERROR(__xludf.DUMMYFUNCTION("""COMPUTED_VALUE"""),"五年級")</f>
        <v>五年級</v>
      </c>
      <c r="G1600" s="14" t="str">
        <f>IFERROR(__xludf.DUMMYFUNCTION("""COMPUTED_VALUE"""),"獎狀")</f>
        <v>獎狀</v>
      </c>
      <c r="H1600" s="8"/>
    </row>
    <row r="1601">
      <c r="A1601" s="18"/>
      <c r="B1601" s="14">
        <f>IFERROR(__xludf.DUMMYFUNCTION("""COMPUTED_VALUE"""),1199408.0)</f>
        <v>1199408</v>
      </c>
      <c r="C1601" s="14" t="str">
        <f>IFERROR(__xludf.DUMMYFUNCTION("""COMPUTED_VALUE"""),"王子翊")</f>
        <v>王子翊</v>
      </c>
      <c r="D1601" s="16" t="str">
        <f>IFERROR(__xludf.DUMMYFUNCTION("""COMPUTED_VALUE"""),"b09*****787@gmail.com")</f>
        <v>b09*****787@gmail.com</v>
      </c>
      <c r="E1601" s="17" t="str">
        <f>IFERROR(__xludf.DUMMYFUNCTION("""COMPUTED_VALUE"""),"桃園市八德區八德國民小學")</f>
        <v>桃園市八德區八德國民小學</v>
      </c>
      <c r="F1601" s="14" t="str">
        <f>IFERROR(__xludf.DUMMYFUNCTION("""COMPUTED_VALUE"""),"五年級")</f>
        <v>五年級</v>
      </c>
      <c r="G1601" s="14" t="str">
        <f>IFERROR(__xludf.DUMMYFUNCTION("""COMPUTED_VALUE"""),"●小禮物")</f>
        <v>●小禮物</v>
      </c>
      <c r="H1601" s="8"/>
    </row>
    <row r="1602">
      <c r="A1602" s="18"/>
      <c r="B1602" s="14">
        <f>IFERROR(__xludf.DUMMYFUNCTION("""COMPUTED_VALUE"""),1194954.0)</f>
        <v>1194954</v>
      </c>
      <c r="C1602" s="14" t="str">
        <f>IFERROR(__xludf.DUMMYFUNCTION("""COMPUTED_VALUE"""),"江家程")</f>
        <v>江家程</v>
      </c>
      <c r="D1602" s="16" t="str">
        <f>IFERROR(__xludf.DUMMYFUNCTION("""COMPUTED_VALUE"""),"107*****ail.bdes.tyc.edu.tw")</f>
        <v>107*****ail.bdes.tyc.edu.tw</v>
      </c>
      <c r="E1602" s="17" t="str">
        <f>IFERROR(__xludf.DUMMYFUNCTION("""COMPUTED_VALUE"""),"桃園市八德區八德國民小學")</f>
        <v>桃園市八德區八德國民小學</v>
      </c>
      <c r="F1602" s="14" t="str">
        <f>IFERROR(__xludf.DUMMYFUNCTION("""COMPUTED_VALUE"""),"五年級")</f>
        <v>五年級</v>
      </c>
      <c r="G1602" s="14" t="str">
        <f>IFERROR(__xludf.DUMMYFUNCTION("""COMPUTED_VALUE"""),"●小禮物")</f>
        <v>●小禮物</v>
      </c>
      <c r="H1602" s="8"/>
    </row>
    <row r="1603">
      <c r="A1603" s="18"/>
      <c r="B1603" s="14">
        <f>IFERROR(__xludf.DUMMYFUNCTION("""COMPUTED_VALUE"""),1182231.0)</f>
        <v>1182231</v>
      </c>
      <c r="C1603" s="14" t="str">
        <f>IFERROR(__xludf.DUMMYFUNCTION("""COMPUTED_VALUE"""),"孫馥雅")</f>
        <v>孫馥雅</v>
      </c>
      <c r="D1603" s="16" t="str">
        <f>IFERROR(__xludf.DUMMYFUNCTION("""COMPUTED_VALUE"""),"107*****ail.bdes.tyc.edu.tw")</f>
        <v>107*****ail.bdes.tyc.edu.tw</v>
      </c>
      <c r="E1603" s="17" t="str">
        <f>IFERROR(__xludf.DUMMYFUNCTION("""COMPUTED_VALUE"""),"桃園市八德區八德國民小學")</f>
        <v>桃園市八德區八德國民小學</v>
      </c>
      <c r="F1603" s="14" t="str">
        <f>IFERROR(__xludf.DUMMYFUNCTION("""COMPUTED_VALUE"""),"五年級")</f>
        <v>五年級</v>
      </c>
      <c r="G1603" s="14" t="str">
        <f>IFERROR(__xludf.DUMMYFUNCTION("""COMPUTED_VALUE"""),"●小禮物")</f>
        <v>●小禮物</v>
      </c>
      <c r="H1603" s="8"/>
    </row>
    <row r="1604">
      <c r="A1604" s="18"/>
      <c r="B1604" s="14">
        <f>IFERROR(__xludf.DUMMYFUNCTION("""COMPUTED_VALUE"""),1182271.0)</f>
        <v>1182271</v>
      </c>
      <c r="C1604" s="14" t="str">
        <f>IFERROR(__xludf.DUMMYFUNCTION("""COMPUTED_VALUE"""),"游紓妃")</f>
        <v>游紓妃</v>
      </c>
      <c r="D1604" s="16" t="str">
        <f>IFERROR(__xludf.DUMMYFUNCTION("""COMPUTED_VALUE"""),"107*****ail.bdes.tyc.edu.tw")</f>
        <v>107*****ail.bdes.tyc.edu.tw</v>
      </c>
      <c r="E1604" s="17" t="str">
        <f>IFERROR(__xludf.DUMMYFUNCTION("""COMPUTED_VALUE"""),"桃園市八德區八德國民小學")</f>
        <v>桃園市八德區八德國民小學</v>
      </c>
      <c r="F1604" s="14" t="str">
        <f>IFERROR(__xludf.DUMMYFUNCTION("""COMPUTED_VALUE"""),"五年級")</f>
        <v>五年級</v>
      </c>
      <c r="G1604" s="14" t="str">
        <f>IFERROR(__xludf.DUMMYFUNCTION("""COMPUTED_VALUE"""),"●小禮物")</f>
        <v>●小禮物</v>
      </c>
      <c r="H1604" s="8"/>
    </row>
    <row r="1605">
      <c r="A1605" s="18"/>
      <c r="B1605" s="14">
        <f>IFERROR(__xludf.DUMMYFUNCTION("""COMPUTED_VALUE"""),1194899.0)</f>
        <v>1194899</v>
      </c>
      <c r="C1605" s="14" t="str">
        <f>IFERROR(__xludf.DUMMYFUNCTION("""COMPUTED_VALUE"""),"董依潔")</f>
        <v>董依潔</v>
      </c>
      <c r="D1605" s="16" t="str">
        <f>IFERROR(__xludf.DUMMYFUNCTION("""COMPUTED_VALUE"""),"107*****ail.bdes.tyc.edu.tw")</f>
        <v>107*****ail.bdes.tyc.edu.tw</v>
      </c>
      <c r="E1605" s="17" t="str">
        <f>IFERROR(__xludf.DUMMYFUNCTION("""COMPUTED_VALUE"""),"桃園市八德區八德國民小學")</f>
        <v>桃園市八德區八德國民小學</v>
      </c>
      <c r="F1605" s="14" t="str">
        <f>IFERROR(__xludf.DUMMYFUNCTION("""COMPUTED_VALUE"""),"五年級")</f>
        <v>五年級</v>
      </c>
      <c r="G1605" s="14" t="str">
        <f>IFERROR(__xludf.DUMMYFUNCTION("""COMPUTED_VALUE"""),"●小禮物")</f>
        <v>●小禮物</v>
      </c>
      <c r="H1605" s="8"/>
    </row>
    <row r="1606">
      <c r="A1606" s="18"/>
      <c r="B1606" s="14">
        <f>IFERROR(__xludf.DUMMYFUNCTION("""COMPUTED_VALUE"""),1182297.0)</f>
        <v>1182297</v>
      </c>
      <c r="C1606" s="14" t="str">
        <f>IFERROR(__xludf.DUMMYFUNCTION("""COMPUTED_VALUE"""),"廖芸漩")</f>
        <v>廖芸漩</v>
      </c>
      <c r="D1606" s="16" t="str">
        <f>IFERROR(__xludf.DUMMYFUNCTION("""COMPUTED_VALUE"""),"107*****ail.bdes.tyc.edu.tw")</f>
        <v>107*****ail.bdes.tyc.edu.tw</v>
      </c>
      <c r="E1606" s="17" t="str">
        <f>IFERROR(__xludf.DUMMYFUNCTION("""COMPUTED_VALUE"""),"桃園市八德區八德國民小學")</f>
        <v>桃園市八德區八德國民小學</v>
      </c>
      <c r="F1606" s="14" t="str">
        <f>IFERROR(__xludf.DUMMYFUNCTION("""COMPUTED_VALUE"""),"五年級")</f>
        <v>五年級</v>
      </c>
      <c r="G1606" s="14" t="str">
        <f>IFERROR(__xludf.DUMMYFUNCTION("""COMPUTED_VALUE"""),"●小禮物")</f>
        <v>●小禮物</v>
      </c>
      <c r="H1606" s="8"/>
    </row>
    <row r="1607">
      <c r="A1607" s="18"/>
      <c r="B1607" s="14">
        <f>IFERROR(__xludf.DUMMYFUNCTION("""COMPUTED_VALUE"""),1182273.0)</f>
        <v>1182273</v>
      </c>
      <c r="C1607" s="14" t="str">
        <f>IFERROR(__xludf.DUMMYFUNCTION("""COMPUTED_VALUE"""),"劉昱辰")</f>
        <v>劉昱辰</v>
      </c>
      <c r="D1607" s="16" t="str">
        <f>IFERROR(__xludf.DUMMYFUNCTION("""COMPUTED_VALUE"""),"107*****ail.bdes.tyc.edu.tw")</f>
        <v>107*****ail.bdes.tyc.edu.tw</v>
      </c>
      <c r="E1607" s="17" t="str">
        <f>IFERROR(__xludf.DUMMYFUNCTION("""COMPUTED_VALUE"""),"桃園市八德區八德國民小學")</f>
        <v>桃園市八德區八德國民小學</v>
      </c>
      <c r="F1607" s="14" t="str">
        <f>IFERROR(__xludf.DUMMYFUNCTION("""COMPUTED_VALUE"""),"五年級")</f>
        <v>五年級</v>
      </c>
      <c r="G1607" s="14" t="str">
        <f>IFERROR(__xludf.DUMMYFUNCTION("""COMPUTED_VALUE"""),"●小禮物")</f>
        <v>●小禮物</v>
      </c>
      <c r="H1607" s="8"/>
    </row>
    <row r="1608">
      <c r="A1608" s="18"/>
      <c r="B1608" s="14">
        <f>IFERROR(__xludf.DUMMYFUNCTION("""COMPUTED_VALUE"""),1182221.0)</f>
        <v>1182221</v>
      </c>
      <c r="C1608" s="14" t="str">
        <f>IFERROR(__xludf.DUMMYFUNCTION("""COMPUTED_VALUE"""),"賴宣卉")</f>
        <v>賴宣卉</v>
      </c>
      <c r="D1608" s="16" t="str">
        <f>IFERROR(__xludf.DUMMYFUNCTION("""COMPUTED_VALUE"""),"107*****ail.bdes.tyc.edu.tw")</f>
        <v>107*****ail.bdes.tyc.edu.tw</v>
      </c>
      <c r="E1608" s="17" t="str">
        <f>IFERROR(__xludf.DUMMYFUNCTION("""COMPUTED_VALUE"""),"桃園市八德區八德國民小學")</f>
        <v>桃園市八德區八德國民小學</v>
      </c>
      <c r="F1608" s="14" t="str">
        <f>IFERROR(__xludf.DUMMYFUNCTION("""COMPUTED_VALUE"""),"五年級")</f>
        <v>五年級</v>
      </c>
      <c r="G1608" s="14" t="str">
        <f>IFERROR(__xludf.DUMMYFUNCTION("""COMPUTED_VALUE"""),"●小禮物")</f>
        <v>●小禮物</v>
      </c>
      <c r="H1608" s="8"/>
    </row>
    <row r="1609">
      <c r="A1609" s="18"/>
      <c r="B1609" s="14">
        <f>IFERROR(__xludf.DUMMYFUNCTION("""COMPUTED_VALUE"""),1182217.0)</f>
        <v>1182217</v>
      </c>
      <c r="C1609" s="14" t="str">
        <f>IFERROR(__xludf.DUMMYFUNCTION("""COMPUTED_VALUE"""),"謝孟甫")</f>
        <v>謝孟甫</v>
      </c>
      <c r="D1609" s="16" t="str">
        <f>IFERROR(__xludf.DUMMYFUNCTION("""COMPUTED_VALUE"""),"107*****ail.bdes.tyc.edu.tw")</f>
        <v>107*****ail.bdes.tyc.edu.tw</v>
      </c>
      <c r="E1609" s="17" t="str">
        <f>IFERROR(__xludf.DUMMYFUNCTION("""COMPUTED_VALUE"""),"桃園市八德區八德國民小學")</f>
        <v>桃園市八德區八德國民小學</v>
      </c>
      <c r="F1609" s="14" t="str">
        <f>IFERROR(__xludf.DUMMYFUNCTION("""COMPUTED_VALUE"""),"五年級")</f>
        <v>五年級</v>
      </c>
      <c r="G1609" s="14" t="str">
        <f>IFERROR(__xludf.DUMMYFUNCTION("""COMPUTED_VALUE"""),"●小禮物")</f>
        <v>●小禮物</v>
      </c>
      <c r="H1609" s="8"/>
    </row>
    <row r="1610">
      <c r="A1610" s="18"/>
      <c r="B1610" s="14">
        <f>IFERROR(__xludf.DUMMYFUNCTION("""COMPUTED_VALUE"""),1182276.0)</f>
        <v>1182276</v>
      </c>
      <c r="C1610" s="14" t="str">
        <f>IFERROR(__xludf.DUMMYFUNCTION("""COMPUTED_VALUE"""),"尤煒嘉")</f>
        <v>尤煒嘉</v>
      </c>
      <c r="D1610" s="16" t="str">
        <f>IFERROR(__xludf.DUMMYFUNCTION("""COMPUTED_VALUE"""),"107*****ail.bdes.tyc.edu.tw")</f>
        <v>107*****ail.bdes.tyc.edu.tw</v>
      </c>
      <c r="E1610" s="17" t="str">
        <f>IFERROR(__xludf.DUMMYFUNCTION("""COMPUTED_VALUE"""),"桃園市八德區八德國民小學")</f>
        <v>桃園市八德區八德國民小學</v>
      </c>
      <c r="F1610" s="14" t="str">
        <f>IFERROR(__xludf.DUMMYFUNCTION("""COMPUTED_VALUE"""),"五年級")</f>
        <v>五年級</v>
      </c>
      <c r="G1610" s="14" t="str">
        <f>IFERROR(__xludf.DUMMYFUNCTION("""COMPUTED_VALUE"""),"★禮券$200")</f>
        <v>★禮券$200</v>
      </c>
      <c r="H1610" s="8"/>
    </row>
    <row r="1611">
      <c r="A1611" s="18"/>
      <c r="B1611" s="14">
        <f>IFERROR(__xludf.DUMMYFUNCTION("""COMPUTED_VALUE"""),1182254.0)</f>
        <v>1182254</v>
      </c>
      <c r="C1611" s="14" t="str">
        <f>IFERROR(__xludf.DUMMYFUNCTION("""COMPUTED_VALUE"""),"李安之")</f>
        <v>李安之</v>
      </c>
      <c r="D1611" s="16" t="str">
        <f>IFERROR(__xludf.DUMMYFUNCTION("""COMPUTED_VALUE"""),"107*****ail.bdes.tyc.edu.tw")</f>
        <v>107*****ail.bdes.tyc.edu.tw</v>
      </c>
      <c r="E1611" s="17" t="str">
        <f>IFERROR(__xludf.DUMMYFUNCTION("""COMPUTED_VALUE"""),"桃園市八德區八德國民小學")</f>
        <v>桃園市八德區八德國民小學</v>
      </c>
      <c r="F1611" s="14" t="str">
        <f>IFERROR(__xludf.DUMMYFUNCTION("""COMPUTED_VALUE"""),"五年級")</f>
        <v>五年級</v>
      </c>
      <c r="G1611" s="14" t="str">
        <f>IFERROR(__xludf.DUMMYFUNCTION("""COMPUTED_VALUE"""),"獎狀")</f>
        <v>獎狀</v>
      </c>
      <c r="H1611" s="8"/>
    </row>
    <row r="1612">
      <c r="A1612" s="18"/>
      <c r="B1612" s="14">
        <f>IFERROR(__xludf.DUMMYFUNCTION("""COMPUTED_VALUE"""),1182222.0)</f>
        <v>1182222</v>
      </c>
      <c r="C1612" s="14" t="str">
        <f>IFERROR(__xludf.DUMMYFUNCTION("""COMPUTED_VALUE"""),"林芹湘")</f>
        <v>林芹湘</v>
      </c>
      <c r="D1612" s="16" t="str">
        <f>IFERROR(__xludf.DUMMYFUNCTION("""COMPUTED_VALUE"""),"107*****ail.bdes.tyc.edu.tw")</f>
        <v>107*****ail.bdes.tyc.edu.tw</v>
      </c>
      <c r="E1612" s="17" t="str">
        <f>IFERROR(__xludf.DUMMYFUNCTION("""COMPUTED_VALUE"""),"桃園市八德區八德國民小學")</f>
        <v>桃園市八德區八德國民小學</v>
      </c>
      <c r="F1612" s="14" t="str">
        <f>IFERROR(__xludf.DUMMYFUNCTION("""COMPUTED_VALUE"""),"五年級")</f>
        <v>五年級</v>
      </c>
      <c r="G1612" s="14" t="str">
        <f>IFERROR(__xludf.DUMMYFUNCTION("""COMPUTED_VALUE"""),"獎狀")</f>
        <v>獎狀</v>
      </c>
      <c r="H1612" s="8"/>
    </row>
    <row r="1613">
      <c r="A1613" s="18"/>
      <c r="B1613" s="14">
        <f>IFERROR(__xludf.DUMMYFUNCTION("""COMPUTED_VALUE"""),1182218.0)</f>
        <v>1182218</v>
      </c>
      <c r="C1613" s="14" t="str">
        <f>IFERROR(__xludf.DUMMYFUNCTION("""COMPUTED_VALUE"""),"林晨嫻")</f>
        <v>林晨嫻</v>
      </c>
      <c r="D1613" s="16" t="str">
        <f>IFERROR(__xludf.DUMMYFUNCTION("""COMPUTED_VALUE"""),"107*****ail.bdes.tyc.edu.tw")</f>
        <v>107*****ail.bdes.tyc.edu.tw</v>
      </c>
      <c r="E1613" s="17" t="str">
        <f>IFERROR(__xludf.DUMMYFUNCTION("""COMPUTED_VALUE"""),"桃園市八德區八德國民小學")</f>
        <v>桃園市八德區八德國民小學</v>
      </c>
      <c r="F1613" s="14" t="str">
        <f>IFERROR(__xludf.DUMMYFUNCTION("""COMPUTED_VALUE"""),"五年級")</f>
        <v>五年級</v>
      </c>
      <c r="G1613" s="14" t="str">
        <f>IFERROR(__xludf.DUMMYFUNCTION("""COMPUTED_VALUE"""),"獎狀")</f>
        <v>獎狀</v>
      </c>
      <c r="H1613" s="8"/>
    </row>
    <row r="1614">
      <c r="A1614" s="18"/>
      <c r="B1614" s="14">
        <f>IFERROR(__xludf.DUMMYFUNCTION("""COMPUTED_VALUE"""),1182224.0)</f>
        <v>1182224</v>
      </c>
      <c r="C1614" s="14" t="str">
        <f>IFERROR(__xludf.DUMMYFUNCTION("""COMPUTED_VALUE"""),"邱歆庭")</f>
        <v>邱歆庭</v>
      </c>
      <c r="D1614" s="16" t="str">
        <f>IFERROR(__xludf.DUMMYFUNCTION("""COMPUTED_VALUE"""),"107*****ail.bdes.tyc.edu.tw")</f>
        <v>107*****ail.bdes.tyc.edu.tw</v>
      </c>
      <c r="E1614" s="17" t="str">
        <f>IFERROR(__xludf.DUMMYFUNCTION("""COMPUTED_VALUE"""),"桃園市八德區八德國民小學")</f>
        <v>桃園市八德區八德國民小學</v>
      </c>
      <c r="F1614" s="14" t="str">
        <f>IFERROR(__xludf.DUMMYFUNCTION("""COMPUTED_VALUE"""),"五年級")</f>
        <v>五年級</v>
      </c>
      <c r="G1614" s="14" t="str">
        <f>IFERROR(__xludf.DUMMYFUNCTION("""COMPUTED_VALUE"""),"獎狀")</f>
        <v>獎狀</v>
      </c>
      <c r="H1614" s="8"/>
    </row>
    <row r="1615">
      <c r="A1615" s="18"/>
      <c r="B1615" s="14">
        <f>IFERROR(__xludf.DUMMYFUNCTION("""COMPUTED_VALUE"""),1182274.0)</f>
        <v>1182274</v>
      </c>
      <c r="C1615" s="14" t="str">
        <f>IFERROR(__xludf.DUMMYFUNCTION("""COMPUTED_VALUE"""),"高宇彤")</f>
        <v>高宇彤</v>
      </c>
      <c r="D1615" s="16" t="str">
        <f>IFERROR(__xludf.DUMMYFUNCTION("""COMPUTED_VALUE"""),"107*****ail.bdes.tyc.edu.tw")</f>
        <v>107*****ail.bdes.tyc.edu.tw</v>
      </c>
      <c r="E1615" s="17" t="str">
        <f>IFERROR(__xludf.DUMMYFUNCTION("""COMPUTED_VALUE"""),"桃園市八德區八德國民小學")</f>
        <v>桃園市八德區八德國民小學</v>
      </c>
      <c r="F1615" s="14" t="str">
        <f>IFERROR(__xludf.DUMMYFUNCTION("""COMPUTED_VALUE"""),"五年級")</f>
        <v>五年級</v>
      </c>
      <c r="G1615" s="14" t="str">
        <f>IFERROR(__xludf.DUMMYFUNCTION("""COMPUTED_VALUE"""),"獎狀")</f>
        <v>獎狀</v>
      </c>
      <c r="H1615" s="8"/>
    </row>
    <row r="1616">
      <c r="A1616" s="18"/>
      <c r="B1616" s="14">
        <f>IFERROR(__xludf.DUMMYFUNCTION("""COMPUTED_VALUE"""),1182229.0)</f>
        <v>1182229</v>
      </c>
      <c r="C1616" s="14" t="str">
        <f>IFERROR(__xludf.DUMMYFUNCTION("""COMPUTED_VALUE"""),"張晏僖")</f>
        <v>張晏僖</v>
      </c>
      <c r="D1616" s="16" t="str">
        <f>IFERROR(__xludf.DUMMYFUNCTION("""COMPUTED_VALUE"""),"107*****ail.bdes.tyc.edu.tw")</f>
        <v>107*****ail.bdes.tyc.edu.tw</v>
      </c>
      <c r="E1616" s="17" t="str">
        <f>IFERROR(__xludf.DUMMYFUNCTION("""COMPUTED_VALUE"""),"桃園市八德區八德國民小學")</f>
        <v>桃園市八德區八德國民小學</v>
      </c>
      <c r="F1616" s="14" t="str">
        <f>IFERROR(__xludf.DUMMYFUNCTION("""COMPUTED_VALUE"""),"五年級")</f>
        <v>五年級</v>
      </c>
      <c r="G1616" s="14" t="str">
        <f>IFERROR(__xludf.DUMMYFUNCTION("""COMPUTED_VALUE"""),"獎狀")</f>
        <v>獎狀</v>
      </c>
      <c r="H1616" s="8"/>
    </row>
    <row r="1617">
      <c r="A1617" s="18"/>
      <c r="B1617" s="14">
        <f>IFERROR(__xludf.DUMMYFUNCTION("""COMPUTED_VALUE"""),1194893.0)</f>
        <v>1194893</v>
      </c>
      <c r="C1617" s="14" t="str">
        <f>IFERROR(__xludf.DUMMYFUNCTION("""COMPUTED_VALUE"""),"許羽璇")</f>
        <v>許羽璇</v>
      </c>
      <c r="D1617" s="16" t="str">
        <f>IFERROR(__xludf.DUMMYFUNCTION("""COMPUTED_VALUE"""),"107*****ail.bdes.tyc.edu.tw")</f>
        <v>107*****ail.bdes.tyc.edu.tw</v>
      </c>
      <c r="E1617" s="17" t="str">
        <f>IFERROR(__xludf.DUMMYFUNCTION("""COMPUTED_VALUE"""),"桃園市八德區八德國民小學")</f>
        <v>桃園市八德區八德國民小學</v>
      </c>
      <c r="F1617" s="14" t="str">
        <f>IFERROR(__xludf.DUMMYFUNCTION("""COMPUTED_VALUE"""),"五年級")</f>
        <v>五年級</v>
      </c>
      <c r="G1617" s="14" t="str">
        <f>IFERROR(__xludf.DUMMYFUNCTION("""COMPUTED_VALUE"""),"獎狀")</f>
        <v>獎狀</v>
      </c>
      <c r="H1617" s="8"/>
    </row>
    <row r="1618">
      <c r="A1618" s="18"/>
      <c r="B1618" s="14">
        <f>IFERROR(__xludf.DUMMYFUNCTION("""COMPUTED_VALUE"""),1182249.0)</f>
        <v>1182249</v>
      </c>
      <c r="C1618" s="14" t="str">
        <f>IFERROR(__xludf.DUMMYFUNCTION("""COMPUTED_VALUE"""),"鄂昱璇")</f>
        <v>鄂昱璇</v>
      </c>
      <c r="D1618" s="16" t="str">
        <f>IFERROR(__xludf.DUMMYFUNCTION("""COMPUTED_VALUE"""),"107*****ail.bdes.tyc.edu.tw")</f>
        <v>107*****ail.bdes.tyc.edu.tw</v>
      </c>
      <c r="E1618" s="17" t="str">
        <f>IFERROR(__xludf.DUMMYFUNCTION("""COMPUTED_VALUE"""),"桃園市八德區八德國民小學")</f>
        <v>桃園市八德區八德國民小學</v>
      </c>
      <c r="F1618" s="14" t="str">
        <f>IFERROR(__xludf.DUMMYFUNCTION("""COMPUTED_VALUE"""),"五年級")</f>
        <v>五年級</v>
      </c>
      <c r="G1618" s="14" t="str">
        <f>IFERROR(__xludf.DUMMYFUNCTION("""COMPUTED_VALUE"""),"獎狀")</f>
        <v>獎狀</v>
      </c>
      <c r="H1618" s="8"/>
    </row>
    <row r="1619">
      <c r="A1619" s="18"/>
      <c r="B1619" s="14">
        <f>IFERROR(__xludf.DUMMYFUNCTION("""COMPUTED_VALUE"""),1182253.0)</f>
        <v>1182253</v>
      </c>
      <c r="C1619" s="14" t="str">
        <f>IFERROR(__xludf.DUMMYFUNCTION("""COMPUTED_VALUE"""),"黃祺叡")</f>
        <v>黃祺叡</v>
      </c>
      <c r="D1619" s="16" t="str">
        <f>IFERROR(__xludf.DUMMYFUNCTION("""COMPUTED_VALUE"""),"107*****ail.bdes.tyc.edu.tw")</f>
        <v>107*****ail.bdes.tyc.edu.tw</v>
      </c>
      <c r="E1619" s="17" t="str">
        <f>IFERROR(__xludf.DUMMYFUNCTION("""COMPUTED_VALUE"""),"桃園市八德區八德國民小學")</f>
        <v>桃園市八德區八德國民小學</v>
      </c>
      <c r="F1619" s="14" t="str">
        <f>IFERROR(__xludf.DUMMYFUNCTION("""COMPUTED_VALUE"""),"五年級")</f>
        <v>五年級</v>
      </c>
      <c r="G1619" s="14" t="str">
        <f>IFERROR(__xludf.DUMMYFUNCTION("""COMPUTED_VALUE"""),"獎狀")</f>
        <v>獎狀</v>
      </c>
      <c r="H1619" s="8"/>
    </row>
    <row r="1620">
      <c r="A1620" s="18"/>
      <c r="B1620" s="14">
        <f>IFERROR(__xludf.DUMMYFUNCTION("""COMPUTED_VALUE"""),1182230.0)</f>
        <v>1182230</v>
      </c>
      <c r="C1620" s="14" t="str">
        <f>IFERROR(__xludf.DUMMYFUNCTION("""COMPUTED_VALUE"""),"楊千億")</f>
        <v>楊千億</v>
      </c>
      <c r="D1620" s="16" t="str">
        <f>IFERROR(__xludf.DUMMYFUNCTION("""COMPUTED_VALUE"""),"107*****ail.bdes.tyc.edu.tw")</f>
        <v>107*****ail.bdes.tyc.edu.tw</v>
      </c>
      <c r="E1620" s="17" t="str">
        <f>IFERROR(__xludf.DUMMYFUNCTION("""COMPUTED_VALUE"""),"桃園市八德區八德國民小學")</f>
        <v>桃園市八德區八德國民小學</v>
      </c>
      <c r="F1620" s="14" t="str">
        <f>IFERROR(__xludf.DUMMYFUNCTION("""COMPUTED_VALUE"""),"五年級")</f>
        <v>五年級</v>
      </c>
      <c r="G1620" s="14" t="str">
        <f>IFERROR(__xludf.DUMMYFUNCTION("""COMPUTED_VALUE"""),"獎狀")</f>
        <v>獎狀</v>
      </c>
      <c r="H1620" s="8"/>
    </row>
    <row r="1621">
      <c r="A1621" s="18"/>
      <c r="B1621" s="14">
        <f>IFERROR(__xludf.DUMMYFUNCTION("""COMPUTED_VALUE"""),1182268.0)</f>
        <v>1182268</v>
      </c>
      <c r="C1621" s="14" t="str">
        <f>IFERROR(__xludf.DUMMYFUNCTION("""COMPUTED_VALUE"""),"駱小米")</f>
        <v>駱小米</v>
      </c>
      <c r="D1621" s="16" t="str">
        <f>IFERROR(__xludf.DUMMYFUNCTION("""COMPUTED_VALUE"""),"107*****ail.bdes.tyc.edu.tw")</f>
        <v>107*****ail.bdes.tyc.edu.tw</v>
      </c>
      <c r="E1621" s="17" t="str">
        <f>IFERROR(__xludf.DUMMYFUNCTION("""COMPUTED_VALUE"""),"桃園市八德區八德國民小學")</f>
        <v>桃園市八德區八德國民小學</v>
      </c>
      <c r="F1621" s="14" t="str">
        <f>IFERROR(__xludf.DUMMYFUNCTION("""COMPUTED_VALUE"""),"五年級")</f>
        <v>五年級</v>
      </c>
      <c r="G1621" s="14" t="str">
        <f>IFERROR(__xludf.DUMMYFUNCTION("""COMPUTED_VALUE"""),"獎狀")</f>
        <v>獎狀</v>
      </c>
      <c r="H1621" s="8"/>
    </row>
    <row r="1622">
      <c r="A1622" s="18"/>
      <c r="B1622" s="14">
        <f>IFERROR(__xludf.DUMMYFUNCTION("""COMPUTED_VALUE"""),1182219.0)</f>
        <v>1182219</v>
      </c>
      <c r="C1622" s="14" t="str">
        <f>IFERROR(__xludf.DUMMYFUNCTION("""COMPUTED_VALUE"""),"謝沐芸")</f>
        <v>謝沐芸</v>
      </c>
      <c r="D1622" s="16" t="str">
        <f>IFERROR(__xludf.DUMMYFUNCTION("""COMPUTED_VALUE"""),"107*****ail.bdes.tyc.edu.tw")</f>
        <v>107*****ail.bdes.tyc.edu.tw</v>
      </c>
      <c r="E1622" s="17" t="str">
        <f>IFERROR(__xludf.DUMMYFUNCTION("""COMPUTED_VALUE"""),"桃園市八德區八德國民小學")</f>
        <v>桃園市八德區八德國民小學</v>
      </c>
      <c r="F1622" s="14" t="str">
        <f>IFERROR(__xludf.DUMMYFUNCTION("""COMPUTED_VALUE"""),"五年級")</f>
        <v>五年級</v>
      </c>
      <c r="G1622" s="14" t="str">
        <f>IFERROR(__xludf.DUMMYFUNCTION("""COMPUTED_VALUE"""),"獎狀")</f>
        <v>獎狀</v>
      </c>
      <c r="H1622" s="8"/>
    </row>
    <row r="1623">
      <c r="A1623" s="18"/>
      <c r="B1623" s="14">
        <f>IFERROR(__xludf.DUMMYFUNCTION("""COMPUTED_VALUE"""),1182256.0)</f>
        <v>1182256</v>
      </c>
      <c r="C1623" s="14" t="str">
        <f>IFERROR(__xludf.DUMMYFUNCTION("""COMPUTED_VALUE"""),"謝昀翰")</f>
        <v>謝昀翰</v>
      </c>
      <c r="D1623" s="16" t="str">
        <f>IFERROR(__xludf.DUMMYFUNCTION("""COMPUTED_VALUE"""),"107*****ail.bdes.tyc.edu.tw")</f>
        <v>107*****ail.bdes.tyc.edu.tw</v>
      </c>
      <c r="E1623" s="17" t="str">
        <f>IFERROR(__xludf.DUMMYFUNCTION("""COMPUTED_VALUE"""),"桃園市八德區八德國民小學")</f>
        <v>桃園市八德區八德國民小學</v>
      </c>
      <c r="F1623" s="14" t="str">
        <f>IFERROR(__xludf.DUMMYFUNCTION("""COMPUTED_VALUE"""),"五年級")</f>
        <v>五年級</v>
      </c>
      <c r="G1623" s="14" t="str">
        <f>IFERROR(__xludf.DUMMYFUNCTION("""COMPUTED_VALUE"""),"獎狀")</f>
        <v>獎狀</v>
      </c>
      <c r="H1623" s="8"/>
    </row>
    <row r="1624">
      <c r="A1624" s="18"/>
      <c r="B1624" s="14">
        <f>IFERROR(__xludf.DUMMYFUNCTION("""COMPUTED_VALUE"""),1180721.0)</f>
        <v>1180721</v>
      </c>
      <c r="C1624" s="14" t="str">
        <f>IFERROR(__xludf.DUMMYFUNCTION("""COMPUTED_VALUE"""),"田琪文")</f>
        <v>田琪文</v>
      </c>
      <c r="D1624" s="16" t="str">
        <f>IFERROR(__xludf.DUMMYFUNCTION("""COMPUTED_VALUE"""),"107*****ail.bdes.tyc.edu.tw")</f>
        <v>107*****ail.bdes.tyc.edu.tw</v>
      </c>
      <c r="E1624" s="17" t="str">
        <f>IFERROR(__xludf.DUMMYFUNCTION("""COMPUTED_VALUE"""),"桃園市八德區八德國民小學")</f>
        <v>桃園市八德區八德國民小學</v>
      </c>
      <c r="F1624" s="14" t="str">
        <f>IFERROR(__xludf.DUMMYFUNCTION("""COMPUTED_VALUE"""),"五年級")</f>
        <v>五年級</v>
      </c>
      <c r="G1624" s="14" t="str">
        <f>IFERROR(__xludf.DUMMYFUNCTION("""COMPUTED_VALUE"""),"●小禮物")</f>
        <v>●小禮物</v>
      </c>
      <c r="H1624" s="8"/>
    </row>
    <row r="1625">
      <c r="A1625" s="18"/>
      <c r="B1625" s="14">
        <f>IFERROR(__xludf.DUMMYFUNCTION("""COMPUTED_VALUE"""),1180778.0)</f>
        <v>1180778</v>
      </c>
      <c r="C1625" s="14" t="str">
        <f>IFERROR(__xludf.DUMMYFUNCTION("""COMPUTED_VALUE"""),"洪子茜")</f>
        <v>洪子茜</v>
      </c>
      <c r="D1625" s="16" t="str">
        <f>IFERROR(__xludf.DUMMYFUNCTION("""COMPUTED_VALUE"""),"107*****ail.bdes.tyc.edu.tw")</f>
        <v>107*****ail.bdes.tyc.edu.tw</v>
      </c>
      <c r="E1625" s="17" t="str">
        <f>IFERROR(__xludf.DUMMYFUNCTION("""COMPUTED_VALUE"""),"桃園市八德區八德國民小學")</f>
        <v>桃園市八德區八德國民小學</v>
      </c>
      <c r="F1625" s="14" t="str">
        <f>IFERROR(__xludf.DUMMYFUNCTION("""COMPUTED_VALUE"""),"五年級")</f>
        <v>五年級</v>
      </c>
      <c r="G1625" s="14" t="str">
        <f>IFERROR(__xludf.DUMMYFUNCTION("""COMPUTED_VALUE"""),"●小禮物")</f>
        <v>●小禮物</v>
      </c>
      <c r="H1625" s="8"/>
    </row>
    <row r="1626">
      <c r="A1626" s="18"/>
      <c r="B1626" s="14">
        <f>IFERROR(__xludf.DUMMYFUNCTION("""COMPUTED_VALUE"""),1180752.0)</f>
        <v>1180752</v>
      </c>
      <c r="C1626" s="14" t="str">
        <f>IFERROR(__xludf.DUMMYFUNCTION("""COMPUTED_VALUE"""),"陳敬堯")</f>
        <v>陳敬堯</v>
      </c>
      <c r="D1626" s="16" t="str">
        <f>IFERROR(__xludf.DUMMYFUNCTION("""COMPUTED_VALUE"""),"107*****ail.bdes.tyc.edu.tw")</f>
        <v>107*****ail.bdes.tyc.edu.tw</v>
      </c>
      <c r="E1626" s="17" t="str">
        <f>IFERROR(__xludf.DUMMYFUNCTION("""COMPUTED_VALUE"""),"桃園市八德區八德國民小學")</f>
        <v>桃園市八德區八德國民小學</v>
      </c>
      <c r="F1626" s="14" t="str">
        <f>IFERROR(__xludf.DUMMYFUNCTION("""COMPUTED_VALUE"""),"五年級")</f>
        <v>五年級</v>
      </c>
      <c r="G1626" s="14" t="str">
        <f>IFERROR(__xludf.DUMMYFUNCTION("""COMPUTED_VALUE"""),"●小禮物")</f>
        <v>●小禮物</v>
      </c>
      <c r="H1626" s="8"/>
    </row>
    <row r="1627">
      <c r="A1627" s="18"/>
      <c r="B1627" s="14">
        <f>IFERROR(__xludf.DUMMYFUNCTION("""COMPUTED_VALUE"""),1180756.0)</f>
        <v>1180756</v>
      </c>
      <c r="C1627" s="14" t="str">
        <f>IFERROR(__xludf.DUMMYFUNCTION("""COMPUTED_VALUE"""),"陳瀅亘")</f>
        <v>陳瀅亘</v>
      </c>
      <c r="D1627" s="16" t="str">
        <f>IFERROR(__xludf.DUMMYFUNCTION("""COMPUTED_VALUE"""),"107*****ail.bdes.tyc.edu.tw")</f>
        <v>107*****ail.bdes.tyc.edu.tw</v>
      </c>
      <c r="E1627" s="17" t="str">
        <f>IFERROR(__xludf.DUMMYFUNCTION("""COMPUTED_VALUE"""),"桃園市八德區八德國民小學")</f>
        <v>桃園市八德區八德國民小學</v>
      </c>
      <c r="F1627" s="14" t="str">
        <f>IFERROR(__xludf.DUMMYFUNCTION("""COMPUTED_VALUE"""),"五年級")</f>
        <v>五年級</v>
      </c>
      <c r="G1627" s="14" t="str">
        <f>IFERROR(__xludf.DUMMYFUNCTION("""COMPUTED_VALUE"""),"●小禮物")</f>
        <v>●小禮物</v>
      </c>
      <c r="H1627" s="8"/>
    </row>
    <row r="1628">
      <c r="A1628" s="18"/>
      <c r="B1628" s="14">
        <f>IFERROR(__xludf.DUMMYFUNCTION("""COMPUTED_VALUE"""),1180794.0)</f>
        <v>1180794</v>
      </c>
      <c r="C1628" s="14" t="str">
        <f>IFERROR(__xludf.DUMMYFUNCTION("""COMPUTED_VALUE"""),"葉子綾")</f>
        <v>葉子綾</v>
      </c>
      <c r="D1628" s="16" t="str">
        <f>IFERROR(__xludf.DUMMYFUNCTION("""COMPUTED_VALUE"""),"107*****ail.bdes.tyc.edu.tw")</f>
        <v>107*****ail.bdes.tyc.edu.tw</v>
      </c>
      <c r="E1628" s="17" t="str">
        <f>IFERROR(__xludf.DUMMYFUNCTION("""COMPUTED_VALUE"""),"桃園市八德區八德國民小學")</f>
        <v>桃園市八德區八德國民小學</v>
      </c>
      <c r="F1628" s="14" t="str">
        <f>IFERROR(__xludf.DUMMYFUNCTION("""COMPUTED_VALUE"""),"五年級")</f>
        <v>五年級</v>
      </c>
      <c r="G1628" s="14" t="str">
        <f>IFERROR(__xludf.DUMMYFUNCTION("""COMPUTED_VALUE"""),"●小禮物")</f>
        <v>●小禮物</v>
      </c>
      <c r="H1628" s="8"/>
    </row>
    <row r="1629">
      <c r="A1629" s="18"/>
      <c r="B1629" s="14">
        <f>IFERROR(__xludf.DUMMYFUNCTION("""COMPUTED_VALUE"""),1180740.0)</f>
        <v>1180740</v>
      </c>
      <c r="C1629" s="14" t="str">
        <f>IFERROR(__xludf.DUMMYFUNCTION("""COMPUTED_VALUE"""),"謝秉佑")</f>
        <v>謝秉佑</v>
      </c>
      <c r="D1629" s="16" t="str">
        <f>IFERROR(__xludf.DUMMYFUNCTION("""COMPUTED_VALUE"""),"107*****ail.bdes.tyc.edu.tw")</f>
        <v>107*****ail.bdes.tyc.edu.tw</v>
      </c>
      <c r="E1629" s="17" t="str">
        <f>IFERROR(__xludf.DUMMYFUNCTION("""COMPUTED_VALUE"""),"桃園市八德區八德國民小學")</f>
        <v>桃園市八德區八德國民小學</v>
      </c>
      <c r="F1629" s="14" t="str">
        <f>IFERROR(__xludf.DUMMYFUNCTION("""COMPUTED_VALUE"""),"五年級")</f>
        <v>五年級</v>
      </c>
      <c r="G1629" s="14" t="str">
        <f>IFERROR(__xludf.DUMMYFUNCTION("""COMPUTED_VALUE"""),"●小禮物")</f>
        <v>●小禮物</v>
      </c>
      <c r="H1629" s="8"/>
    </row>
    <row r="1630">
      <c r="A1630" s="18"/>
      <c r="B1630" s="14">
        <f>IFERROR(__xludf.DUMMYFUNCTION("""COMPUTED_VALUE"""),1180725.0)</f>
        <v>1180725</v>
      </c>
      <c r="C1630" s="14" t="str">
        <f>IFERROR(__xludf.DUMMYFUNCTION("""COMPUTED_VALUE"""),"簡珮芹")</f>
        <v>簡珮芹</v>
      </c>
      <c r="D1630" s="16" t="str">
        <f>IFERROR(__xludf.DUMMYFUNCTION("""COMPUTED_VALUE"""),"107*****ail.bdes.tyc.edu.tw")</f>
        <v>107*****ail.bdes.tyc.edu.tw</v>
      </c>
      <c r="E1630" s="17" t="str">
        <f>IFERROR(__xludf.DUMMYFUNCTION("""COMPUTED_VALUE"""),"桃園市八德區八德國民小學")</f>
        <v>桃園市八德區八德國民小學</v>
      </c>
      <c r="F1630" s="14" t="str">
        <f>IFERROR(__xludf.DUMMYFUNCTION("""COMPUTED_VALUE"""),"五年級")</f>
        <v>五年級</v>
      </c>
      <c r="G1630" s="14" t="str">
        <f>IFERROR(__xludf.DUMMYFUNCTION("""COMPUTED_VALUE"""),"●小禮物")</f>
        <v>●小禮物</v>
      </c>
      <c r="H1630" s="8"/>
    </row>
    <row r="1631">
      <c r="A1631" s="18"/>
      <c r="B1631" s="14">
        <f>IFERROR(__xludf.DUMMYFUNCTION("""COMPUTED_VALUE"""),1180750.0)</f>
        <v>1180750</v>
      </c>
      <c r="C1631" s="14" t="str">
        <f>IFERROR(__xludf.DUMMYFUNCTION("""COMPUTED_VALUE"""),"朱偉豪")</f>
        <v>朱偉豪</v>
      </c>
      <c r="D1631" s="16" t="str">
        <f>IFERROR(__xludf.DUMMYFUNCTION("""COMPUTED_VALUE"""),"107*****ail.bdes.tyc.edu.tw")</f>
        <v>107*****ail.bdes.tyc.edu.tw</v>
      </c>
      <c r="E1631" s="17" t="str">
        <f>IFERROR(__xludf.DUMMYFUNCTION("""COMPUTED_VALUE"""),"桃園市八德區八德國民小學")</f>
        <v>桃園市八德區八德國民小學</v>
      </c>
      <c r="F1631" s="14" t="str">
        <f>IFERROR(__xludf.DUMMYFUNCTION("""COMPUTED_VALUE"""),"五年級")</f>
        <v>五年級</v>
      </c>
      <c r="G1631" s="14" t="str">
        <f>IFERROR(__xludf.DUMMYFUNCTION("""COMPUTED_VALUE"""),"獎狀")</f>
        <v>獎狀</v>
      </c>
      <c r="H1631" s="8"/>
    </row>
    <row r="1632">
      <c r="A1632" s="18"/>
      <c r="B1632" s="14">
        <f>IFERROR(__xludf.DUMMYFUNCTION("""COMPUTED_VALUE"""),1180774.0)</f>
        <v>1180774</v>
      </c>
      <c r="C1632" s="14" t="str">
        <f>IFERROR(__xludf.DUMMYFUNCTION("""COMPUTED_VALUE"""),"余悅葳")</f>
        <v>余悅葳</v>
      </c>
      <c r="D1632" s="16" t="str">
        <f>IFERROR(__xludf.DUMMYFUNCTION("""COMPUTED_VALUE"""),"107*****ail.bdes.tyc.edu.tw")</f>
        <v>107*****ail.bdes.tyc.edu.tw</v>
      </c>
      <c r="E1632" s="17" t="str">
        <f>IFERROR(__xludf.DUMMYFUNCTION("""COMPUTED_VALUE"""),"桃園市八德區八德國民小學")</f>
        <v>桃園市八德區八德國民小學</v>
      </c>
      <c r="F1632" s="14" t="str">
        <f>IFERROR(__xludf.DUMMYFUNCTION("""COMPUTED_VALUE"""),"五年級")</f>
        <v>五年級</v>
      </c>
      <c r="G1632" s="14" t="str">
        <f>IFERROR(__xludf.DUMMYFUNCTION("""COMPUTED_VALUE"""),"獎狀")</f>
        <v>獎狀</v>
      </c>
      <c r="H1632" s="8"/>
    </row>
    <row r="1633">
      <c r="A1633" s="18"/>
      <c r="B1633" s="14">
        <f>IFERROR(__xludf.DUMMYFUNCTION("""COMPUTED_VALUE"""),1180739.0)</f>
        <v>1180739</v>
      </c>
      <c r="C1633" s="14" t="str">
        <f>IFERROR(__xludf.DUMMYFUNCTION("""COMPUTED_VALUE"""),"吳宇欣")</f>
        <v>吳宇欣</v>
      </c>
      <c r="D1633" s="16" t="str">
        <f>IFERROR(__xludf.DUMMYFUNCTION("""COMPUTED_VALUE"""),"107*****ail.bdes.tyc.edu.tw")</f>
        <v>107*****ail.bdes.tyc.edu.tw</v>
      </c>
      <c r="E1633" s="17" t="str">
        <f>IFERROR(__xludf.DUMMYFUNCTION("""COMPUTED_VALUE"""),"桃園市八德區八德國民小學")</f>
        <v>桃園市八德區八德國民小學</v>
      </c>
      <c r="F1633" s="14" t="str">
        <f>IFERROR(__xludf.DUMMYFUNCTION("""COMPUTED_VALUE"""),"五年級")</f>
        <v>五年級</v>
      </c>
      <c r="G1633" s="14" t="str">
        <f>IFERROR(__xludf.DUMMYFUNCTION("""COMPUTED_VALUE"""),"獎狀")</f>
        <v>獎狀</v>
      </c>
      <c r="H1633" s="8"/>
    </row>
    <row r="1634">
      <c r="A1634" s="18"/>
      <c r="B1634" s="14">
        <f>IFERROR(__xludf.DUMMYFUNCTION("""COMPUTED_VALUE"""),1180773.0)</f>
        <v>1180773</v>
      </c>
      <c r="C1634" s="14" t="str">
        <f>IFERROR(__xludf.DUMMYFUNCTION("""COMPUTED_VALUE"""),"吳姵蓁")</f>
        <v>吳姵蓁</v>
      </c>
      <c r="D1634" s="16" t="str">
        <f>IFERROR(__xludf.DUMMYFUNCTION("""COMPUTED_VALUE"""),"107*****ail.bdes.tyc.edu.tw")</f>
        <v>107*****ail.bdes.tyc.edu.tw</v>
      </c>
      <c r="E1634" s="17" t="str">
        <f>IFERROR(__xludf.DUMMYFUNCTION("""COMPUTED_VALUE"""),"桃園市八德區八德國民小學")</f>
        <v>桃園市八德區八德國民小學</v>
      </c>
      <c r="F1634" s="14" t="str">
        <f>IFERROR(__xludf.DUMMYFUNCTION("""COMPUTED_VALUE"""),"五年級")</f>
        <v>五年級</v>
      </c>
      <c r="G1634" s="14" t="str">
        <f>IFERROR(__xludf.DUMMYFUNCTION("""COMPUTED_VALUE"""),"獎狀")</f>
        <v>獎狀</v>
      </c>
      <c r="H1634" s="8"/>
    </row>
    <row r="1635">
      <c r="A1635" s="18"/>
      <c r="B1635" s="14">
        <f>IFERROR(__xludf.DUMMYFUNCTION("""COMPUTED_VALUE"""),1180777.0)</f>
        <v>1180777</v>
      </c>
      <c r="C1635" s="14" t="str">
        <f>IFERROR(__xludf.DUMMYFUNCTION("""COMPUTED_VALUE"""),"呂寬羿")</f>
        <v>呂寬羿</v>
      </c>
      <c r="D1635" s="16" t="str">
        <f>IFERROR(__xludf.DUMMYFUNCTION("""COMPUTED_VALUE"""),"107*****ail.bdes.tyc.edu.tw")</f>
        <v>107*****ail.bdes.tyc.edu.tw</v>
      </c>
      <c r="E1635" s="17" t="str">
        <f>IFERROR(__xludf.DUMMYFUNCTION("""COMPUTED_VALUE"""),"桃園市八德區八德國民小學")</f>
        <v>桃園市八德區八德國民小學</v>
      </c>
      <c r="F1635" s="14" t="str">
        <f>IFERROR(__xludf.DUMMYFUNCTION("""COMPUTED_VALUE"""),"五年級")</f>
        <v>五年級</v>
      </c>
      <c r="G1635" s="14" t="str">
        <f>IFERROR(__xludf.DUMMYFUNCTION("""COMPUTED_VALUE"""),"獎狀")</f>
        <v>獎狀</v>
      </c>
      <c r="H1635" s="8"/>
    </row>
    <row r="1636">
      <c r="A1636" s="18"/>
      <c r="B1636" s="14">
        <f>IFERROR(__xludf.DUMMYFUNCTION("""COMPUTED_VALUE"""),1180769.0)</f>
        <v>1180769</v>
      </c>
      <c r="C1636" s="14" t="str">
        <f>IFERROR(__xludf.DUMMYFUNCTION("""COMPUTED_VALUE"""),"林沛璇")</f>
        <v>林沛璇</v>
      </c>
      <c r="D1636" s="16" t="str">
        <f>IFERROR(__xludf.DUMMYFUNCTION("""COMPUTED_VALUE"""),"107*****ail.bdes.tyc.edu.tw")</f>
        <v>107*****ail.bdes.tyc.edu.tw</v>
      </c>
      <c r="E1636" s="17" t="str">
        <f>IFERROR(__xludf.DUMMYFUNCTION("""COMPUTED_VALUE"""),"桃園市八德區八德國民小學")</f>
        <v>桃園市八德區八德國民小學</v>
      </c>
      <c r="F1636" s="14" t="str">
        <f>IFERROR(__xludf.DUMMYFUNCTION("""COMPUTED_VALUE"""),"五年級")</f>
        <v>五年級</v>
      </c>
      <c r="G1636" s="14" t="str">
        <f>IFERROR(__xludf.DUMMYFUNCTION("""COMPUTED_VALUE"""),"獎狀")</f>
        <v>獎狀</v>
      </c>
      <c r="H1636" s="8"/>
    </row>
    <row r="1637">
      <c r="A1637" s="18"/>
      <c r="B1637" s="14">
        <f>IFERROR(__xludf.DUMMYFUNCTION("""COMPUTED_VALUE"""),1180727.0)</f>
        <v>1180727</v>
      </c>
      <c r="C1637" s="14" t="str">
        <f>IFERROR(__xludf.DUMMYFUNCTION("""COMPUTED_VALUE"""),"林宴岑")</f>
        <v>林宴岑</v>
      </c>
      <c r="D1637" s="16" t="str">
        <f>IFERROR(__xludf.DUMMYFUNCTION("""COMPUTED_VALUE"""),"107*****ail.bdes.tyc.edu.tw")</f>
        <v>107*****ail.bdes.tyc.edu.tw</v>
      </c>
      <c r="E1637" s="17" t="str">
        <f>IFERROR(__xludf.DUMMYFUNCTION("""COMPUTED_VALUE"""),"桃園市八德區八德國民小學")</f>
        <v>桃園市八德區八德國民小學</v>
      </c>
      <c r="F1637" s="14" t="str">
        <f>IFERROR(__xludf.DUMMYFUNCTION("""COMPUTED_VALUE"""),"五年級")</f>
        <v>五年級</v>
      </c>
      <c r="G1637" s="14" t="str">
        <f>IFERROR(__xludf.DUMMYFUNCTION("""COMPUTED_VALUE"""),"獎狀")</f>
        <v>獎狀</v>
      </c>
      <c r="H1637" s="8"/>
    </row>
    <row r="1638">
      <c r="A1638" s="18"/>
      <c r="B1638" s="14">
        <f>IFERROR(__xludf.DUMMYFUNCTION("""COMPUTED_VALUE"""),1180781.0)</f>
        <v>1180781</v>
      </c>
      <c r="C1638" s="14" t="str">
        <f>IFERROR(__xludf.DUMMYFUNCTION("""COMPUTED_VALUE"""),"祁夢蓁")</f>
        <v>祁夢蓁</v>
      </c>
      <c r="D1638" s="16" t="str">
        <f>IFERROR(__xludf.DUMMYFUNCTION("""COMPUTED_VALUE"""),"107*****ail.bdes.tyc.edu.tw")</f>
        <v>107*****ail.bdes.tyc.edu.tw</v>
      </c>
      <c r="E1638" s="17" t="str">
        <f>IFERROR(__xludf.DUMMYFUNCTION("""COMPUTED_VALUE"""),"桃園市八德區八德國民小學")</f>
        <v>桃園市八德區八德國民小學</v>
      </c>
      <c r="F1638" s="14" t="str">
        <f>IFERROR(__xludf.DUMMYFUNCTION("""COMPUTED_VALUE"""),"五年級")</f>
        <v>五年級</v>
      </c>
      <c r="G1638" s="14" t="str">
        <f>IFERROR(__xludf.DUMMYFUNCTION("""COMPUTED_VALUE"""),"獎狀")</f>
        <v>獎狀</v>
      </c>
      <c r="H1638" s="8"/>
    </row>
    <row r="1639">
      <c r="A1639" s="18"/>
      <c r="B1639" s="14">
        <f>IFERROR(__xludf.DUMMYFUNCTION("""COMPUTED_VALUE"""),1180734.0)</f>
        <v>1180734</v>
      </c>
      <c r="C1639" s="14" t="str">
        <f>IFERROR(__xludf.DUMMYFUNCTION("""COMPUTED_VALUE"""),"邱柏勳")</f>
        <v>邱柏勳</v>
      </c>
      <c r="D1639" s="16" t="str">
        <f>IFERROR(__xludf.DUMMYFUNCTION("""COMPUTED_VALUE"""),"107*****ail.bdes.tyc.edu.tw")</f>
        <v>107*****ail.bdes.tyc.edu.tw</v>
      </c>
      <c r="E1639" s="17" t="str">
        <f>IFERROR(__xludf.DUMMYFUNCTION("""COMPUTED_VALUE"""),"桃園市八德區八德國民小學")</f>
        <v>桃園市八德區八德國民小學</v>
      </c>
      <c r="F1639" s="14" t="str">
        <f>IFERROR(__xludf.DUMMYFUNCTION("""COMPUTED_VALUE"""),"五年級")</f>
        <v>五年級</v>
      </c>
      <c r="G1639" s="14" t="str">
        <f>IFERROR(__xludf.DUMMYFUNCTION("""COMPUTED_VALUE"""),"獎狀")</f>
        <v>獎狀</v>
      </c>
      <c r="H1639" s="8"/>
    </row>
    <row r="1640">
      <c r="A1640" s="18"/>
      <c r="B1640" s="14">
        <f>IFERROR(__xludf.DUMMYFUNCTION("""COMPUTED_VALUE"""),1180726.0)</f>
        <v>1180726</v>
      </c>
      <c r="C1640" s="14" t="str">
        <f>IFERROR(__xludf.DUMMYFUNCTION("""COMPUTED_VALUE"""),"邱述謙")</f>
        <v>邱述謙</v>
      </c>
      <c r="D1640" s="16" t="str">
        <f>IFERROR(__xludf.DUMMYFUNCTION("""COMPUTED_VALUE"""),"107*****ail.bdes.tyc.edu.tw")</f>
        <v>107*****ail.bdes.tyc.edu.tw</v>
      </c>
      <c r="E1640" s="17" t="str">
        <f>IFERROR(__xludf.DUMMYFUNCTION("""COMPUTED_VALUE"""),"桃園市八德區八德國民小學")</f>
        <v>桃園市八德區八德國民小學</v>
      </c>
      <c r="F1640" s="14" t="str">
        <f>IFERROR(__xludf.DUMMYFUNCTION("""COMPUTED_VALUE"""),"五年級")</f>
        <v>五年級</v>
      </c>
      <c r="G1640" s="14" t="str">
        <f>IFERROR(__xludf.DUMMYFUNCTION("""COMPUTED_VALUE"""),"獎狀")</f>
        <v>獎狀</v>
      </c>
      <c r="H1640" s="8"/>
    </row>
    <row r="1641">
      <c r="A1641" s="18"/>
      <c r="B1641" s="14">
        <f>IFERROR(__xludf.DUMMYFUNCTION("""COMPUTED_VALUE"""),1180779.0)</f>
        <v>1180779</v>
      </c>
      <c r="C1641" s="14" t="str">
        <f>IFERROR(__xludf.DUMMYFUNCTION("""COMPUTED_VALUE"""),"胡偉柏")</f>
        <v>胡偉柏</v>
      </c>
      <c r="D1641" s="16" t="str">
        <f>IFERROR(__xludf.DUMMYFUNCTION("""COMPUTED_VALUE"""),"107*****ail.bdes.tyc.edu.tw")</f>
        <v>107*****ail.bdes.tyc.edu.tw</v>
      </c>
      <c r="E1641" s="17" t="str">
        <f>IFERROR(__xludf.DUMMYFUNCTION("""COMPUTED_VALUE"""),"桃園市八德區八德國民小學")</f>
        <v>桃園市八德區八德國民小學</v>
      </c>
      <c r="F1641" s="14" t="str">
        <f>IFERROR(__xludf.DUMMYFUNCTION("""COMPUTED_VALUE"""),"五年級")</f>
        <v>五年級</v>
      </c>
      <c r="G1641" s="14" t="str">
        <f>IFERROR(__xludf.DUMMYFUNCTION("""COMPUTED_VALUE"""),"獎狀")</f>
        <v>獎狀</v>
      </c>
      <c r="H1641" s="8"/>
    </row>
    <row r="1642">
      <c r="A1642" s="18"/>
      <c r="B1642" s="14">
        <f>IFERROR(__xludf.DUMMYFUNCTION("""COMPUTED_VALUE"""),1180770.0)</f>
        <v>1180770</v>
      </c>
      <c r="C1642" s="14" t="str">
        <f>IFERROR(__xludf.DUMMYFUNCTION("""COMPUTED_VALUE"""),"馬崇勛")</f>
        <v>馬崇勛</v>
      </c>
      <c r="D1642" s="16" t="str">
        <f>IFERROR(__xludf.DUMMYFUNCTION("""COMPUTED_VALUE"""),"107*****ail.bdes.tyc.edu.tw")</f>
        <v>107*****ail.bdes.tyc.edu.tw</v>
      </c>
      <c r="E1642" s="17" t="str">
        <f>IFERROR(__xludf.DUMMYFUNCTION("""COMPUTED_VALUE"""),"桃園市八德區八德國民小學")</f>
        <v>桃園市八德區八德國民小學</v>
      </c>
      <c r="F1642" s="14" t="str">
        <f>IFERROR(__xludf.DUMMYFUNCTION("""COMPUTED_VALUE"""),"五年級")</f>
        <v>五年級</v>
      </c>
      <c r="G1642" s="14" t="str">
        <f>IFERROR(__xludf.DUMMYFUNCTION("""COMPUTED_VALUE"""),"獎狀")</f>
        <v>獎狀</v>
      </c>
      <c r="H1642" s="8"/>
    </row>
    <row r="1643">
      <c r="A1643" s="18"/>
      <c r="B1643" s="14">
        <f>IFERROR(__xludf.DUMMYFUNCTION("""COMPUTED_VALUE"""),1180785.0)</f>
        <v>1180785</v>
      </c>
      <c r="C1643" s="14" t="str">
        <f>IFERROR(__xludf.DUMMYFUNCTION("""COMPUTED_VALUE"""),"張芯榕")</f>
        <v>張芯榕</v>
      </c>
      <c r="D1643" s="16" t="str">
        <f>IFERROR(__xludf.DUMMYFUNCTION("""COMPUTED_VALUE"""),"107*****ail.bdes.tyc.edu.tw")</f>
        <v>107*****ail.bdes.tyc.edu.tw</v>
      </c>
      <c r="E1643" s="17" t="str">
        <f>IFERROR(__xludf.DUMMYFUNCTION("""COMPUTED_VALUE"""),"桃園市八德區八德國民小學")</f>
        <v>桃園市八德區八德國民小學</v>
      </c>
      <c r="F1643" s="14" t="str">
        <f>IFERROR(__xludf.DUMMYFUNCTION("""COMPUTED_VALUE"""),"五年級")</f>
        <v>五年級</v>
      </c>
      <c r="G1643" s="14" t="str">
        <f>IFERROR(__xludf.DUMMYFUNCTION("""COMPUTED_VALUE"""),"獎狀")</f>
        <v>獎狀</v>
      </c>
      <c r="H1643" s="8"/>
    </row>
    <row r="1644">
      <c r="A1644" s="18"/>
      <c r="B1644" s="14">
        <f>IFERROR(__xludf.DUMMYFUNCTION("""COMPUTED_VALUE"""),1192956.0)</f>
        <v>1192956</v>
      </c>
      <c r="C1644" s="14" t="str">
        <f>IFERROR(__xludf.DUMMYFUNCTION("""COMPUTED_VALUE"""),"張慈瓔")</f>
        <v>張慈瓔</v>
      </c>
      <c r="D1644" s="16" t="str">
        <f>IFERROR(__xludf.DUMMYFUNCTION("""COMPUTED_VALUE"""),"107*****ail.bdes.tyc.edu.tw")</f>
        <v>107*****ail.bdes.tyc.edu.tw</v>
      </c>
      <c r="E1644" s="17" t="str">
        <f>IFERROR(__xludf.DUMMYFUNCTION("""COMPUTED_VALUE"""),"桃園市八德區八德國民小學")</f>
        <v>桃園市八德區八德國民小學</v>
      </c>
      <c r="F1644" s="14" t="str">
        <f>IFERROR(__xludf.DUMMYFUNCTION("""COMPUTED_VALUE"""),"五年級")</f>
        <v>五年級</v>
      </c>
      <c r="G1644" s="14" t="str">
        <f>IFERROR(__xludf.DUMMYFUNCTION("""COMPUTED_VALUE"""),"獎狀")</f>
        <v>獎狀</v>
      </c>
      <c r="H1644" s="8"/>
    </row>
    <row r="1645">
      <c r="A1645" s="18"/>
      <c r="B1645" s="14">
        <f>IFERROR(__xludf.DUMMYFUNCTION("""COMPUTED_VALUE"""),1180749.0)</f>
        <v>1180749</v>
      </c>
      <c r="C1645" s="14" t="str">
        <f>IFERROR(__xludf.DUMMYFUNCTION("""COMPUTED_VALUE"""),"張蓮恩")</f>
        <v>張蓮恩</v>
      </c>
      <c r="D1645" s="16" t="str">
        <f>IFERROR(__xludf.DUMMYFUNCTION("""COMPUTED_VALUE"""),"107*****ail.bdes.tyc.edu.tw")</f>
        <v>107*****ail.bdes.tyc.edu.tw</v>
      </c>
      <c r="E1645" s="17" t="str">
        <f>IFERROR(__xludf.DUMMYFUNCTION("""COMPUTED_VALUE"""),"桃園市八德區八德國民小學")</f>
        <v>桃園市八德區八德國民小學</v>
      </c>
      <c r="F1645" s="14" t="str">
        <f>IFERROR(__xludf.DUMMYFUNCTION("""COMPUTED_VALUE"""),"五年級")</f>
        <v>五年級</v>
      </c>
      <c r="G1645" s="14" t="str">
        <f>IFERROR(__xludf.DUMMYFUNCTION("""COMPUTED_VALUE"""),"獎狀")</f>
        <v>獎狀</v>
      </c>
      <c r="H1645" s="8"/>
    </row>
    <row r="1646">
      <c r="A1646" s="18"/>
      <c r="B1646" s="14">
        <f>IFERROR(__xludf.DUMMYFUNCTION("""COMPUTED_VALUE"""),1180737.0)</f>
        <v>1180737</v>
      </c>
      <c r="C1646" s="14" t="str">
        <f>IFERROR(__xludf.DUMMYFUNCTION("""COMPUTED_VALUE"""),"郭于嫙")</f>
        <v>郭于嫙</v>
      </c>
      <c r="D1646" s="16" t="str">
        <f>IFERROR(__xludf.DUMMYFUNCTION("""COMPUTED_VALUE"""),"107*****ail.bdes.tyc.edu.tw")</f>
        <v>107*****ail.bdes.tyc.edu.tw</v>
      </c>
      <c r="E1646" s="17" t="str">
        <f>IFERROR(__xludf.DUMMYFUNCTION("""COMPUTED_VALUE"""),"桃園市八德區八德國民小學")</f>
        <v>桃園市八德區八德國民小學</v>
      </c>
      <c r="F1646" s="14" t="str">
        <f>IFERROR(__xludf.DUMMYFUNCTION("""COMPUTED_VALUE"""),"五年級")</f>
        <v>五年級</v>
      </c>
      <c r="G1646" s="14" t="str">
        <f>IFERROR(__xludf.DUMMYFUNCTION("""COMPUTED_VALUE"""),"獎狀")</f>
        <v>獎狀</v>
      </c>
      <c r="H1646" s="8"/>
    </row>
    <row r="1647">
      <c r="A1647" s="18"/>
      <c r="B1647" s="14">
        <f>IFERROR(__xludf.DUMMYFUNCTION("""COMPUTED_VALUE"""),1180738.0)</f>
        <v>1180738</v>
      </c>
      <c r="C1647" s="14" t="str">
        <f>IFERROR(__xludf.DUMMYFUNCTION("""COMPUTED_VALUE"""),"賴杰睿")</f>
        <v>賴杰睿</v>
      </c>
      <c r="D1647" s="16" t="str">
        <f>IFERROR(__xludf.DUMMYFUNCTION("""COMPUTED_VALUE"""),"107*****ail.bdes.tyc.edu.tw")</f>
        <v>107*****ail.bdes.tyc.edu.tw</v>
      </c>
      <c r="E1647" s="17" t="str">
        <f>IFERROR(__xludf.DUMMYFUNCTION("""COMPUTED_VALUE"""),"桃園市八德區八德國民小學")</f>
        <v>桃園市八德區八德國民小學</v>
      </c>
      <c r="F1647" s="14" t="str">
        <f>IFERROR(__xludf.DUMMYFUNCTION("""COMPUTED_VALUE"""),"五年級")</f>
        <v>五年級</v>
      </c>
      <c r="G1647" s="14" t="str">
        <f>IFERROR(__xludf.DUMMYFUNCTION("""COMPUTED_VALUE"""),"獎狀")</f>
        <v>獎狀</v>
      </c>
      <c r="H1647" s="8"/>
    </row>
    <row r="1648">
      <c r="A1648" s="18"/>
      <c r="B1648" s="14">
        <f>IFERROR(__xludf.DUMMYFUNCTION("""COMPUTED_VALUE"""),1180722.0)</f>
        <v>1180722</v>
      </c>
      <c r="C1648" s="14" t="str">
        <f>IFERROR(__xludf.DUMMYFUNCTION("""COMPUTED_VALUE"""),"賴政宏")</f>
        <v>賴政宏</v>
      </c>
      <c r="D1648" s="16" t="str">
        <f>IFERROR(__xludf.DUMMYFUNCTION("""COMPUTED_VALUE"""),"107*****ail.bdes.tyc.edu.tw")</f>
        <v>107*****ail.bdes.tyc.edu.tw</v>
      </c>
      <c r="E1648" s="17" t="str">
        <f>IFERROR(__xludf.DUMMYFUNCTION("""COMPUTED_VALUE"""),"桃園市八德區八德國民小學")</f>
        <v>桃園市八德區八德國民小學</v>
      </c>
      <c r="F1648" s="14" t="str">
        <f>IFERROR(__xludf.DUMMYFUNCTION("""COMPUTED_VALUE"""),"五年級")</f>
        <v>五年級</v>
      </c>
      <c r="G1648" s="14" t="str">
        <f>IFERROR(__xludf.DUMMYFUNCTION("""COMPUTED_VALUE"""),"獎狀")</f>
        <v>獎狀</v>
      </c>
      <c r="H1648" s="8"/>
    </row>
    <row r="1649">
      <c r="A1649" s="18"/>
      <c r="B1649" s="14">
        <f>IFERROR(__xludf.DUMMYFUNCTION("""COMPUTED_VALUE"""),1180742.0)</f>
        <v>1180742</v>
      </c>
      <c r="C1649" s="14" t="str">
        <f>IFERROR(__xludf.DUMMYFUNCTION("""COMPUTED_VALUE"""),"蘇渝涵")</f>
        <v>蘇渝涵</v>
      </c>
      <c r="D1649" s="16" t="str">
        <f>IFERROR(__xludf.DUMMYFUNCTION("""COMPUTED_VALUE"""),"107*****ail.bdes.tyc.edu.tw")</f>
        <v>107*****ail.bdes.tyc.edu.tw</v>
      </c>
      <c r="E1649" s="17" t="str">
        <f>IFERROR(__xludf.DUMMYFUNCTION("""COMPUTED_VALUE"""),"桃園市八德區八德國民小學")</f>
        <v>桃園市八德區八德國民小學</v>
      </c>
      <c r="F1649" s="14" t="str">
        <f>IFERROR(__xludf.DUMMYFUNCTION("""COMPUTED_VALUE"""),"五年級")</f>
        <v>五年級</v>
      </c>
      <c r="G1649" s="14" t="str">
        <f>IFERROR(__xludf.DUMMYFUNCTION("""COMPUTED_VALUE"""),"獎狀")</f>
        <v>獎狀</v>
      </c>
      <c r="H1649" s="8"/>
    </row>
    <row r="1650">
      <c r="A1650" s="18"/>
      <c r="B1650" s="14">
        <f>IFERROR(__xludf.DUMMYFUNCTION("""COMPUTED_VALUE"""),1204088.0)</f>
        <v>1204088</v>
      </c>
      <c r="C1650" s="14" t="str">
        <f>IFERROR(__xludf.DUMMYFUNCTION("""COMPUTED_VALUE"""),"李昕澄")</f>
        <v>李昕澄</v>
      </c>
      <c r="D1650" s="16" t="str">
        <f>IFERROR(__xludf.DUMMYFUNCTION("""COMPUTED_VALUE"""),"107*****ail.bdes.tyc.edu.tw")</f>
        <v>107*****ail.bdes.tyc.edu.tw</v>
      </c>
      <c r="E1650" s="17" t="str">
        <f>IFERROR(__xludf.DUMMYFUNCTION("""COMPUTED_VALUE"""),"桃園市八德區八德國民小學")</f>
        <v>桃園市八德區八德國民小學</v>
      </c>
      <c r="F1650" s="14" t="str">
        <f>IFERROR(__xludf.DUMMYFUNCTION("""COMPUTED_VALUE"""),"五年級")</f>
        <v>五年級</v>
      </c>
      <c r="G1650" s="14" t="str">
        <f>IFERROR(__xludf.DUMMYFUNCTION("""COMPUTED_VALUE"""),"●小禮物")</f>
        <v>●小禮物</v>
      </c>
      <c r="H1650" s="8"/>
    </row>
    <row r="1651">
      <c r="A1651" s="18"/>
      <c r="B1651" s="14">
        <f>IFERROR(__xludf.DUMMYFUNCTION("""COMPUTED_VALUE"""),1201436.0)</f>
        <v>1201436</v>
      </c>
      <c r="C1651" s="14" t="str">
        <f>IFERROR(__xludf.DUMMYFUNCTION("""COMPUTED_VALUE"""),"范相晴")</f>
        <v>范相晴</v>
      </c>
      <c r="D1651" s="16" t="str">
        <f>IFERROR(__xludf.DUMMYFUNCTION("""COMPUTED_VALUE"""),"107*****ail.bdes.tyc.edu.tw")</f>
        <v>107*****ail.bdes.tyc.edu.tw</v>
      </c>
      <c r="E1651" s="17" t="str">
        <f>IFERROR(__xludf.DUMMYFUNCTION("""COMPUTED_VALUE"""),"桃園市八德區八德國民小學")</f>
        <v>桃園市八德區八德國民小學</v>
      </c>
      <c r="F1651" s="14" t="str">
        <f>IFERROR(__xludf.DUMMYFUNCTION("""COMPUTED_VALUE"""),"五年級")</f>
        <v>五年級</v>
      </c>
      <c r="G1651" s="14" t="str">
        <f>IFERROR(__xludf.DUMMYFUNCTION("""COMPUTED_VALUE"""),"●小禮物")</f>
        <v>●小禮物</v>
      </c>
      <c r="H1651" s="8"/>
    </row>
    <row r="1652">
      <c r="A1652" s="18"/>
      <c r="B1652" s="14">
        <f>IFERROR(__xludf.DUMMYFUNCTION("""COMPUTED_VALUE"""),1212248.0)</f>
        <v>1212248</v>
      </c>
      <c r="C1652" s="14" t="str">
        <f>IFERROR(__xludf.DUMMYFUNCTION("""COMPUTED_VALUE"""),"張羽晴")</f>
        <v>張羽晴</v>
      </c>
      <c r="D1652" s="16" t="str">
        <f>IFERROR(__xludf.DUMMYFUNCTION("""COMPUTED_VALUE"""),"107*****ail.bdes.tyc.edu.tw")</f>
        <v>107*****ail.bdes.tyc.edu.tw</v>
      </c>
      <c r="E1652" s="17" t="str">
        <f>IFERROR(__xludf.DUMMYFUNCTION("""COMPUTED_VALUE"""),"桃園市八德區八德國民小學")</f>
        <v>桃園市八德區八德國民小學</v>
      </c>
      <c r="F1652" s="14" t="str">
        <f>IFERROR(__xludf.DUMMYFUNCTION("""COMPUTED_VALUE"""),"五年級")</f>
        <v>五年級</v>
      </c>
      <c r="G1652" s="14" t="str">
        <f>IFERROR(__xludf.DUMMYFUNCTION("""COMPUTED_VALUE"""),"●小禮物")</f>
        <v>●小禮物</v>
      </c>
      <c r="H1652" s="8"/>
    </row>
    <row r="1653">
      <c r="A1653" s="18"/>
      <c r="B1653" s="14">
        <f>IFERROR(__xludf.DUMMYFUNCTION("""COMPUTED_VALUE"""),1202799.0)</f>
        <v>1202799</v>
      </c>
      <c r="C1653" s="14" t="str">
        <f>IFERROR(__xludf.DUMMYFUNCTION("""COMPUTED_VALUE"""),"蕭承風")</f>
        <v>蕭承風</v>
      </c>
      <c r="D1653" s="16" t="str">
        <f>IFERROR(__xludf.DUMMYFUNCTION("""COMPUTED_VALUE"""),"107*****ail.bdes.tyc.edu.tw")</f>
        <v>107*****ail.bdes.tyc.edu.tw</v>
      </c>
      <c r="E1653" s="17" t="str">
        <f>IFERROR(__xludf.DUMMYFUNCTION("""COMPUTED_VALUE"""),"桃園市八德區八德國民小學")</f>
        <v>桃園市八德區八德國民小學</v>
      </c>
      <c r="F1653" s="14" t="str">
        <f>IFERROR(__xludf.DUMMYFUNCTION("""COMPUTED_VALUE"""),"五年級")</f>
        <v>五年級</v>
      </c>
      <c r="G1653" s="14" t="str">
        <f>IFERROR(__xludf.DUMMYFUNCTION("""COMPUTED_VALUE"""),"●小禮物")</f>
        <v>●小禮物</v>
      </c>
      <c r="H1653" s="8"/>
    </row>
    <row r="1654">
      <c r="A1654" s="18"/>
      <c r="B1654" s="14">
        <f>IFERROR(__xludf.DUMMYFUNCTION("""COMPUTED_VALUE"""),1202016.0)</f>
        <v>1202016</v>
      </c>
      <c r="C1654" s="14" t="str">
        <f>IFERROR(__xludf.DUMMYFUNCTION("""COMPUTED_VALUE"""),"李念芷")</f>
        <v>李念芷</v>
      </c>
      <c r="D1654" s="16" t="str">
        <f>IFERROR(__xludf.DUMMYFUNCTION("""COMPUTED_VALUE"""),"107*****ail.bdes.tyc.edu.tw")</f>
        <v>107*****ail.bdes.tyc.edu.tw</v>
      </c>
      <c r="E1654" s="17" t="str">
        <f>IFERROR(__xludf.DUMMYFUNCTION("""COMPUTED_VALUE"""),"桃園市八德區八德國民小學")</f>
        <v>桃園市八德區八德國民小學</v>
      </c>
      <c r="F1654" s="14" t="str">
        <f>IFERROR(__xludf.DUMMYFUNCTION("""COMPUTED_VALUE"""),"五年級")</f>
        <v>五年級</v>
      </c>
      <c r="G1654" s="14" t="str">
        <f>IFERROR(__xludf.DUMMYFUNCTION("""COMPUTED_VALUE"""),"獎狀")</f>
        <v>獎狀</v>
      </c>
      <c r="H1654" s="8"/>
    </row>
    <row r="1655">
      <c r="A1655" s="18"/>
      <c r="B1655" s="14">
        <f>IFERROR(__xludf.DUMMYFUNCTION("""COMPUTED_VALUE"""),1203009.0)</f>
        <v>1203009</v>
      </c>
      <c r="C1655" s="14" t="str">
        <f>IFERROR(__xludf.DUMMYFUNCTION("""COMPUTED_VALUE"""),"蘇佑宸")</f>
        <v>蘇佑宸</v>
      </c>
      <c r="D1655" s="16" t="str">
        <f>IFERROR(__xludf.DUMMYFUNCTION("""COMPUTED_VALUE"""),"107*****ail.bdes.tyc.edu.tw")</f>
        <v>107*****ail.bdes.tyc.edu.tw</v>
      </c>
      <c r="E1655" s="17" t="str">
        <f>IFERROR(__xludf.DUMMYFUNCTION("""COMPUTED_VALUE"""),"桃園市八德區八德國民小學")</f>
        <v>桃園市八德區八德國民小學</v>
      </c>
      <c r="F1655" s="14" t="str">
        <f>IFERROR(__xludf.DUMMYFUNCTION("""COMPUTED_VALUE"""),"五年級")</f>
        <v>五年級</v>
      </c>
      <c r="G1655" s="14" t="str">
        <f>IFERROR(__xludf.DUMMYFUNCTION("""COMPUTED_VALUE"""),"獎狀")</f>
        <v>獎狀</v>
      </c>
      <c r="H1655" s="8"/>
    </row>
    <row r="1656">
      <c r="A1656" s="18"/>
      <c r="B1656" s="14">
        <f>IFERROR(__xludf.DUMMYFUNCTION("""COMPUTED_VALUE"""),378058.0)</f>
        <v>378058</v>
      </c>
      <c r="C1656" s="14" t="str">
        <f>IFERROR(__xludf.DUMMYFUNCTION("""COMPUTED_VALUE"""),"陳怡帆")</f>
        <v>陳怡帆</v>
      </c>
      <c r="D1656" s="16" t="str">
        <f>IFERROR(__xludf.DUMMYFUNCTION("""COMPUTED_VALUE"""),"the*****67@mail.edu.tw")</f>
        <v>the*****67@mail.edu.tw</v>
      </c>
      <c r="E1656" s="17" t="str">
        <f>IFERROR(__xludf.DUMMYFUNCTION("""COMPUTED_VALUE"""),"桃園市大溪區田心國民小學")</f>
        <v>桃園市大溪區田心國民小學</v>
      </c>
      <c r="F1656" s="14" t="str">
        <f>IFERROR(__xludf.DUMMYFUNCTION("""COMPUTED_VALUE"""),"六年級")</f>
        <v>六年級</v>
      </c>
      <c r="G1656" s="14" t="str">
        <f>IFERROR(__xludf.DUMMYFUNCTION("""COMPUTED_VALUE"""),"●小禮物")</f>
        <v>●小禮物</v>
      </c>
      <c r="H1656" s="8"/>
    </row>
    <row r="1657">
      <c r="A1657" s="18"/>
      <c r="B1657" s="14">
        <f>IFERROR(__xludf.DUMMYFUNCTION("""COMPUTED_VALUE"""),652792.0)</f>
        <v>652792</v>
      </c>
      <c r="C1657" s="14" t="str">
        <f>IFERROR(__xludf.DUMMYFUNCTION("""COMPUTED_VALUE"""),"許婷甯")</f>
        <v>許婷甯</v>
      </c>
      <c r="D1657" s="16" t="str">
        <f>IFERROR(__xludf.DUMMYFUNCTION("""COMPUTED_VALUE"""),"lin*****0923@mail.edu.tw")</f>
        <v>lin*****0923@mail.edu.tw</v>
      </c>
      <c r="E1657" s="17" t="str">
        <f>IFERROR(__xludf.DUMMYFUNCTION("""COMPUTED_VALUE"""),"桃園市大園區大園國民小學")</f>
        <v>桃園市大園區大園國民小學</v>
      </c>
      <c r="F1657" s="14" t="str">
        <f>IFERROR(__xludf.DUMMYFUNCTION("""COMPUTED_VALUE"""),"四年級")</f>
        <v>四年級</v>
      </c>
      <c r="G1657" s="14" t="str">
        <f>IFERROR(__xludf.DUMMYFUNCTION("""COMPUTED_VALUE"""),"●小禮物")</f>
        <v>●小禮物</v>
      </c>
      <c r="H1657" s="8"/>
    </row>
    <row r="1658">
      <c r="A1658" s="18"/>
      <c r="B1658" s="14">
        <f>IFERROR(__xludf.DUMMYFUNCTION("""COMPUTED_VALUE"""),745605.0)</f>
        <v>745605</v>
      </c>
      <c r="C1658" s="14" t="str">
        <f>IFERROR(__xludf.DUMMYFUNCTION("""COMPUTED_VALUE"""),"黃湋樂")</f>
        <v>黃湋樂</v>
      </c>
      <c r="D1658" s="16" t="str">
        <f>IFERROR(__xludf.DUMMYFUNCTION("""COMPUTED_VALUE"""),"hap*****ishuang@gmail.com")</f>
        <v>hap*****ishuang@gmail.com</v>
      </c>
      <c r="E1658" s="17" t="str">
        <f>IFERROR(__xludf.DUMMYFUNCTION("""COMPUTED_VALUE"""),"桃園市蘆竹區南崁國民小學")</f>
        <v>桃園市蘆竹區南崁國民小學</v>
      </c>
      <c r="F1658" s="14" t="str">
        <f>IFERROR(__xludf.DUMMYFUNCTION("""COMPUTED_VALUE"""),"四年級")</f>
        <v>四年級</v>
      </c>
      <c r="G1658" s="14" t="str">
        <f>IFERROR(__xludf.DUMMYFUNCTION("""COMPUTED_VALUE"""),"●小禮物")</f>
        <v>●小禮物</v>
      </c>
      <c r="H1658" s="8"/>
    </row>
    <row r="1659">
      <c r="A1659" s="18"/>
      <c r="B1659" s="14">
        <f>IFERROR(__xludf.DUMMYFUNCTION("""COMPUTED_VALUE"""),734806.0)</f>
        <v>734806</v>
      </c>
      <c r="C1659" s="14" t="str">
        <f>IFERROR(__xludf.DUMMYFUNCTION("""COMPUTED_VALUE"""),"張廷右")</f>
        <v>張廷右</v>
      </c>
      <c r="D1659" s="16" t="str">
        <f>IFERROR(__xludf.DUMMYFUNCTION("""COMPUTED_VALUE"""),"tan*****e1chang@gmail.com")</f>
        <v>tan*****e1chang@gmail.com</v>
      </c>
      <c r="E1659" s="17" t="str">
        <f>IFERROR(__xludf.DUMMYFUNCTION("""COMPUTED_VALUE"""),"桃園市蘆竹區南崁國民小學")</f>
        <v>桃園市蘆竹區南崁國民小學</v>
      </c>
      <c r="F1659" s="14" t="str">
        <f>IFERROR(__xludf.DUMMYFUNCTION("""COMPUTED_VALUE"""),"四年級")</f>
        <v>四年級</v>
      </c>
      <c r="G1659" s="14" t="str">
        <f>IFERROR(__xludf.DUMMYFUNCTION("""COMPUTED_VALUE"""),"獎狀")</f>
        <v>獎狀</v>
      </c>
      <c r="H1659" s="8"/>
    </row>
    <row r="1660">
      <c r="A1660" s="18"/>
      <c r="B1660" s="14">
        <f>IFERROR(__xludf.DUMMYFUNCTION("""COMPUTED_VALUE"""),996876.0)</f>
        <v>996876</v>
      </c>
      <c r="C1660" s="14" t="str">
        <f>IFERROR(__xludf.DUMMYFUNCTION("""COMPUTED_VALUE"""),"吳品萱")</f>
        <v>吳品萱</v>
      </c>
      <c r="D1660" s="16" t="str">
        <f>IFERROR(__xludf.DUMMYFUNCTION("""COMPUTED_VALUE"""),"con*****14.wu@gmail.com")</f>
        <v>con*****14.wu@gmail.com</v>
      </c>
      <c r="E1660" s="17" t="str">
        <f>IFERROR(__xludf.DUMMYFUNCTION("""COMPUTED_VALUE"""),"桃園市蘆竹區南崁國民小學")</f>
        <v>桃園市蘆竹區南崁國民小學</v>
      </c>
      <c r="F1660" s="14" t="str">
        <f>IFERROR(__xludf.DUMMYFUNCTION("""COMPUTED_VALUE"""),"六年級")</f>
        <v>六年級</v>
      </c>
      <c r="G1660" s="14" t="str">
        <f>IFERROR(__xludf.DUMMYFUNCTION("""COMPUTED_VALUE"""),"獎狀")</f>
        <v>獎狀</v>
      </c>
      <c r="H1660" s="8"/>
    </row>
    <row r="1661">
      <c r="A1661" s="18"/>
      <c r="B1661" s="14">
        <f>IFERROR(__xludf.DUMMYFUNCTION("""COMPUTED_VALUE"""),1072145.0)</f>
        <v>1072145</v>
      </c>
      <c r="C1661" s="14" t="str">
        <f>IFERROR(__xludf.DUMMYFUNCTION("""COMPUTED_VALUE"""),"龔品睿")</f>
        <v>龔品睿</v>
      </c>
      <c r="D1661" s="16" t="str">
        <f>IFERROR(__xludf.DUMMYFUNCTION("""COMPUTED_VALUE"""),"sun*****oung.url.com.tw")</f>
        <v>sun*****oung.url.com.tw</v>
      </c>
      <c r="E1661" s="17" t="str">
        <f>IFERROR(__xludf.DUMMYFUNCTION("""COMPUTED_VALUE"""),"桃園市蘆竹區南崁國民小學")</f>
        <v>桃園市蘆竹區南崁國民小學</v>
      </c>
      <c r="F1661" s="14" t="str">
        <f>IFERROR(__xludf.DUMMYFUNCTION("""COMPUTED_VALUE"""),"六年級")</f>
        <v>六年級</v>
      </c>
      <c r="G1661" s="14" t="str">
        <f>IFERROR(__xludf.DUMMYFUNCTION("""COMPUTED_VALUE"""),"獎狀")</f>
        <v>獎狀</v>
      </c>
      <c r="H1661" s="8"/>
    </row>
    <row r="1662">
      <c r="A1662" s="18"/>
      <c r="B1662" s="14">
        <f>IFERROR(__xludf.DUMMYFUNCTION("""COMPUTED_VALUE"""),861608.0)</f>
        <v>861608</v>
      </c>
      <c r="C1662" s="14" t="str">
        <f>IFERROR(__xludf.DUMMYFUNCTION("""COMPUTED_VALUE"""),"簡羽妍")</f>
        <v>簡羽妍</v>
      </c>
      <c r="D1662" s="16" t="str">
        <f>IFERROR(__xludf.DUMMYFUNCTION("""COMPUTED_VALUE"""),"sel*****88@gmail.com")</f>
        <v>sel*****88@gmail.com</v>
      </c>
      <c r="E1662" s="17" t="str">
        <f>IFERROR(__xludf.DUMMYFUNCTION("""COMPUTED_VALUE"""),"桃園市蘆竹區公埔國民小學")</f>
        <v>桃園市蘆竹區公埔國民小學</v>
      </c>
      <c r="F1662" s="14" t="str">
        <f>IFERROR(__xludf.DUMMYFUNCTION("""COMPUTED_VALUE"""),"六年級")</f>
        <v>六年級</v>
      </c>
      <c r="G1662" s="14" t="str">
        <f>IFERROR(__xludf.DUMMYFUNCTION("""COMPUTED_VALUE"""),"獎狀")</f>
        <v>獎狀</v>
      </c>
      <c r="H1662" s="8"/>
    </row>
    <row r="1663">
      <c r="A1663" s="18"/>
      <c r="B1663" s="14">
        <f>IFERROR(__xludf.DUMMYFUNCTION("""COMPUTED_VALUE"""),1120202.0)</f>
        <v>1120202</v>
      </c>
      <c r="C1663" s="14" t="str">
        <f>IFERROR(__xludf.DUMMYFUNCTION("""COMPUTED_VALUE"""),"彭詰恩")</f>
        <v>彭詰恩</v>
      </c>
      <c r="D1663" s="16" t="str">
        <f>IFERROR(__xludf.DUMMYFUNCTION("""COMPUTED_VALUE"""),"kin*****82@hotmail.com")</f>
        <v>kin*****82@hotmail.com</v>
      </c>
      <c r="E1663" s="17" t="str">
        <f>IFERROR(__xludf.DUMMYFUNCTION("""COMPUTED_VALUE"""),"桃園市蘆竹區錦興國民小學")</f>
        <v>桃園市蘆竹區錦興國民小學</v>
      </c>
      <c r="F1663" s="14" t="str">
        <f>IFERROR(__xludf.DUMMYFUNCTION("""COMPUTED_VALUE"""),"三年級")</f>
        <v>三年級</v>
      </c>
      <c r="G1663" s="14" t="str">
        <f>IFERROR(__xludf.DUMMYFUNCTION("""COMPUTED_VALUE"""),"●小禮物")</f>
        <v>●小禮物</v>
      </c>
      <c r="H1663" s="8"/>
    </row>
    <row r="1664">
      <c r="A1664" s="18"/>
      <c r="B1664" s="14">
        <f>IFERROR(__xludf.DUMMYFUNCTION("""COMPUTED_VALUE"""),676570.0)</f>
        <v>676570</v>
      </c>
      <c r="C1664" s="14" t="str">
        <f>IFERROR(__xludf.DUMMYFUNCTION("""COMPUTED_VALUE"""),"劉思筠")</f>
        <v>劉思筠</v>
      </c>
      <c r="D1664" s="16" t="str">
        <f>IFERROR(__xludf.DUMMYFUNCTION("""COMPUTED_VALUE"""),"108*****anja.mlc.edu.tw")</f>
        <v>108*****anja.mlc.edu.tw</v>
      </c>
      <c r="E1664" s="17" t="str">
        <f>IFERROR(__xludf.DUMMYFUNCTION("""COMPUTED_VALUE"""),"苗栗縣竹南鎮山佳國民小學")</f>
        <v>苗栗縣竹南鎮山佳國民小學</v>
      </c>
      <c r="F1664" s="14" t="str">
        <f>IFERROR(__xludf.DUMMYFUNCTION("""COMPUTED_VALUE"""),"四年級")</f>
        <v>四年級</v>
      </c>
      <c r="G1664" s="14" t="str">
        <f>IFERROR(__xludf.DUMMYFUNCTION("""COMPUTED_VALUE"""),"獎狀")</f>
        <v>獎狀</v>
      </c>
      <c r="H1664" s="8"/>
    </row>
    <row r="1665">
      <c r="A1665" s="18"/>
      <c r="B1665" s="14">
        <f>IFERROR(__xludf.DUMMYFUNCTION("""COMPUTED_VALUE"""),1078137.0)</f>
        <v>1078137</v>
      </c>
      <c r="C1665" s="14" t="str">
        <f>IFERROR(__xludf.DUMMYFUNCTION("""COMPUTED_VALUE"""),"黃志鈞")</f>
        <v>黃志鈞</v>
      </c>
      <c r="D1665" s="16" t="str">
        <f>IFERROR(__xludf.DUMMYFUNCTION("""COMPUTED_VALUE"""),"106*****anja.mlc.edu.tw")</f>
        <v>106*****anja.mlc.edu.tw</v>
      </c>
      <c r="E1665" s="17" t="str">
        <f>IFERROR(__xludf.DUMMYFUNCTION("""COMPUTED_VALUE"""),"苗栗縣竹南鎮山佳國民小學")</f>
        <v>苗栗縣竹南鎮山佳國民小學</v>
      </c>
      <c r="F1665" s="14" t="str">
        <f>IFERROR(__xludf.DUMMYFUNCTION("""COMPUTED_VALUE"""),"六年級")</f>
        <v>六年級</v>
      </c>
      <c r="G1665" s="14" t="str">
        <f>IFERROR(__xludf.DUMMYFUNCTION("""COMPUTED_VALUE"""),"獎狀")</f>
        <v>獎狀</v>
      </c>
      <c r="H1665" s="8"/>
    </row>
    <row r="1666">
      <c r="A1666" s="18"/>
      <c r="B1666" s="14">
        <f>IFERROR(__xludf.DUMMYFUNCTION("""COMPUTED_VALUE"""),871224.0)</f>
        <v>871224</v>
      </c>
      <c r="C1666" s="14" t="str">
        <f>IFERROR(__xludf.DUMMYFUNCTION("""COMPUTED_VALUE"""),"科艾旎")</f>
        <v>科艾旎</v>
      </c>
      <c r="D1666" s="16" t="str">
        <f>IFERROR(__xludf.DUMMYFUNCTION("""COMPUTED_VALUE"""),"mlc*****60@mail.edu.tw")</f>
        <v>mlc*****60@mail.edu.tw</v>
      </c>
      <c r="E1666" s="17" t="str">
        <f>IFERROR(__xludf.DUMMYFUNCTION("""COMPUTED_VALUE"""),"苗栗縣竹南鎮竹南國民小學")</f>
        <v>苗栗縣竹南鎮竹南國民小學</v>
      </c>
      <c r="F1666" s="14" t="str">
        <f>IFERROR(__xludf.DUMMYFUNCTION("""COMPUTED_VALUE"""),"四年級")</f>
        <v>四年級</v>
      </c>
      <c r="G1666" s="14" t="str">
        <f>IFERROR(__xludf.DUMMYFUNCTION("""COMPUTED_VALUE"""),"獎狀")</f>
        <v>獎狀</v>
      </c>
      <c r="H1666" s="8"/>
    </row>
    <row r="1667">
      <c r="A1667" s="18"/>
      <c r="B1667" s="14">
        <f>IFERROR(__xludf.DUMMYFUNCTION("""COMPUTED_VALUE"""),484263.0)</f>
        <v>484263</v>
      </c>
      <c r="C1667" s="14" t="str">
        <f>IFERROR(__xludf.DUMMYFUNCTION("""COMPUTED_VALUE"""),"黃威綸")</f>
        <v>黃威綸</v>
      </c>
      <c r="D1667" s="16" t="str">
        <f>IFERROR(__xludf.DUMMYFUNCTION("""COMPUTED_VALUE"""),"mlc*****22@mail.edu.tw")</f>
        <v>mlc*****22@mail.edu.tw</v>
      </c>
      <c r="E1667" s="17" t="str">
        <f>IFERROR(__xludf.DUMMYFUNCTION("""COMPUTED_VALUE"""),"苗栗縣竹南鎮竹南國民小學")</f>
        <v>苗栗縣竹南鎮竹南國民小學</v>
      </c>
      <c r="F1667" s="14" t="str">
        <f>IFERROR(__xludf.DUMMYFUNCTION("""COMPUTED_VALUE"""),"五年級")</f>
        <v>五年級</v>
      </c>
      <c r="G1667" s="14" t="str">
        <f>IFERROR(__xludf.DUMMYFUNCTION("""COMPUTED_VALUE"""),"獎狀")</f>
        <v>獎狀</v>
      </c>
      <c r="H1667" s="8"/>
    </row>
    <row r="1668">
      <c r="A1668" s="18"/>
      <c r="B1668" s="14">
        <f>IFERROR(__xludf.DUMMYFUNCTION("""COMPUTED_VALUE"""),487430.0)</f>
        <v>487430</v>
      </c>
      <c r="C1668" s="14" t="str">
        <f>IFERROR(__xludf.DUMMYFUNCTION("""COMPUTED_VALUE"""),"林揖宸")</f>
        <v>林揖宸</v>
      </c>
      <c r="D1668" s="16" t="str">
        <f>IFERROR(__xludf.DUMMYFUNCTION("""COMPUTED_VALUE"""),"mlc*****132@mail.edu.tw")</f>
        <v>mlc*****132@mail.edu.tw</v>
      </c>
      <c r="E1668" s="17" t="str">
        <f>IFERROR(__xludf.DUMMYFUNCTION("""COMPUTED_VALUE"""),"苗栗縣竹南鎮竹南國民小學")</f>
        <v>苗栗縣竹南鎮竹南國民小學</v>
      </c>
      <c r="F1668" s="14" t="str">
        <f>IFERROR(__xludf.DUMMYFUNCTION("""COMPUTED_VALUE"""),"六年級")</f>
        <v>六年級</v>
      </c>
      <c r="G1668" s="14" t="str">
        <f>IFERROR(__xludf.DUMMYFUNCTION("""COMPUTED_VALUE"""),"獎狀")</f>
        <v>獎狀</v>
      </c>
      <c r="H1668" s="8"/>
    </row>
    <row r="1669">
      <c r="A1669" s="18"/>
      <c r="B1669" s="14">
        <f>IFERROR(__xludf.DUMMYFUNCTION("""COMPUTED_VALUE"""),318693.0)</f>
        <v>318693</v>
      </c>
      <c r="C1669" s="14" t="str">
        <f>IFERROR(__xludf.DUMMYFUNCTION("""COMPUTED_VALUE"""),"鍾忻")</f>
        <v>鍾忻</v>
      </c>
      <c r="D1669" s="16" t="str">
        <f>IFERROR(__xludf.DUMMYFUNCTION("""COMPUTED_VALUE"""),"eve*****09@mail.edu.tw")</f>
        <v>eve*****09@mail.edu.tw</v>
      </c>
      <c r="E1669" s="17" t="str">
        <f>IFERROR(__xludf.DUMMYFUNCTION("""COMPUTED_VALUE"""),"苗栗縣竹南鎮竹南國民小學")</f>
        <v>苗栗縣竹南鎮竹南國民小學</v>
      </c>
      <c r="F1669" s="14" t="str">
        <f>IFERROR(__xludf.DUMMYFUNCTION("""COMPUTED_VALUE"""),"六年級")</f>
        <v>六年級</v>
      </c>
      <c r="G1669" s="14" t="str">
        <f>IFERROR(__xludf.DUMMYFUNCTION("""COMPUTED_VALUE"""),"獎狀")</f>
        <v>獎狀</v>
      </c>
      <c r="H1669" s="8"/>
    </row>
    <row r="1670">
      <c r="A1670" s="18"/>
      <c r="B1670" s="14">
        <f>IFERROR(__xludf.DUMMYFUNCTION("""COMPUTED_VALUE"""),676601.0)</f>
        <v>676601</v>
      </c>
      <c r="C1670" s="14" t="str">
        <f>IFERROR(__xludf.DUMMYFUNCTION("""COMPUTED_VALUE"""),"陳慈安")</f>
        <v>陳慈安</v>
      </c>
      <c r="D1670" s="16" t="str">
        <f>IFERROR(__xludf.DUMMYFUNCTION("""COMPUTED_VALUE"""),"jes*****3@jes.mlc.edu.tw")</f>
        <v>jes*****3@jes.mlc.edu.tw</v>
      </c>
      <c r="E1670" s="17" t="str">
        <f>IFERROR(__xludf.DUMMYFUNCTION("""COMPUTED_VALUE"""),"苗栗縣竹南鎮竹興國民小學")</f>
        <v>苗栗縣竹南鎮竹興國民小學</v>
      </c>
      <c r="F1670" s="14" t="str">
        <f>IFERROR(__xludf.DUMMYFUNCTION("""COMPUTED_VALUE"""),"六年級")</f>
        <v>六年級</v>
      </c>
      <c r="G1670" s="14" t="str">
        <f>IFERROR(__xludf.DUMMYFUNCTION("""COMPUTED_VALUE"""),"獎狀")</f>
        <v>獎狀</v>
      </c>
      <c r="H1670" s="8"/>
    </row>
    <row r="1671">
      <c r="A1671" s="18"/>
      <c r="B1671" s="14">
        <f>IFERROR(__xludf.DUMMYFUNCTION("""COMPUTED_VALUE"""),1053735.0)</f>
        <v>1053735</v>
      </c>
      <c r="C1671" s="14" t="str">
        <f>IFERROR(__xludf.DUMMYFUNCTION("""COMPUTED_VALUE"""),"侯沛恩")</f>
        <v>侯沛恩</v>
      </c>
      <c r="D1671" s="16" t="str">
        <f>IFERROR(__xludf.DUMMYFUNCTION("""COMPUTED_VALUE"""),"jne*****85@mail.edu.tw")</f>
        <v>jne*****85@mail.edu.tw</v>
      </c>
      <c r="E1671" s="17" t="str">
        <f>IFERROR(__xludf.DUMMYFUNCTION("""COMPUTED_VALUE"""),"苗栗縣竹南鎮照南國民小學")</f>
        <v>苗栗縣竹南鎮照南國民小學</v>
      </c>
      <c r="F1671" s="14" t="str">
        <f>IFERROR(__xludf.DUMMYFUNCTION("""COMPUTED_VALUE"""),"三年級")</f>
        <v>三年級</v>
      </c>
      <c r="G1671" s="14" t="str">
        <f>IFERROR(__xludf.DUMMYFUNCTION("""COMPUTED_VALUE"""),"獎狀")</f>
        <v>獎狀</v>
      </c>
      <c r="H1671" s="8"/>
    </row>
    <row r="1672">
      <c r="A1672" s="18"/>
      <c r="B1672" s="14">
        <f>IFERROR(__xludf.DUMMYFUNCTION("""COMPUTED_VALUE"""),1173095.0)</f>
        <v>1173095</v>
      </c>
      <c r="C1672" s="14" t="str">
        <f>IFERROR(__xludf.DUMMYFUNCTION("""COMPUTED_VALUE"""),"張昊宇")</f>
        <v>張昊宇</v>
      </c>
      <c r="D1672" s="16" t="str">
        <f>IFERROR(__xludf.DUMMYFUNCTION("""COMPUTED_VALUE"""),"054*****09117@stu.mlc.edu.tw")</f>
        <v>054*****09117@stu.mlc.edu.tw</v>
      </c>
      <c r="E1672" s="17" t="str">
        <f>IFERROR(__xludf.DUMMYFUNCTION("""COMPUTED_VALUE"""),"苗栗縣竹南鎮照南國民小學")</f>
        <v>苗栗縣竹南鎮照南國民小學</v>
      </c>
      <c r="F1672" s="14" t="str">
        <f>IFERROR(__xludf.DUMMYFUNCTION("""COMPUTED_VALUE"""),"三年級")</f>
        <v>三年級</v>
      </c>
      <c r="G1672" s="14" t="str">
        <f>IFERROR(__xludf.DUMMYFUNCTION("""COMPUTED_VALUE"""),"獎狀")</f>
        <v>獎狀</v>
      </c>
      <c r="H1672" s="8"/>
    </row>
    <row r="1673">
      <c r="A1673" s="18"/>
      <c r="B1673" s="14">
        <f>IFERROR(__xludf.DUMMYFUNCTION("""COMPUTED_VALUE"""),1017813.0)</f>
        <v>1017813</v>
      </c>
      <c r="C1673" s="14" t="str">
        <f>IFERROR(__xludf.DUMMYFUNCTION("""COMPUTED_VALUE"""),"劉祐亨")</f>
        <v>劉祐亨</v>
      </c>
      <c r="D1673" s="16" t="str">
        <f>IFERROR(__xludf.DUMMYFUNCTION("""COMPUTED_VALUE"""),"k05*****08356@mail.edu.tw")</f>
        <v>k05*****08356@mail.edu.tw</v>
      </c>
      <c r="E1673" s="17" t="str">
        <f>IFERROR(__xludf.DUMMYFUNCTION("""COMPUTED_VALUE"""),"苗栗縣竹南鎮照南國民小學")</f>
        <v>苗栗縣竹南鎮照南國民小學</v>
      </c>
      <c r="F1673" s="14" t="str">
        <f>IFERROR(__xludf.DUMMYFUNCTION("""COMPUTED_VALUE"""),"四年級")</f>
        <v>四年級</v>
      </c>
      <c r="G1673" s="14" t="str">
        <f>IFERROR(__xludf.DUMMYFUNCTION("""COMPUTED_VALUE"""),"獎狀")</f>
        <v>獎狀</v>
      </c>
      <c r="H1673" s="8"/>
    </row>
    <row r="1674">
      <c r="A1674" s="18"/>
      <c r="B1674" s="14">
        <f>IFERROR(__xludf.DUMMYFUNCTION("""COMPUTED_VALUE"""),927705.0)</f>
        <v>927705</v>
      </c>
      <c r="C1674" s="14" t="str">
        <f>IFERROR(__xludf.DUMMYFUNCTION("""COMPUTED_VALUE"""),"陳彤燿")</f>
        <v>陳彤燿</v>
      </c>
      <c r="D1674" s="16" t="str">
        <f>IFERROR(__xludf.DUMMYFUNCTION("""COMPUTED_VALUE"""),"054*****07207@stu.mlc.edu.tw")</f>
        <v>054*****07207@stu.mlc.edu.tw</v>
      </c>
      <c r="E1674" s="17" t="str">
        <f>IFERROR(__xludf.DUMMYFUNCTION("""COMPUTED_VALUE"""),"苗栗縣竹南鎮照南國民小學")</f>
        <v>苗栗縣竹南鎮照南國民小學</v>
      </c>
      <c r="F1674" s="14" t="str">
        <f>IFERROR(__xludf.DUMMYFUNCTION("""COMPUTED_VALUE"""),"五年級")</f>
        <v>五年級</v>
      </c>
      <c r="G1674" s="14" t="str">
        <f>IFERROR(__xludf.DUMMYFUNCTION("""COMPUTED_VALUE"""),"●小禮物")</f>
        <v>●小禮物</v>
      </c>
      <c r="H1674" s="8"/>
    </row>
    <row r="1675">
      <c r="A1675" s="18"/>
      <c r="B1675" s="14">
        <f>IFERROR(__xludf.DUMMYFUNCTION("""COMPUTED_VALUE"""),944443.0)</f>
        <v>944443</v>
      </c>
      <c r="C1675" s="14" t="str">
        <f>IFERROR(__xludf.DUMMYFUNCTION("""COMPUTED_VALUE"""),"楊哲宇")</f>
        <v>楊哲宇</v>
      </c>
      <c r="D1675" s="16" t="str">
        <f>IFERROR(__xludf.DUMMYFUNCTION("""COMPUTED_VALUE"""),"054*****07275@stu.mlc.edu.tw")</f>
        <v>054*****07275@stu.mlc.edu.tw</v>
      </c>
      <c r="E1675" s="17" t="str">
        <f>IFERROR(__xludf.DUMMYFUNCTION("""COMPUTED_VALUE"""),"苗栗縣竹南鎮照南國民小學")</f>
        <v>苗栗縣竹南鎮照南國民小學</v>
      </c>
      <c r="F1675" s="14" t="str">
        <f>IFERROR(__xludf.DUMMYFUNCTION("""COMPUTED_VALUE"""),"五年級")</f>
        <v>五年級</v>
      </c>
      <c r="G1675" s="14" t="str">
        <f>IFERROR(__xludf.DUMMYFUNCTION("""COMPUTED_VALUE"""),"獎狀")</f>
        <v>獎狀</v>
      </c>
      <c r="H1675" s="8"/>
    </row>
    <row r="1676">
      <c r="A1676" s="18"/>
      <c r="B1676" s="14">
        <f>IFERROR(__xludf.DUMMYFUNCTION("""COMPUTED_VALUE"""),556886.0)</f>
        <v>556886</v>
      </c>
      <c r="C1676" s="14" t="str">
        <f>IFERROR(__xludf.DUMMYFUNCTION("""COMPUTED_VALUE"""),"李立聿")</f>
        <v>李立聿</v>
      </c>
      <c r="D1676" s="16" t="str">
        <f>IFERROR(__xludf.DUMMYFUNCTION("""COMPUTED_VALUE"""),"rit*****@mail.edu.tw")</f>
        <v>rit*****@mail.edu.tw</v>
      </c>
      <c r="E1676" s="17" t="str">
        <f>IFERROR(__xludf.DUMMYFUNCTION("""COMPUTED_VALUE"""),"苗栗縣竹南鎮照南國民小學")</f>
        <v>苗栗縣竹南鎮照南國民小學</v>
      </c>
      <c r="F1676" s="14" t="str">
        <f>IFERROR(__xludf.DUMMYFUNCTION("""COMPUTED_VALUE"""),"五年級")</f>
        <v>五年級</v>
      </c>
      <c r="G1676" s="14" t="str">
        <f>IFERROR(__xludf.DUMMYFUNCTION("""COMPUTED_VALUE"""),"●小禮物")</f>
        <v>●小禮物</v>
      </c>
      <c r="H1676" s="8"/>
    </row>
    <row r="1677">
      <c r="A1677" s="18"/>
      <c r="B1677" s="14">
        <f>IFERROR(__xludf.DUMMYFUNCTION("""COMPUTED_VALUE"""),508978.0)</f>
        <v>508978</v>
      </c>
      <c r="C1677" s="14" t="str">
        <f>IFERROR(__xludf.DUMMYFUNCTION("""COMPUTED_VALUE"""),"鍾勻華")</f>
        <v>鍾勻華</v>
      </c>
      <c r="D1677" s="16" t="str">
        <f>IFERROR(__xludf.DUMMYFUNCTION("""COMPUTED_VALUE"""),"sop*****04@mail.edu.tw")</f>
        <v>sop*****04@mail.edu.tw</v>
      </c>
      <c r="E1677" s="17" t="str">
        <f>IFERROR(__xludf.DUMMYFUNCTION("""COMPUTED_VALUE"""),"苗栗縣竹南鎮照南國民小學")</f>
        <v>苗栗縣竹南鎮照南國民小學</v>
      </c>
      <c r="F1677" s="14" t="str">
        <f>IFERROR(__xludf.DUMMYFUNCTION("""COMPUTED_VALUE"""),"五年級")</f>
        <v>五年級</v>
      </c>
      <c r="G1677" s="14" t="str">
        <f>IFERROR(__xludf.DUMMYFUNCTION("""COMPUTED_VALUE"""),"獎狀")</f>
        <v>獎狀</v>
      </c>
      <c r="H1677" s="8"/>
    </row>
    <row r="1678">
      <c r="A1678" s="18"/>
      <c r="B1678" s="14">
        <f>IFERROR(__xludf.DUMMYFUNCTION("""COMPUTED_VALUE"""),600288.0)</f>
        <v>600288</v>
      </c>
      <c r="C1678" s="14" t="str">
        <f>IFERROR(__xludf.DUMMYFUNCTION("""COMPUTED_VALUE"""),"賴淨榆")</f>
        <v>賴淨榆</v>
      </c>
      <c r="D1678" s="16" t="str">
        <f>IFERROR(__xludf.DUMMYFUNCTION("""COMPUTED_VALUE"""),"sj1*****@mail.edu.tw")</f>
        <v>sj1*****@mail.edu.tw</v>
      </c>
      <c r="E1678" s="17" t="str">
        <f>IFERROR(__xludf.DUMMYFUNCTION("""COMPUTED_VALUE"""),"苗栗縣竹南鎮照南國民小學")</f>
        <v>苗栗縣竹南鎮照南國民小學</v>
      </c>
      <c r="F1678" s="14" t="str">
        <f>IFERROR(__xludf.DUMMYFUNCTION("""COMPUTED_VALUE"""),"六年級")</f>
        <v>六年級</v>
      </c>
      <c r="G1678" s="14" t="str">
        <f>IFERROR(__xludf.DUMMYFUNCTION("""COMPUTED_VALUE"""),"獎狀")</f>
        <v>獎狀</v>
      </c>
      <c r="H1678" s="8"/>
    </row>
    <row r="1679">
      <c r="A1679" s="18"/>
      <c r="B1679" s="14">
        <f>IFERROR(__xludf.DUMMYFUNCTION("""COMPUTED_VALUE"""),879267.0)</f>
        <v>879267</v>
      </c>
      <c r="C1679" s="14" t="str">
        <f>IFERROR(__xludf.DUMMYFUNCTION("""COMPUTED_VALUE"""),"陳奕安")</f>
        <v>陳奕安</v>
      </c>
      <c r="D1679" s="16" t="str">
        <f>IFERROR(__xludf.DUMMYFUNCTION("""COMPUTED_VALUE"""),"054*****06180@stu.mlc.edu.tw")</f>
        <v>054*****06180@stu.mlc.edu.tw</v>
      </c>
      <c r="E1679" s="17" t="str">
        <f>IFERROR(__xludf.DUMMYFUNCTION("""COMPUTED_VALUE"""),"苗栗縣竹南鎮照南國民小學")</f>
        <v>苗栗縣竹南鎮照南國民小學</v>
      </c>
      <c r="F1679" s="14" t="str">
        <f>IFERROR(__xludf.DUMMYFUNCTION("""COMPUTED_VALUE"""),"六年級")</f>
        <v>六年級</v>
      </c>
      <c r="G1679" s="14" t="str">
        <f>IFERROR(__xludf.DUMMYFUNCTION("""COMPUTED_VALUE"""),"●小禮物")</f>
        <v>●小禮物</v>
      </c>
      <c r="H1679" s="8"/>
    </row>
    <row r="1680">
      <c r="A1680" s="18"/>
      <c r="B1680" s="14">
        <f>IFERROR(__xludf.DUMMYFUNCTION("""COMPUTED_VALUE"""),585416.0)</f>
        <v>585416</v>
      </c>
      <c r="C1680" s="14" t="str">
        <f>IFERROR(__xludf.DUMMYFUNCTION("""COMPUTED_VALUE"""),"侯心婗")</f>
        <v>侯心婗</v>
      </c>
      <c r="D1680" s="16" t="str">
        <f>IFERROR(__xludf.DUMMYFUNCTION("""COMPUTED_VALUE"""),"ann*****@mail.edu.tw")</f>
        <v>ann*****@mail.edu.tw</v>
      </c>
      <c r="E1680" s="17" t="str">
        <f>IFERROR(__xludf.DUMMYFUNCTION("""COMPUTED_VALUE"""),"苗栗縣竹南鎮照南國民小學")</f>
        <v>苗栗縣竹南鎮照南國民小學</v>
      </c>
      <c r="F1680" s="14" t="str">
        <f>IFERROR(__xludf.DUMMYFUNCTION("""COMPUTED_VALUE"""),"六年級")</f>
        <v>六年級</v>
      </c>
      <c r="G1680" s="14" t="str">
        <f>IFERROR(__xludf.DUMMYFUNCTION("""COMPUTED_VALUE"""),"●小禮物")</f>
        <v>●小禮物</v>
      </c>
      <c r="H1680" s="8"/>
    </row>
    <row r="1681">
      <c r="A1681" s="18"/>
      <c r="B1681" s="14">
        <f>IFERROR(__xludf.DUMMYFUNCTION("""COMPUTED_VALUE"""),597776.0)</f>
        <v>597776</v>
      </c>
      <c r="C1681" s="14" t="str">
        <f>IFERROR(__xludf.DUMMYFUNCTION("""COMPUTED_VALUE"""),"陳竪融")</f>
        <v>陳竪融</v>
      </c>
      <c r="D1681" s="16" t="str">
        <f>IFERROR(__xludf.DUMMYFUNCTION("""COMPUTED_VALUE"""),"nik*****ail.edu.tw")</f>
        <v>nik*****ail.edu.tw</v>
      </c>
      <c r="E1681" s="17" t="str">
        <f>IFERROR(__xludf.DUMMYFUNCTION("""COMPUTED_VALUE"""),"苗栗縣竹南鎮照南國民小學")</f>
        <v>苗栗縣竹南鎮照南國民小學</v>
      </c>
      <c r="F1681" s="14" t="str">
        <f>IFERROR(__xludf.DUMMYFUNCTION("""COMPUTED_VALUE"""),"六年級")</f>
        <v>六年級</v>
      </c>
      <c r="G1681" s="14" t="str">
        <f>IFERROR(__xludf.DUMMYFUNCTION("""COMPUTED_VALUE"""),"獎狀")</f>
        <v>獎狀</v>
      </c>
      <c r="H1681" s="8"/>
    </row>
    <row r="1682">
      <c r="A1682" s="18"/>
      <c r="B1682" s="14">
        <f>IFERROR(__xludf.DUMMYFUNCTION("""COMPUTED_VALUE"""),1069447.0)</f>
        <v>1069447</v>
      </c>
      <c r="C1682" s="14" t="str">
        <f>IFERROR(__xludf.DUMMYFUNCTION("""COMPUTED_VALUE"""),"蕭可欣")</f>
        <v>蕭可欣</v>
      </c>
      <c r="D1682" s="16" t="str">
        <f>IFERROR(__xludf.DUMMYFUNCTION("""COMPUTED_VALUE"""),"054*****06301@stu.mlc.edu.tw")</f>
        <v>054*****06301@stu.mlc.edu.tw</v>
      </c>
      <c r="E1682" s="17" t="str">
        <f>IFERROR(__xludf.DUMMYFUNCTION("""COMPUTED_VALUE"""),"苗栗縣竹南鎮照南國民小學")</f>
        <v>苗栗縣竹南鎮照南國民小學</v>
      </c>
      <c r="F1682" s="14" t="str">
        <f>IFERROR(__xludf.DUMMYFUNCTION("""COMPUTED_VALUE"""),"六年級")</f>
        <v>六年級</v>
      </c>
      <c r="G1682" s="14" t="str">
        <f>IFERROR(__xludf.DUMMYFUNCTION("""COMPUTED_VALUE"""),"●小禮物")</f>
        <v>●小禮物</v>
      </c>
      <c r="H1682" s="8"/>
    </row>
    <row r="1683">
      <c r="A1683" s="18"/>
      <c r="B1683" s="14">
        <f>IFERROR(__xludf.DUMMYFUNCTION("""COMPUTED_VALUE"""),496174.0)</f>
        <v>496174</v>
      </c>
      <c r="C1683" s="14" t="str">
        <f>IFERROR(__xludf.DUMMYFUNCTION("""COMPUTED_VALUE"""),"徐嘉婕")</f>
        <v>徐嘉婕</v>
      </c>
      <c r="D1683" s="16" t="str">
        <f>IFERROR(__xludf.DUMMYFUNCTION("""COMPUTED_VALUE"""),"man*****051@mail.edu.tw")</f>
        <v>man*****051@mail.edu.tw</v>
      </c>
      <c r="E1683" s="17" t="str">
        <f>IFERROR(__xludf.DUMMYFUNCTION("""COMPUTED_VALUE"""),"苗栗縣竹南鎮新南國民小學")</f>
        <v>苗栗縣竹南鎮新南國民小學</v>
      </c>
      <c r="F1683" s="14" t="str">
        <f>IFERROR(__xludf.DUMMYFUNCTION("""COMPUTED_VALUE"""),"五年級")</f>
        <v>五年級</v>
      </c>
      <c r="G1683" s="14" t="str">
        <f>IFERROR(__xludf.DUMMYFUNCTION("""COMPUTED_VALUE"""),"獎狀")</f>
        <v>獎狀</v>
      </c>
      <c r="H1683" s="8"/>
    </row>
    <row r="1684">
      <c r="A1684" s="18"/>
      <c r="B1684" s="14">
        <f>IFERROR(__xludf.DUMMYFUNCTION("""COMPUTED_VALUE"""),495843.0)</f>
        <v>495843</v>
      </c>
      <c r="C1684" s="14" t="str">
        <f>IFERROR(__xludf.DUMMYFUNCTION("""COMPUTED_VALUE"""),"郭昀熹")</f>
        <v>郭昀熹</v>
      </c>
      <c r="D1684" s="16" t="str">
        <f>IFERROR(__xludf.DUMMYFUNCTION("""COMPUTED_VALUE"""),"sne*****39@mail.edu.tw")</f>
        <v>sne*****39@mail.edu.tw</v>
      </c>
      <c r="E1684" s="17" t="str">
        <f>IFERROR(__xludf.DUMMYFUNCTION("""COMPUTED_VALUE"""),"苗栗縣竹南鎮新南國民小學")</f>
        <v>苗栗縣竹南鎮新南國民小學</v>
      </c>
      <c r="F1684" s="14" t="str">
        <f>IFERROR(__xludf.DUMMYFUNCTION("""COMPUTED_VALUE"""),"五年級")</f>
        <v>五年級</v>
      </c>
      <c r="G1684" s="14" t="str">
        <f>IFERROR(__xludf.DUMMYFUNCTION("""COMPUTED_VALUE"""),"獎狀")</f>
        <v>獎狀</v>
      </c>
      <c r="H1684" s="8"/>
    </row>
    <row r="1685">
      <c r="A1685" s="18"/>
      <c r="B1685" s="14">
        <f>IFERROR(__xludf.DUMMYFUNCTION("""COMPUTED_VALUE"""),488583.0)</f>
        <v>488583</v>
      </c>
      <c r="C1685" s="14" t="str">
        <f>IFERROR(__xludf.DUMMYFUNCTION("""COMPUTED_VALUE"""),"范秉浤")</f>
        <v>范秉浤</v>
      </c>
      <c r="D1685" s="16" t="str">
        <f>IFERROR(__xludf.DUMMYFUNCTION("""COMPUTED_VALUE"""),"sn1*****@mail.edu.tw")</f>
        <v>sn1*****@mail.edu.tw</v>
      </c>
      <c r="E1685" s="17" t="str">
        <f>IFERROR(__xludf.DUMMYFUNCTION("""COMPUTED_VALUE"""),"苗栗縣竹南鎮新南國民小學")</f>
        <v>苗栗縣竹南鎮新南國民小學</v>
      </c>
      <c r="F1685" s="14" t="str">
        <f>IFERROR(__xludf.DUMMYFUNCTION("""COMPUTED_VALUE"""),"六年級")</f>
        <v>六年級</v>
      </c>
      <c r="G1685" s="14" t="str">
        <f>IFERROR(__xludf.DUMMYFUNCTION("""COMPUTED_VALUE"""),"●小禮物")</f>
        <v>●小禮物</v>
      </c>
      <c r="H1685" s="8"/>
    </row>
    <row r="1686">
      <c r="A1686" s="18"/>
      <c r="B1686" s="14">
        <f>IFERROR(__xludf.DUMMYFUNCTION("""COMPUTED_VALUE"""),170596.0)</f>
        <v>170596</v>
      </c>
      <c r="C1686" s="14" t="str">
        <f>IFERROR(__xludf.DUMMYFUNCTION("""COMPUTED_VALUE"""),"劉瑞琪")</f>
        <v>劉瑞琪</v>
      </c>
      <c r="D1686" s="16" t="str">
        <f>IFERROR(__xludf.DUMMYFUNCTION("""COMPUTED_VALUE"""),"nik*****90909@gmail.com")</f>
        <v>nik*****90909@gmail.com</v>
      </c>
      <c r="E1686" s="17" t="str">
        <f>IFERROR(__xludf.DUMMYFUNCTION("""COMPUTED_VALUE"""),"苗栗縣竹南鎮新南國民小學")</f>
        <v>苗栗縣竹南鎮新南國民小學</v>
      </c>
      <c r="F1686" s="14" t="str">
        <f>IFERROR(__xludf.DUMMYFUNCTION("""COMPUTED_VALUE"""),"六年級")</f>
        <v>六年級</v>
      </c>
      <c r="G1686" s="14" t="str">
        <f>IFERROR(__xludf.DUMMYFUNCTION("""COMPUTED_VALUE"""),"獎狀")</f>
        <v>獎狀</v>
      </c>
      <c r="H1686" s="8"/>
    </row>
    <row r="1687">
      <c r="A1687" s="18"/>
      <c r="B1687" s="14">
        <f>IFERROR(__xludf.DUMMYFUNCTION("""COMPUTED_VALUE"""),488580.0)</f>
        <v>488580</v>
      </c>
      <c r="C1687" s="14" t="str">
        <f>IFERROR(__xludf.DUMMYFUNCTION("""COMPUTED_VALUE"""),"沈均蔚")</f>
        <v>沈均蔚</v>
      </c>
      <c r="D1687" s="16" t="str">
        <f>IFERROR(__xludf.DUMMYFUNCTION("""COMPUTED_VALUE"""),"win*****en25@gmail.com")</f>
        <v>win*****en25@gmail.com</v>
      </c>
      <c r="E1687" s="17" t="str">
        <f>IFERROR(__xludf.DUMMYFUNCTION("""COMPUTED_VALUE"""),"苗栗縣竹南鎮新南國民小學")</f>
        <v>苗栗縣竹南鎮新南國民小學</v>
      </c>
      <c r="F1687" s="14" t="str">
        <f>IFERROR(__xludf.DUMMYFUNCTION("""COMPUTED_VALUE"""),"六年級")</f>
        <v>六年級</v>
      </c>
      <c r="G1687" s="14" t="str">
        <f>IFERROR(__xludf.DUMMYFUNCTION("""COMPUTED_VALUE"""),"★禮券$500")</f>
        <v>★禮券$500</v>
      </c>
      <c r="H1687" s="8"/>
    </row>
    <row r="1688">
      <c r="A1688" s="18"/>
      <c r="B1688" s="14">
        <f>IFERROR(__xludf.DUMMYFUNCTION("""COMPUTED_VALUE"""),495615.0)</f>
        <v>495615</v>
      </c>
      <c r="C1688" s="14" t="str">
        <f>IFERROR(__xludf.DUMMYFUNCTION("""COMPUTED_VALUE"""),"劉沛涵")</f>
        <v>劉沛涵</v>
      </c>
      <c r="D1688" s="16" t="str">
        <f>IFERROR(__xludf.DUMMYFUNCTION("""COMPUTED_VALUE"""),"sse*****111@mail.edu.tw")</f>
        <v>sse*****111@mail.edu.tw</v>
      </c>
      <c r="E1688" s="17" t="str">
        <f>IFERROR(__xludf.DUMMYFUNCTION("""COMPUTED_VALUE"""),"苗栗縣頭份市新興國民小學")</f>
        <v>苗栗縣頭份市新興國民小學</v>
      </c>
      <c r="F1688" s="14" t="str">
        <f>IFERROR(__xludf.DUMMYFUNCTION("""COMPUTED_VALUE"""),"六年級")</f>
        <v>六年級</v>
      </c>
      <c r="G1688" s="14" t="str">
        <f>IFERROR(__xludf.DUMMYFUNCTION("""COMPUTED_VALUE"""),"獎狀")</f>
        <v>獎狀</v>
      </c>
      <c r="H1688" s="8"/>
    </row>
    <row r="1689">
      <c r="A1689" s="18"/>
      <c r="B1689" s="14">
        <f>IFERROR(__xludf.DUMMYFUNCTION("""COMPUTED_VALUE"""),954886.0)</f>
        <v>954886</v>
      </c>
      <c r="C1689" s="14" t="str">
        <f>IFERROR(__xludf.DUMMYFUNCTION("""COMPUTED_VALUE"""),"穆建熙")</f>
        <v>穆建熙</v>
      </c>
      <c r="D1689" s="16" t="str">
        <f>IFERROR(__xludf.DUMMYFUNCTION("""COMPUTED_VALUE"""),"ale*****eagle@gmail.com")</f>
        <v>ale*****eagle@gmail.com</v>
      </c>
      <c r="E1689" s="17" t="str">
        <f>IFERROR(__xludf.DUMMYFUNCTION("""COMPUTED_VALUE"""),"苗栗縣頭份市后庄國民小學")</f>
        <v>苗栗縣頭份市后庄國民小學</v>
      </c>
      <c r="F1689" s="14" t="str">
        <f>IFERROR(__xludf.DUMMYFUNCTION("""COMPUTED_VALUE"""),"四年級")</f>
        <v>四年級</v>
      </c>
      <c r="G1689" s="14" t="str">
        <f>IFERROR(__xludf.DUMMYFUNCTION("""COMPUTED_VALUE"""),"獎狀")</f>
        <v>獎狀</v>
      </c>
      <c r="H1689" s="8"/>
    </row>
    <row r="1690">
      <c r="A1690" s="18"/>
      <c r="B1690" s="14">
        <f>IFERROR(__xludf.DUMMYFUNCTION("""COMPUTED_VALUE"""),732973.0)</f>
        <v>732973</v>
      </c>
      <c r="C1690" s="14" t="str">
        <f>IFERROR(__xludf.DUMMYFUNCTION("""COMPUTED_VALUE"""),"陳薏安")</f>
        <v>陳薏安</v>
      </c>
      <c r="D1690" s="16" t="str">
        <f>IFERROR(__xludf.DUMMYFUNCTION("""COMPUTED_VALUE"""),"ian*****112eagle@mail.edu.tw")</f>
        <v>ian*****112eagle@mail.edu.tw</v>
      </c>
      <c r="E1690" s="17" t="str">
        <f>IFERROR(__xludf.DUMMYFUNCTION("""COMPUTED_VALUE"""),"苗栗縣頭份市后庄國民小學")</f>
        <v>苗栗縣頭份市后庄國民小學</v>
      </c>
      <c r="F1690" s="14" t="str">
        <f>IFERROR(__xludf.DUMMYFUNCTION("""COMPUTED_VALUE"""),"五年級")</f>
        <v>五年級</v>
      </c>
      <c r="G1690" s="14" t="str">
        <f>IFERROR(__xludf.DUMMYFUNCTION("""COMPUTED_VALUE"""),"獎狀")</f>
        <v>獎狀</v>
      </c>
      <c r="H1690" s="8"/>
    </row>
    <row r="1691">
      <c r="A1691" s="18"/>
      <c r="B1691" s="14">
        <f>IFERROR(__xludf.DUMMYFUNCTION("""COMPUTED_VALUE"""),829266.0)</f>
        <v>829266</v>
      </c>
      <c r="C1691" s="14" t="str">
        <f>IFERROR(__xludf.DUMMYFUNCTION("""COMPUTED_VALUE"""),"羅煜鈜")</f>
        <v>羅煜鈜</v>
      </c>
      <c r="D1691" s="16" t="str">
        <f>IFERROR(__xludf.DUMMYFUNCTION("""COMPUTED_VALUE"""),"lh1*****@mail.edu.tw")</f>
        <v>lh1*****@mail.edu.tw</v>
      </c>
      <c r="E1691" s="17" t="str">
        <f>IFERROR(__xludf.DUMMYFUNCTION("""COMPUTED_VALUE"""),"苗栗縣頭份市六合國民小學")</f>
        <v>苗栗縣頭份市六合國民小學</v>
      </c>
      <c r="F1691" s="14" t="str">
        <f>IFERROR(__xludf.DUMMYFUNCTION("""COMPUTED_VALUE"""),"四年級")</f>
        <v>四年級</v>
      </c>
      <c r="G1691" s="14" t="str">
        <f>IFERROR(__xludf.DUMMYFUNCTION("""COMPUTED_VALUE"""),"獎狀")</f>
        <v>獎狀</v>
      </c>
      <c r="H1691" s="8"/>
    </row>
    <row r="1692">
      <c r="A1692" s="18"/>
      <c r="B1692" s="14">
        <f>IFERROR(__xludf.DUMMYFUNCTION("""COMPUTED_VALUE"""),298626.0)</f>
        <v>298626</v>
      </c>
      <c r="C1692" s="14" t="str">
        <f>IFERROR(__xludf.DUMMYFUNCTION("""COMPUTED_VALUE"""),"溫絜如")</f>
        <v>溫絜如</v>
      </c>
      <c r="D1692" s="16" t="str">
        <f>IFERROR(__xludf.DUMMYFUNCTION("""COMPUTED_VALUE"""),"nan*****010@mail.edu.tw")</f>
        <v>nan*****010@mail.edu.tw</v>
      </c>
      <c r="E1692" s="17" t="str">
        <f>IFERROR(__xludf.DUMMYFUNCTION("""COMPUTED_VALUE"""),"苗栗縣頭份市六合國民小學")</f>
        <v>苗栗縣頭份市六合國民小學</v>
      </c>
      <c r="F1692" s="14" t="str">
        <f>IFERROR(__xludf.DUMMYFUNCTION("""COMPUTED_VALUE"""),"六年級")</f>
        <v>六年級</v>
      </c>
      <c r="G1692" s="14" t="str">
        <f>IFERROR(__xludf.DUMMYFUNCTION("""COMPUTED_VALUE"""),"●小禮物")</f>
        <v>●小禮物</v>
      </c>
      <c r="H1692" s="8"/>
    </row>
    <row r="1693">
      <c r="A1693" s="18"/>
      <c r="B1693" s="14">
        <f>IFERROR(__xludf.DUMMYFUNCTION("""COMPUTED_VALUE"""),806839.0)</f>
        <v>806839</v>
      </c>
      <c r="C1693" s="14" t="str">
        <f>IFERROR(__xludf.DUMMYFUNCTION("""COMPUTED_VALUE"""),"陳詠翎")</f>
        <v>陳詠翎</v>
      </c>
      <c r="D1693" s="16" t="str">
        <f>IFERROR(__xludf.DUMMYFUNCTION("""COMPUTED_VALUE"""),"054*****080082@stu.mlc.edu.tw")</f>
        <v>054*****080082@stu.mlc.edu.tw</v>
      </c>
      <c r="E1693" s="17" t="str">
        <f>IFERROR(__xludf.DUMMYFUNCTION("""COMPUTED_VALUE"""),"苗栗縣頭份市蟠桃國民小學")</f>
        <v>苗栗縣頭份市蟠桃國民小學</v>
      </c>
      <c r="F1693" s="14" t="str">
        <f>IFERROR(__xludf.DUMMYFUNCTION("""COMPUTED_VALUE"""),"四年級")</f>
        <v>四年級</v>
      </c>
      <c r="G1693" s="14" t="str">
        <f>IFERROR(__xludf.DUMMYFUNCTION("""COMPUTED_VALUE"""),"獎狀")</f>
        <v>獎狀</v>
      </c>
      <c r="H1693" s="8"/>
    </row>
    <row r="1694">
      <c r="A1694" s="18"/>
      <c r="B1694" s="14">
        <f>IFERROR(__xludf.DUMMYFUNCTION("""COMPUTED_VALUE"""),493755.0)</f>
        <v>493755</v>
      </c>
      <c r="C1694" s="14" t="str">
        <f>IFERROR(__xludf.DUMMYFUNCTION("""COMPUTED_VALUE"""),"李瑀宸")</f>
        <v>李瑀宸</v>
      </c>
      <c r="D1694" s="16" t="str">
        <f>IFERROR(__xludf.DUMMYFUNCTION("""COMPUTED_VALUE"""),"y68*****ail.edu.tw")</f>
        <v>y68*****ail.edu.tw</v>
      </c>
      <c r="E1694" s="17" t="str">
        <f>IFERROR(__xludf.DUMMYFUNCTION("""COMPUTED_VALUE"""),"苗栗縣頭份市蟠桃國民小學")</f>
        <v>苗栗縣頭份市蟠桃國民小學</v>
      </c>
      <c r="F1694" s="14" t="str">
        <f>IFERROR(__xludf.DUMMYFUNCTION("""COMPUTED_VALUE"""),"五年級")</f>
        <v>五年級</v>
      </c>
      <c r="G1694" s="14" t="str">
        <f>IFERROR(__xludf.DUMMYFUNCTION("""COMPUTED_VALUE"""),"獎狀")</f>
        <v>獎狀</v>
      </c>
      <c r="H1694" s="8"/>
    </row>
    <row r="1695">
      <c r="A1695" s="18"/>
      <c r="B1695" s="14">
        <f>IFERROR(__xludf.DUMMYFUNCTION("""COMPUTED_VALUE"""),1020392.0)</f>
        <v>1020392</v>
      </c>
      <c r="C1695" s="14" t="str">
        <f>IFERROR(__xludf.DUMMYFUNCTION("""COMPUTED_VALUE"""),"左昕晨")</f>
        <v>左昕晨</v>
      </c>
      <c r="D1695" s="16" t="str">
        <f>IFERROR(__xludf.DUMMYFUNCTION("""COMPUTED_VALUE"""),"054*****070120@stu.mlc.edu.tw")</f>
        <v>054*****070120@stu.mlc.edu.tw</v>
      </c>
      <c r="E1695" s="17" t="str">
        <f>IFERROR(__xludf.DUMMYFUNCTION("""COMPUTED_VALUE"""),"苗栗縣頭份市蟠桃國民小學")</f>
        <v>苗栗縣頭份市蟠桃國民小學</v>
      </c>
      <c r="F1695" s="14" t="str">
        <f>IFERROR(__xludf.DUMMYFUNCTION("""COMPUTED_VALUE"""),"五年級")</f>
        <v>五年級</v>
      </c>
      <c r="G1695" s="14" t="str">
        <f>IFERROR(__xludf.DUMMYFUNCTION("""COMPUTED_VALUE"""),"●小禮物")</f>
        <v>●小禮物</v>
      </c>
      <c r="H1695" s="8"/>
    </row>
    <row r="1696">
      <c r="A1696" s="18"/>
      <c r="B1696" s="14">
        <f>IFERROR(__xludf.DUMMYFUNCTION("""COMPUTED_VALUE"""),598692.0)</f>
        <v>598692</v>
      </c>
      <c r="C1696" s="14" t="str">
        <f>IFERROR(__xludf.DUMMYFUNCTION("""COMPUTED_VALUE"""),"林妍諮")</f>
        <v>林妍諮</v>
      </c>
      <c r="D1696" s="16" t="str">
        <f>IFERROR(__xludf.DUMMYFUNCTION("""COMPUTED_VALUE"""),"pan*****06@mail.edu.tw")</f>
        <v>pan*****06@mail.edu.tw</v>
      </c>
      <c r="E1696" s="17" t="str">
        <f>IFERROR(__xludf.DUMMYFUNCTION("""COMPUTED_VALUE"""),"苗栗縣頭份市蟠桃國民小學")</f>
        <v>苗栗縣頭份市蟠桃國民小學</v>
      </c>
      <c r="F1696" s="14" t="str">
        <f>IFERROR(__xludf.DUMMYFUNCTION("""COMPUTED_VALUE"""),"五年級")</f>
        <v>五年級</v>
      </c>
      <c r="G1696" s="14" t="str">
        <f>IFERROR(__xludf.DUMMYFUNCTION("""COMPUTED_VALUE"""),"●小禮物")</f>
        <v>●小禮物</v>
      </c>
      <c r="H1696" s="8"/>
    </row>
    <row r="1697">
      <c r="A1697" s="18"/>
      <c r="B1697" s="14">
        <f>IFERROR(__xludf.DUMMYFUNCTION("""COMPUTED_VALUE"""),598744.0)</f>
        <v>598744</v>
      </c>
      <c r="C1697" s="14" t="str">
        <f>IFERROR(__xludf.DUMMYFUNCTION("""COMPUTED_VALUE"""),"王育慈")</f>
        <v>王育慈</v>
      </c>
      <c r="D1697" s="16" t="str">
        <f>IFERROR(__xludf.DUMMYFUNCTION("""COMPUTED_VALUE"""),"pan*****31@mail.edu.tw")</f>
        <v>pan*****31@mail.edu.tw</v>
      </c>
      <c r="E1697" s="17" t="str">
        <f>IFERROR(__xludf.DUMMYFUNCTION("""COMPUTED_VALUE"""),"苗栗縣頭份市蟠桃國民小學")</f>
        <v>苗栗縣頭份市蟠桃國民小學</v>
      </c>
      <c r="F1697" s="14" t="str">
        <f>IFERROR(__xludf.DUMMYFUNCTION("""COMPUTED_VALUE"""),"五年級")</f>
        <v>五年級</v>
      </c>
      <c r="G1697" s="14" t="str">
        <f>IFERROR(__xludf.DUMMYFUNCTION("""COMPUTED_VALUE"""),"獎狀")</f>
        <v>獎狀</v>
      </c>
      <c r="H1697" s="8"/>
    </row>
    <row r="1698">
      <c r="A1698" s="18"/>
      <c r="B1698" s="14">
        <f>IFERROR(__xludf.DUMMYFUNCTION("""COMPUTED_VALUE"""),598743.0)</f>
        <v>598743</v>
      </c>
      <c r="C1698" s="14" t="str">
        <f>IFERROR(__xludf.DUMMYFUNCTION("""COMPUTED_VALUE"""),"林湘晴")</f>
        <v>林湘晴</v>
      </c>
      <c r="D1698" s="16" t="str">
        <f>IFERROR(__xludf.DUMMYFUNCTION("""COMPUTED_VALUE"""),"pan*****19@mail.edu.tw")</f>
        <v>pan*****19@mail.edu.tw</v>
      </c>
      <c r="E1698" s="17" t="str">
        <f>IFERROR(__xludf.DUMMYFUNCTION("""COMPUTED_VALUE"""),"苗栗縣頭份市蟠桃國民小學")</f>
        <v>苗栗縣頭份市蟠桃國民小學</v>
      </c>
      <c r="F1698" s="14" t="str">
        <f>IFERROR(__xludf.DUMMYFUNCTION("""COMPUTED_VALUE"""),"五年級")</f>
        <v>五年級</v>
      </c>
      <c r="G1698" s="14" t="str">
        <f>IFERROR(__xludf.DUMMYFUNCTION("""COMPUTED_VALUE"""),"獎狀")</f>
        <v>獎狀</v>
      </c>
      <c r="H1698" s="8"/>
    </row>
    <row r="1699">
      <c r="A1699" s="18"/>
      <c r="B1699" s="14">
        <f>IFERROR(__xludf.DUMMYFUNCTION("""COMPUTED_VALUE"""),1200020.0)</f>
        <v>1200020</v>
      </c>
      <c r="C1699" s="14" t="str">
        <f>IFERROR(__xludf.DUMMYFUNCTION("""COMPUTED_VALUE"""),"葉芷彤")</f>
        <v>葉芷彤</v>
      </c>
      <c r="D1699" s="16" t="str">
        <f>IFERROR(__xludf.DUMMYFUNCTION("""COMPUTED_VALUE"""),"054*****070085@stu.mlc.edu.tw")</f>
        <v>054*****070085@stu.mlc.edu.tw</v>
      </c>
      <c r="E1699" s="17" t="str">
        <f>IFERROR(__xludf.DUMMYFUNCTION("""COMPUTED_VALUE"""),"苗栗縣頭份市蟠桃國民小學")</f>
        <v>苗栗縣頭份市蟠桃國民小學</v>
      </c>
      <c r="F1699" s="14" t="str">
        <f>IFERROR(__xludf.DUMMYFUNCTION("""COMPUTED_VALUE"""),"五年級")</f>
        <v>五年級</v>
      </c>
      <c r="G1699" s="14" t="str">
        <f>IFERROR(__xludf.DUMMYFUNCTION("""COMPUTED_VALUE"""),"獎狀")</f>
        <v>獎狀</v>
      </c>
      <c r="H1699" s="8"/>
    </row>
    <row r="1700">
      <c r="A1700" s="18"/>
      <c r="B1700" s="14">
        <f>IFERROR(__xludf.DUMMYFUNCTION("""COMPUTED_VALUE"""),1200231.0)</f>
        <v>1200231</v>
      </c>
      <c r="C1700" s="14" t="str">
        <f>IFERROR(__xludf.DUMMYFUNCTION("""COMPUTED_VALUE"""),"古沛鑫")</f>
        <v>古沛鑫</v>
      </c>
      <c r="D1700" s="16" t="str">
        <f>IFERROR(__xludf.DUMMYFUNCTION("""COMPUTED_VALUE"""),"054*****070040@stu.mlc.edu.tw")</f>
        <v>054*****070040@stu.mlc.edu.tw</v>
      </c>
      <c r="E1700" s="17" t="str">
        <f>IFERROR(__xludf.DUMMYFUNCTION("""COMPUTED_VALUE"""),"苗栗縣頭份市蟠桃國民小學")</f>
        <v>苗栗縣頭份市蟠桃國民小學</v>
      </c>
      <c r="F1700" s="14" t="str">
        <f>IFERROR(__xludf.DUMMYFUNCTION("""COMPUTED_VALUE"""),"五年級")</f>
        <v>五年級</v>
      </c>
      <c r="G1700" s="14" t="str">
        <f>IFERROR(__xludf.DUMMYFUNCTION("""COMPUTED_VALUE"""),"●小禮物")</f>
        <v>●小禮物</v>
      </c>
      <c r="H1700" s="8"/>
    </row>
    <row r="1701">
      <c r="A1701" s="18"/>
      <c r="B1701" s="14">
        <f>IFERROR(__xludf.DUMMYFUNCTION("""COMPUTED_VALUE"""),1200234.0)</f>
        <v>1200234</v>
      </c>
      <c r="C1701" s="14" t="str">
        <f>IFERROR(__xludf.DUMMYFUNCTION("""COMPUTED_VALUE"""),"李育媃")</f>
        <v>李育媃</v>
      </c>
      <c r="D1701" s="16" t="str">
        <f>IFERROR(__xludf.DUMMYFUNCTION("""COMPUTED_VALUE"""),"054*****070125@stu.mlc.edu.tw")</f>
        <v>054*****070125@stu.mlc.edu.tw</v>
      </c>
      <c r="E1701" s="17" t="str">
        <f>IFERROR(__xludf.DUMMYFUNCTION("""COMPUTED_VALUE"""),"苗栗縣頭份市蟠桃國民小學")</f>
        <v>苗栗縣頭份市蟠桃國民小學</v>
      </c>
      <c r="F1701" s="14" t="str">
        <f>IFERROR(__xludf.DUMMYFUNCTION("""COMPUTED_VALUE"""),"五年級")</f>
        <v>五年級</v>
      </c>
      <c r="G1701" s="14" t="str">
        <f>IFERROR(__xludf.DUMMYFUNCTION("""COMPUTED_VALUE"""),"●小禮物")</f>
        <v>●小禮物</v>
      </c>
      <c r="H1701" s="8"/>
    </row>
    <row r="1702">
      <c r="A1702" s="18"/>
      <c r="B1702" s="14">
        <f>IFERROR(__xludf.DUMMYFUNCTION("""COMPUTED_VALUE"""),1014123.0)</f>
        <v>1014123</v>
      </c>
      <c r="C1702" s="14" t="str">
        <f>IFERROR(__xludf.DUMMYFUNCTION("""COMPUTED_VALUE"""),"林采潔")</f>
        <v>林采潔</v>
      </c>
      <c r="D1702" s="16" t="str">
        <f>IFERROR(__xludf.DUMMYFUNCTION("""COMPUTED_VALUE"""),"054*****070107@stu.mlc.edu.tw")</f>
        <v>054*****070107@stu.mlc.edu.tw</v>
      </c>
      <c r="E1702" s="17" t="str">
        <f>IFERROR(__xludf.DUMMYFUNCTION("""COMPUTED_VALUE"""),"苗栗縣頭份市蟠桃國民小學")</f>
        <v>苗栗縣頭份市蟠桃國民小學</v>
      </c>
      <c r="F1702" s="14" t="str">
        <f>IFERROR(__xludf.DUMMYFUNCTION("""COMPUTED_VALUE"""),"五年級")</f>
        <v>五年級</v>
      </c>
      <c r="G1702" s="14" t="str">
        <f>IFERROR(__xludf.DUMMYFUNCTION("""COMPUTED_VALUE"""),"●小禮物")</f>
        <v>●小禮物</v>
      </c>
      <c r="H1702" s="8"/>
    </row>
    <row r="1703">
      <c r="A1703" s="18"/>
      <c r="B1703" s="14">
        <f>IFERROR(__xludf.DUMMYFUNCTION("""COMPUTED_VALUE"""),1200233.0)</f>
        <v>1200233</v>
      </c>
      <c r="C1703" s="14" t="str">
        <f>IFERROR(__xludf.DUMMYFUNCTION("""COMPUTED_VALUE"""),"林俞佑")</f>
        <v>林俞佑</v>
      </c>
      <c r="D1703" s="16" t="str">
        <f>IFERROR(__xludf.DUMMYFUNCTION("""COMPUTED_VALUE"""),"054*****070116@stu.mlc.edu.tw")</f>
        <v>054*****070116@stu.mlc.edu.tw</v>
      </c>
      <c r="E1703" s="17" t="str">
        <f>IFERROR(__xludf.DUMMYFUNCTION("""COMPUTED_VALUE"""),"苗栗縣頭份市蟠桃國民小學")</f>
        <v>苗栗縣頭份市蟠桃國民小學</v>
      </c>
      <c r="F1703" s="14" t="str">
        <f>IFERROR(__xludf.DUMMYFUNCTION("""COMPUTED_VALUE"""),"五年級")</f>
        <v>五年級</v>
      </c>
      <c r="G1703" s="14" t="str">
        <f>IFERROR(__xludf.DUMMYFUNCTION("""COMPUTED_VALUE"""),"●小禮物")</f>
        <v>●小禮物</v>
      </c>
      <c r="H1703" s="8"/>
    </row>
    <row r="1704">
      <c r="A1704" s="18"/>
      <c r="B1704" s="14">
        <f>IFERROR(__xludf.DUMMYFUNCTION("""COMPUTED_VALUE"""),1019189.0)</f>
        <v>1019189</v>
      </c>
      <c r="C1704" s="14" t="str">
        <f>IFERROR(__xludf.DUMMYFUNCTION("""COMPUTED_VALUE"""),"高仲希")</f>
        <v>高仲希</v>
      </c>
      <c r="D1704" s="16" t="str">
        <f>IFERROR(__xludf.DUMMYFUNCTION("""COMPUTED_VALUE"""),"054*****070036@stu.mlc.edu.tw")</f>
        <v>054*****070036@stu.mlc.edu.tw</v>
      </c>
      <c r="E1704" s="17" t="str">
        <f>IFERROR(__xludf.DUMMYFUNCTION("""COMPUTED_VALUE"""),"苗栗縣頭份市蟠桃國民小學")</f>
        <v>苗栗縣頭份市蟠桃國民小學</v>
      </c>
      <c r="F1704" s="14" t="str">
        <f>IFERROR(__xludf.DUMMYFUNCTION("""COMPUTED_VALUE"""),"五年級")</f>
        <v>五年級</v>
      </c>
      <c r="G1704" s="14" t="str">
        <f>IFERROR(__xludf.DUMMYFUNCTION("""COMPUTED_VALUE"""),"●小禮物")</f>
        <v>●小禮物</v>
      </c>
      <c r="H1704" s="8"/>
    </row>
    <row r="1705">
      <c r="A1705" s="18"/>
      <c r="B1705" s="14">
        <f>IFERROR(__xludf.DUMMYFUNCTION("""COMPUTED_VALUE"""),1200245.0)</f>
        <v>1200245</v>
      </c>
      <c r="C1705" s="14" t="str">
        <f>IFERROR(__xludf.DUMMYFUNCTION("""COMPUTED_VALUE"""),"張晴子")</f>
        <v>張晴子</v>
      </c>
      <c r="D1705" s="16" t="str">
        <f>IFERROR(__xludf.DUMMYFUNCTION("""COMPUTED_VALUE"""),"054*****070161@stu.mlc.edu.tw")</f>
        <v>054*****070161@stu.mlc.edu.tw</v>
      </c>
      <c r="E1705" s="17" t="str">
        <f>IFERROR(__xludf.DUMMYFUNCTION("""COMPUTED_VALUE"""),"苗栗縣頭份市蟠桃國民小學")</f>
        <v>苗栗縣頭份市蟠桃國民小學</v>
      </c>
      <c r="F1705" s="14" t="str">
        <f>IFERROR(__xludf.DUMMYFUNCTION("""COMPUTED_VALUE"""),"五年級")</f>
        <v>五年級</v>
      </c>
      <c r="G1705" s="14" t="str">
        <f>IFERROR(__xludf.DUMMYFUNCTION("""COMPUTED_VALUE"""),"●小禮物")</f>
        <v>●小禮物</v>
      </c>
      <c r="H1705" s="8"/>
    </row>
    <row r="1706">
      <c r="A1706" s="18"/>
      <c r="B1706" s="14">
        <f>IFERROR(__xludf.DUMMYFUNCTION("""COMPUTED_VALUE"""),1200236.0)</f>
        <v>1200236</v>
      </c>
      <c r="C1706" s="14" t="str">
        <f>IFERROR(__xludf.DUMMYFUNCTION("""COMPUTED_VALUE"""),"楊峻睿")</f>
        <v>楊峻睿</v>
      </c>
      <c r="D1706" s="16" t="str">
        <f>IFERROR(__xludf.DUMMYFUNCTION("""COMPUTED_VALUE"""),"054*****070007@stu.mlc.edu.tw")</f>
        <v>054*****070007@stu.mlc.edu.tw</v>
      </c>
      <c r="E1706" s="17" t="str">
        <f>IFERROR(__xludf.DUMMYFUNCTION("""COMPUTED_VALUE"""),"苗栗縣頭份市蟠桃國民小學")</f>
        <v>苗栗縣頭份市蟠桃國民小學</v>
      </c>
      <c r="F1706" s="14" t="str">
        <f>IFERROR(__xludf.DUMMYFUNCTION("""COMPUTED_VALUE"""),"五年級")</f>
        <v>五年級</v>
      </c>
      <c r="G1706" s="14" t="str">
        <f>IFERROR(__xludf.DUMMYFUNCTION("""COMPUTED_VALUE"""),"●小禮物")</f>
        <v>●小禮物</v>
      </c>
      <c r="H1706" s="8"/>
    </row>
    <row r="1707">
      <c r="A1707" s="18"/>
      <c r="B1707" s="14">
        <f>IFERROR(__xludf.DUMMYFUNCTION("""COMPUTED_VALUE"""),1200241.0)</f>
        <v>1200241</v>
      </c>
      <c r="C1707" s="14" t="str">
        <f>IFERROR(__xludf.DUMMYFUNCTION("""COMPUTED_VALUE"""),"鄭家妏")</f>
        <v>鄭家妏</v>
      </c>
      <c r="D1707" s="16" t="str">
        <f>IFERROR(__xludf.DUMMYFUNCTION("""COMPUTED_VALUE"""),"054*****070100@stu.mlc.edu.tw")</f>
        <v>054*****070100@stu.mlc.edu.tw</v>
      </c>
      <c r="E1707" s="17" t="str">
        <f>IFERROR(__xludf.DUMMYFUNCTION("""COMPUTED_VALUE"""),"苗栗縣頭份市蟠桃國民小學")</f>
        <v>苗栗縣頭份市蟠桃國民小學</v>
      </c>
      <c r="F1707" s="14" t="str">
        <f>IFERROR(__xludf.DUMMYFUNCTION("""COMPUTED_VALUE"""),"五年級")</f>
        <v>五年級</v>
      </c>
      <c r="G1707" s="14" t="str">
        <f>IFERROR(__xludf.DUMMYFUNCTION("""COMPUTED_VALUE"""),"●小禮物")</f>
        <v>●小禮物</v>
      </c>
      <c r="H1707" s="8"/>
    </row>
    <row r="1708">
      <c r="A1708" s="18"/>
      <c r="B1708" s="14">
        <f>IFERROR(__xludf.DUMMYFUNCTION("""COMPUTED_VALUE"""),1020415.0)</f>
        <v>1020415</v>
      </c>
      <c r="C1708" s="14" t="str">
        <f>IFERROR(__xludf.DUMMYFUNCTION("""COMPUTED_VALUE"""),"羅筱棠")</f>
        <v>羅筱棠</v>
      </c>
      <c r="D1708" s="16" t="str">
        <f>IFERROR(__xludf.DUMMYFUNCTION("""COMPUTED_VALUE"""),"054*****070113@stu.mlc.edu.tw")</f>
        <v>054*****070113@stu.mlc.edu.tw</v>
      </c>
      <c r="E1708" s="17" t="str">
        <f>IFERROR(__xludf.DUMMYFUNCTION("""COMPUTED_VALUE"""),"苗栗縣頭份市蟠桃國民小學")</f>
        <v>苗栗縣頭份市蟠桃國民小學</v>
      </c>
      <c r="F1708" s="14" t="str">
        <f>IFERROR(__xludf.DUMMYFUNCTION("""COMPUTED_VALUE"""),"五年級")</f>
        <v>五年級</v>
      </c>
      <c r="G1708" s="14" t="str">
        <f>IFERROR(__xludf.DUMMYFUNCTION("""COMPUTED_VALUE"""),"●小禮物")</f>
        <v>●小禮物</v>
      </c>
      <c r="H1708" s="8"/>
    </row>
    <row r="1709">
      <c r="A1709" s="18"/>
      <c r="B1709" s="14">
        <f>IFERROR(__xludf.DUMMYFUNCTION("""COMPUTED_VALUE"""),1020368.0)</f>
        <v>1020368</v>
      </c>
      <c r="C1709" s="14" t="str">
        <f>IFERROR(__xludf.DUMMYFUNCTION("""COMPUTED_VALUE"""),"林念祖")</f>
        <v>林念祖</v>
      </c>
      <c r="D1709" s="16" t="str">
        <f>IFERROR(__xludf.DUMMYFUNCTION("""COMPUTED_VALUE"""),"054*****070041@stu.mlc.edu.tw")</f>
        <v>054*****070041@stu.mlc.edu.tw</v>
      </c>
      <c r="E1709" s="17" t="str">
        <f>IFERROR(__xludf.DUMMYFUNCTION("""COMPUTED_VALUE"""),"苗栗縣頭份市蟠桃國民小學")</f>
        <v>苗栗縣頭份市蟠桃國民小學</v>
      </c>
      <c r="F1709" s="14" t="str">
        <f>IFERROR(__xludf.DUMMYFUNCTION("""COMPUTED_VALUE"""),"五年級")</f>
        <v>五年級</v>
      </c>
      <c r="G1709" s="14" t="str">
        <f>IFERROR(__xludf.DUMMYFUNCTION("""COMPUTED_VALUE"""),"★禮券$200")</f>
        <v>★禮券$200</v>
      </c>
      <c r="H1709" s="8"/>
    </row>
    <row r="1710">
      <c r="A1710" s="18"/>
      <c r="B1710" s="14">
        <f>IFERROR(__xludf.DUMMYFUNCTION("""COMPUTED_VALUE"""),1200226.0)</f>
        <v>1200226</v>
      </c>
      <c r="C1710" s="14" t="str">
        <f>IFERROR(__xludf.DUMMYFUNCTION("""COMPUTED_VALUE"""),"巫尚洋")</f>
        <v>巫尚洋</v>
      </c>
      <c r="D1710" s="16" t="str">
        <f>IFERROR(__xludf.DUMMYFUNCTION("""COMPUTED_VALUE"""),"054*****070045@stu.mlc.edu.tw")</f>
        <v>054*****070045@stu.mlc.edu.tw</v>
      </c>
      <c r="E1710" s="17" t="str">
        <f>IFERROR(__xludf.DUMMYFUNCTION("""COMPUTED_VALUE"""),"苗栗縣頭份市蟠桃國民小學")</f>
        <v>苗栗縣頭份市蟠桃國民小學</v>
      </c>
      <c r="F1710" s="14" t="str">
        <f>IFERROR(__xludf.DUMMYFUNCTION("""COMPUTED_VALUE"""),"五年級")</f>
        <v>五年級</v>
      </c>
      <c r="G1710" s="14" t="str">
        <f>IFERROR(__xludf.DUMMYFUNCTION("""COMPUTED_VALUE"""),"獎狀")</f>
        <v>獎狀</v>
      </c>
      <c r="H1710" s="8"/>
    </row>
    <row r="1711">
      <c r="A1711" s="18"/>
      <c r="B1711" s="14">
        <f>IFERROR(__xludf.DUMMYFUNCTION("""COMPUTED_VALUE"""),1020424.0)</f>
        <v>1020424</v>
      </c>
      <c r="C1711" s="14" t="str">
        <f>IFERROR(__xludf.DUMMYFUNCTION("""COMPUTED_VALUE"""),"李昀熙")</f>
        <v>李昀熙</v>
      </c>
      <c r="D1711" s="16" t="str">
        <f>IFERROR(__xludf.DUMMYFUNCTION("""COMPUTED_VALUE"""),"054*****070162@stu.mlc.edu.tw")</f>
        <v>054*****070162@stu.mlc.edu.tw</v>
      </c>
      <c r="E1711" s="17" t="str">
        <f>IFERROR(__xludf.DUMMYFUNCTION("""COMPUTED_VALUE"""),"苗栗縣頭份市蟠桃國民小學")</f>
        <v>苗栗縣頭份市蟠桃國民小學</v>
      </c>
      <c r="F1711" s="14" t="str">
        <f>IFERROR(__xludf.DUMMYFUNCTION("""COMPUTED_VALUE"""),"五年級")</f>
        <v>五年級</v>
      </c>
      <c r="G1711" s="14" t="str">
        <f>IFERROR(__xludf.DUMMYFUNCTION("""COMPUTED_VALUE"""),"獎狀")</f>
        <v>獎狀</v>
      </c>
      <c r="H1711" s="8"/>
    </row>
    <row r="1712">
      <c r="A1712" s="18"/>
      <c r="B1712" s="14">
        <f>IFERROR(__xludf.DUMMYFUNCTION("""COMPUTED_VALUE"""),1200237.0)</f>
        <v>1200237</v>
      </c>
      <c r="C1712" s="14" t="str">
        <f>IFERROR(__xludf.DUMMYFUNCTION("""COMPUTED_VALUE"""),"林立洋")</f>
        <v>林立洋</v>
      </c>
      <c r="D1712" s="16" t="str">
        <f>IFERROR(__xludf.DUMMYFUNCTION("""COMPUTED_VALUE"""),"054*****070044@stu.mlc.edu.tw")</f>
        <v>054*****070044@stu.mlc.edu.tw</v>
      </c>
      <c r="E1712" s="17" t="str">
        <f>IFERROR(__xludf.DUMMYFUNCTION("""COMPUTED_VALUE"""),"苗栗縣頭份市蟠桃國民小學")</f>
        <v>苗栗縣頭份市蟠桃國民小學</v>
      </c>
      <c r="F1712" s="14" t="str">
        <f>IFERROR(__xludf.DUMMYFUNCTION("""COMPUTED_VALUE"""),"五年級")</f>
        <v>五年級</v>
      </c>
      <c r="G1712" s="14" t="str">
        <f>IFERROR(__xludf.DUMMYFUNCTION("""COMPUTED_VALUE"""),"獎狀")</f>
        <v>獎狀</v>
      </c>
      <c r="H1712" s="8"/>
    </row>
    <row r="1713">
      <c r="A1713" s="18"/>
      <c r="B1713" s="14">
        <f>IFERROR(__xludf.DUMMYFUNCTION("""COMPUTED_VALUE"""),1015518.0)</f>
        <v>1015518</v>
      </c>
      <c r="C1713" s="14" t="str">
        <f>IFERROR(__xludf.DUMMYFUNCTION("""COMPUTED_VALUE"""),"徐浩峰")</f>
        <v>徐浩峰</v>
      </c>
      <c r="D1713" s="16" t="str">
        <f>IFERROR(__xludf.DUMMYFUNCTION("""COMPUTED_VALUE"""),"054*****070043@stu.mlc.edu.tw")</f>
        <v>054*****070043@stu.mlc.edu.tw</v>
      </c>
      <c r="E1713" s="17" t="str">
        <f>IFERROR(__xludf.DUMMYFUNCTION("""COMPUTED_VALUE"""),"苗栗縣頭份市蟠桃國民小學")</f>
        <v>苗栗縣頭份市蟠桃國民小學</v>
      </c>
      <c r="F1713" s="14" t="str">
        <f>IFERROR(__xludf.DUMMYFUNCTION("""COMPUTED_VALUE"""),"五年級")</f>
        <v>五年級</v>
      </c>
      <c r="G1713" s="14" t="str">
        <f>IFERROR(__xludf.DUMMYFUNCTION("""COMPUTED_VALUE"""),"獎狀")</f>
        <v>獎狀</v>
      </c>
      <c r="H1713" s="8"/>
    </row>
    <row r="1714">
      <c r="A1714" s="18"/>
      <c r="B1714" s="14">
        <f>IFERROR(__xludf.DUMMYFUNCTION("""COMPUTED_VALUE"""),1200232.0)</f>
        <v>1200232</v>
      </c>
      <c r="C1714" s="14" t="str">
        <f>IFERROR(__xludf.DUMMYFUNCTION("""COMPUTED_VALUE"""),"張淯喬")</f>
        <v>張淯喬</v>
      </c>
      <c r="D1714" s="16" t="str">
        <f>IFERROR(__xludf.DUMMYFUNCTION("""COMPUTED_VALUE"""),"054*****070128@stu.mlc.edu.tw")</f>
        <v>054*****070128@stu.mlc.edu.tw</v>
      </c>
      <c r="E1714" s="17" t="str">
        <f>IFERROR(__xludf.DUMMYFUNCTION("""COMPUTED_VALUE"""),"苗栗縣頭份市蟠桃國民小學")</f>
        <v>苗栗縣頭份市蟠桃國民小學</v>
      </c>
      <c r="F1714" s="14" t="str">
        <f>IFERROR(__xludf.DUMMYFUNCTION("""COMPUTED_VALUE"""),"五年級")</f>
        <v>五年級</v>
      </c>
      <c r="G1714" s="14" t="str">
        <f>IFERROR(__xludf.DUMMYFUNCTION("""COMPUTED_VALUE"""),"獎狀")</f>
        <v>獎狀</v>
      </c>
      <c r="H1714" s="8"/>
    </row>
    <row r="1715">
      <c r="A1715" s="18"/>
      <c r="B1715" s="14">
        <f>IFERROR(__xludf.DUMMYFUNCTION("""COMPUTED_VALUE"""),1172882.0)</f>
        <v>1172882</v>
      </c>
      <c r="C1715" s="14" t="str">
        <f>IFERROR(__xludf.DUMMYFUNCTION("""COMPUTED_VALUE"""),"陳邑柔")</f>
        <v>陳邑柔</v>
      </c>
      <c r="D1715" s="16" t="str">
        <f>IFERROR(__xludf.DUMMYFUNCTION("""COMPUTED_VALUE"""),"054*****070167@stu.mlc.edu.tw")</f>
        <v>054*****070167@stu.mlc.edu.tw</v>
      </c>
      <c r="E1715" s="17" t="str">
        <f>IFERROR(__xludf.DUMMYFUNCTION("""COMPUTED_VALUE"""),"苗栗縣頭份市蟠桃國民小學")</f>
        <v>苗栗縣頭份市蟠桃國民小學</v>
      </c>
      <c r="F1715" s="14" t="str">
        <f>IFERROR(__xludf.DUMMYFUNCTION("""COMPUTED_VALUE"""),"五年級")</f>
        <v>五年級</v>
      </c>
      <c r="G1715" s="14" t="str">
        <f>IFERROR(__xludf.DUMMYFUNCTION("""COMPUTED_VALUE"""),"獎狀")</f>
        <v>獎狀</v>
      </c>
      <c r="H1715" s="8"/>
    </row>
    <row r="1716">
      <c r="A1716" s="18"/>
      <c r="B1716" s="14">
        <f>IFERROR(__xludf.DUMMYFUNCTION("""COMPUTED_VALUE"""),1200243.0)</f>
        <v>1200243</v>
      </c>
      <c r="C1716" s="14" t="str">
        <f>IFERROR(__xludf.DUMMYFUNCTION("""COMPUTED_VALUE"""),"曾捷楷")</f>
        <v>曾捷楷</v>
      </c>
      <c r="D1716" s="16" t="str">
        <f>IFERROR(__xludf.DUMMYFUNCTION("""COMPUTED_VALUE"""),"054*****070064@stu.mlc.edu.tw")</f>
        <v>054*****070064@stu.mlc.edu.tw</v>
      </c>
      <c r="E1716" s="17" t="str">
        <f>IFERROR(__xludf.DUMMYFUNCTION("""COMPUTED_VALUE"""),"苗栗縣頭份市蟠桃國民小學")</f>
        <v>苗栗縣頭份市蟠桃國民小學</v>
      </c>
      <c r="F1716" s="14" t="str">
        <f>IFERROR(__xludf.DUMMYFUNCTION("""COMPUTED_VALUE"""),"五年級")</f>
        <v>五年級</v>
      </c>
      <c r="G1716" s="14" t="str">
        <f>IFERROR(__xludf.DUMMYFUNCTION("""COMPUTED_VALUE"""),"獎狀")</f>
        <v>獎狀</v>
      </c>
      <c r="H1716" s="8"/>
    </row>
    <row r="1717">
      <c r="A1717" s="18"/>
      <c r="B1717" s="14">
        <f>IFERROR(__xludf.DUMMYFUNCTION("""COMPUTED_VALUE"""),1200239.0)</f>
        <v>1200239</v>
      </c>
      <c r="C1717" s="14" t="str">
        <f>IFERROR(__xludf.DUMMYFUNCTION("""COMPUTED_VALUE"""),"黃禹晴")</f>
        <v>黃禹晴</v>
      </c>
      <c r="D1717" s="16" t="str">
        <f>IFERROR(__xludf.DUMMYFUNCTION("""COMPUTED_VALUE"""),"054*****070122@stu.mlc.edu.tw")</f>
        <v>054*****070122@stu.mlc.edu.tw</v>
      </c>
      <c r="E1717" s="17" t="str">
        <f>IFERROR(__xludf.DUMMYFUNCTION("""COMPUTED_VALUE"""),"苗栗縣頭份市蟠桃國民小學")</f>
        <v>苗栗縣頭份市蟠桃國民小學</v>
      </c>
      <c r="F1717" s="14" t="str">
        <f>IFERROR(__xludf.DUMMYFUNCTION("""COMPUTED_VALUE"""),"五年級")</f>
        <v>五年級</v>
      </c>
      <c r="G1717" s="14" t="str">
        <f>IFERROR(__xludf.DUMMYFUNCTION("""COMPUTED_VALUE"""),"獎狀")</f>
        <v>獎狀</v>
      </c>
      <c r="H1717" s="8"/>
    </row>
    <row r="1718">
      <c r="A1718" s="18"/>
      <c r="B1718" s="14">
        <f>IFERROR(__xludf.DUMMYFUNCTION("""COMPUTED_VALUE"""),1014124.0)</f>
        <v>1014124</v>
      </c>
      <c r="C1718" s="14" t="str">
        <f>IFERROR(__xludf.DUMMYFUNCTION("""COMPUTED_VALUE"""),"葉又瑄")</f>
        <v>葉又瑄</v>
      </c>
      <c r="D1718" s="16" t="str">
        <f>IFERROR(__xludf.DUMMYFUNCTION("""COMPUTED_VALUE"""),"054*****070130@stu.mlc.edu.tw")</f>
        <v>054*****070130@stu.mlc.edu.tw</v>
      </c>
      <c r="E1718" s="17" t="str">
        <f>IFERROR(__xludf.DUMMYFUNCTION("""COMPUTED_VALUE"""),"苗栗縣頭份市蟠桃國民小學")</f>
        <v>苗栗縣頭份市蟠桃國民小學</v>
      </c>
      <c r="F1718" s="14" t="str">
        <f>IFERROR(__xludf.DUMMYFUNCTION("""COMPUTED_VALUE"""),"五年級")</f>
        <v>五年級</v>
      </c>
      <c r="G1718" s="14" t="str">
        <f>IFERROR(__xludf.DUMMYFUNCTION("""COMPUTED_VALUE"""),"獎狀")</f>
        <v>獎狀</v>
      </c>
      <c r="H1718" s="8"/>
    </row>
    <row r="1719">
      <c r="A1719" s="18"/>
      <c r="B1719" s="14">
        <f>IFERROR(__xludf.DUMMYFUNCTION("""COMPUTED_VALUE"""),1013380.0)</f>
        <v>1013380</v>
      </c>
      <c r="C1719" s="14" t="str">
        <f>IFERROR(__xludf.DUMMYFUNCTION("""COMPUTED_VALUE"""),"葉諾駿")</f>
        <v>葉諾駿</v>
      </c>
      <c r="D1719" s="16" t="str">
        <f>IFERROR(__xludf.DUMMYFUNCTION("""COMPUTED_VALUE"""),"054*****070072@stu.mlc.edu.tw")</f>
        <v>054*****070072@stu.mlc.edu.tw</v>
      </c>
      <c r="E1719" s="17" t="str">
        <f>IFERROR(__xludf.DUMMYFUNCTION("""COMPUTED_VALUE"""),"苗栗縣頭份市蟠桃國民小學")</f>
        <v>苗栗縣頭份市蟠桃國民小學</v>
      </c>
      <c r="F1719" s="14" t="str">
        <f>IFERROR(__xludf.DUMMYFUNCTION("""COMPUTED_VALUE"""),"五年級")</f>
        <v>五年級</v>
      </c>
      <c r="G1719" s="14" t="str">
        <f>IFERROR(__xludf.DUMMYFUNCTION("""COMPUTED_VALUE"""),"獎狀")</f>
        <v>獎狀</v>
      </c>
      <c r="H1719" s="8"/>
    </row>
    <row r="1720">
      <c r="A1720" s="18"/>
      <c r="B1720" s="14">
        <f>IFERROR(__xludf.DUMMYFUNCTION("""COMPUTED_VALUE"""),1013432.0)</f>
        <v>1013432</v>
      </c>
      <c r="C1720" s="14" t="str">
        <f>IFERROR(__xludf.DUMMYFUNCTION("""COMPUTED_VALUE"""),"劉辰昰")</f>
        <v>劉辰昰</v>
      </c>
      <c r="D1720" s="16" t="str">
        <f>IFERROR(__xludf.DUMMYFUNCTION("""COMPUTED_VALUE"""),"054*****070055@stu.mlc.edu.tw")</f>
        <v>054*****070055@stu.mlc.edu.tw</v>
      </c>
      <c r="E1720" s="17" t="str">
        <f>IFERROR(__xludf.DUMMYFUNCTION("""COMPUTED_VALUE"""),"苗栗縣頭份市蟠桃國民小學")</f>
        <v>苗栗縣頭份市蟠桃國民小學</v>
      </c>
      <c r="F1720" s="14" t="str">
        <f>IFERROR(__xludf.DUMMYFUNCTION("""COMPUTED_VALUE"""),"五年級")</f>
        <v>五年級</v>
      </c>
      <c r="G1720" s="14" t="str">
        <f>IFERROR(__xludf.DUMMYFUNCTION("""COMPUTED_VALUE"""),"獎狀")</f>
        <v>獎狀</v>
      </c>
      <c r="H1720" s="8"/>
    </row>
    <row r="1721">
      <c r="A1721" s="18"/>
      <c r="B1721" s="14">
        <f>IFERROR(__xludf.DUMMYFUNCTION("""COMPUTED_VALUE"""),1214975.0)</f>
        <v>1214975</v>
      </c>
      <c r="C1721" s="14" t="str">
        <f>IFERROR(__xludf.DUMMYFUNCTION("""COMPUTED_VALUE"""),"李嘉倫")</f>
        <v>李嘉倫</v>
      </c>
      <c r="D1721" s="16" t="str">
        <f>IFERROR(__xludf.DUMMYFUNCTION("""COMPUTED_VALUE"""),"054*****070058@stu.mlc.edu.tw")</f>
        <v>054*****070058@stu.mlc.edu.tw</v>
      </c>
      <c r="E1721" s="17" t="str">
        <f>IFERROR(__xludf.DUMMYFUNCTION("""COMPUTED_VALUE"""),"苗栗縣頭份市蟠桃國民小學")</f>
        <v>苗栗縣頭份市蟠桃國民小學</v>
      </c>
      <c r="F1721" s="14" t="str">
        <f>IFERROR(__xludf.DUMMYFUNCTION("""COMPUTED_VALUE"""),"五年級")</f>
        <v>五年級</v>
      </c>
      <c r="G1721" s="14" t="str">
        <f>IFERROR(__xludf.DUMMYFUNCTION("""COMPUTED_VALUE"""),"●小禮物")</f>
        <v>●小禮物</v>
      </c>
      <c r="H1721" s="8"/>
    </row>
    <row r="1722">
      <c r="A1722" s="18"/>
      <c r="B1722" s="14">
        <f>IFERROR(__xludf.DUMMYFUNCTION("""COMPUTED_VALUE"""),1205818.0)</f>
        <v>1205818</v>
      </c>
      <c r="C1722" s="14" t="str">
        <f>IFERROR(__xludf.DUMMYFUNCTION("""COMPUTED_VALUE"""),"郭紹驊")</f>
        <v>郭紹驊</v>
      </c>
      <c r="D1722" s="16" t="str">
        <f>IFERROR(__xludf.DUMMYFUNCTION("""COMPUTED_VALUE"""),"054*****070035@stu.mlc.edu.tw")</f>
        <v>054*****070035@stu.mlc.edu.tw</v>
      </c>
      <c r="E1722" s="17" t="str">
        <f>IFERROR(__xludf.DUMMYFUNCTION("""COMPUTED_VALUE"""),"苗栗縣頭份市蟠桃國民小學")</f>
        <v>苗栗縣頭份市蟠桃國民小學</v>
      </c>
      <c r="F1722" s="14" t="str">
        <f>IFERROR(__xludf.DUMMYFUNCTION("""COMPUTED_VALUE"""),"五年級")</f>
        <v>五年級</v>
      </c>
      <c r="G1722" s="14" t="str">
        <f>IFERROR(__xludf.DUMMYFUNCTION("""COMPUTED_VALUE"""),"●小禮物")</f>
        <v>●小禮物</v>
      </c>
      <c r="H1722" s="8"/>
    </row>
    <row r="1723">
      <c r="A1723" s="18"/>
      <c r="B1723" s="14">
        <f>IFERROR(__xludf.DUMMYFUNCTION("""COMPUTED_VALUE"""),1205829.0)</f>
        <v>1205829</v>
      </c>
      <c r="C1723" s="14" t="str">
        <f>IFERROR(__xludf.DUMMYFUNCTION("""COMPUTED_VALUE"""),"陳亭妤")</f>
        <v>陳亭妤</v>
      </c>
      <c r="D1723" s="16" t="str">
        <f>IFERROR(__xludf.DUMMYFUNCTION("""COMPUTED_VALUE"""),"054*****070094@stu.mlc.edu.tw")</f>
        <v>054*****070094@stu.mlc.edu.tw</v>
      </c>
      <c r="E1723" s="17" t="str">
        <f>IFERROR(__xludf.DUMMYFUNCTION("""COMPUTED_VALUE"""),"苗栗縣頭份市蟠桃國民小學")</f>
        <v>苗栗縣頭份市蟠桃國民小學</v>
      </c>
      <c r="F1723" s="14" t="str">
        <f>IFERROR(__xludf.DUMMYFUNCTION("""COMPUTED_VALUE"""),"五年級")</f>
        <v>五年級</v>
      </c>
      <c r="G1723" s="14" t="str">
        <f>IFERROR(__xludf.DUMMYFUNCTION("""COMPUTED_VALUE"""),"●小禮物")</f>
        <v>●小禮物</v>
      </c>
      <c r="H1723" s="8"/>
    </row>
    <row r="1724">
      <c r="A1724" s="18"/>
      <c r="B1724" s="14">
        <f>IFERROR(__xludf.DUMMYFUNCTION("""COMPUTED_VALUE"""),1205821.0)</f>
        <v>1205821</v>
      </c>
      <c r="C1724" s="14" t="str">
        <f>IFERROR(__xludf.DUMMYFUNCTION("""COMPUTED_VALUE"""),"葉祐寧")</f>
        <v>葉祐寧</v>
      </c>
      <c r="D1724" s="16" t="str">
        <f>IFERROR(__xludf.DUMMYFUNCTION("""COMPUTED_VALUE"""),"054*****070142@stu.mlc.edu.tw")</f>
        <v>054*****070142@stu.mlc.edu.tw</v>
      </c>
      <c r="E1724" s="17" t="str">
        <f>IFERROR(__xludf.DUMMYFUNCTION("""COMPUTED_VALUE"""),"苗栗縣頭份市蟠桃國民小學")</f>
        <v>苗栗縣頭份市蟠桃國民小學</v>
      </c>
      <c r="F1724" s="14" t="str">
        <f>IFERROR(__xludf.DUMMYFUNCTION("""COMPUTED_VALUE"""),"五年級")</f>
        <v>五年級</v>
      </c>
      <c r="G1724" s="14" t="str">
        <f>IFERROR(__xludf.DUMMYFUNCTION("""COMPUTED_VALUE"""),"●小禮物")</f>
        <v>●小禮物</v>
      </c>
      <c r="H1724" s="8"/>
    </row>
    <row r="1725">
      <c r="A1725" s="18"/>
      <c r="B1725" s="14">
        <f>IFERROR(__xludf.DUMMYFUNCTION("""COMPUTED_VALUE"""),1020379.0)</f>
        <v>1020379</v>
      </c>
      <c r="C1725" s="14" t="str">
        <f>IFERROR(__xludf.DUMMYFUNCTION("""COMPUTED_VALUE"""),"趙若𦭳")</f>
        <v>趙若𦭳</v>
      </c>
      <c r="D1725" s="16" t="str">
        <f>IFERROR(__xludf.DUMMYFUNCTION("""COMPUTED_VALUE"""),"054*****070127@stu.mlc.edu.tw")</f>
        <v>054*****070127@stu.mlc.edu.tw</v>
      </c>
      <c r="E1725" s="17" t="str">
        <f>IFERROR(__xludf.DUMMYFUNCTION("""COMPUTED_VALUE"""),"苗栗縣頭份市蟠桃國民小學")</f>
        <v>苗栗縣頭份市蟠桃國民小學</v>
      </c>
      <c r="F1725" s="14" t="str">
        <f>IFERROR(__xludf.DUMMYFUNCTION("""COMPUTED_VALUE"""),"五年級")</f>
        <v>五年級</v>
      </c>
      <c r="G1725" s="14" t="str">
        <f>IFERROR(__xludf.DUMMYFUNCTION("""COMPUTED_VALUE"""),"●小禮物")</f>
        <v>●小禮物</v>
      </c>
      <c r="H1725" s="8"/>
    </row>
    <row r="1726">
      <c r="A1726" s="18"/>
      <c r="B1726" s="14">
        <f>IFERROR(__xludf.DUMMYFUNCTION("""COMPUTED_VALUE"""),1205813.0)</f>
        <v>1205813</v>
      </c>
      <c r="C1726" s="14" t="str">
        <f>IFERROR(__xludf.DUMMYFUNCTION("""COMPUTED_VALUE"""),"賴欣德")</f>
        <v>賴欣德</v>
      </c>
      <c r="D1726" s="16" t="str">
        <f>IFERROR(__xludf.DUMMYFUNCTION("""COMPUTED_VALUE"""),"054*****070038@stu.mlc.edu.tw")</f>
        <v>054*****070038@stu.mlc.edu.tw</v>
      </c>
      <c r="E1726" s="17" t="str">
        <f>IFERROR(__xludf.DUMMYFUNCTION("""COMPUTED_VALUE"""),"苗栗縣頭份市蟠桃國民小學")</f>
        <v>苗栗縣頭份市蟠桃國民小學</v>
      </c>
      <c r="F1726" s="14" t="str">
        <f>IFERROR(__xludf.DUMMYFUNCTION("""COMPUTED_VALUE"""),"五年級")</f>
        <v>五年級</v>
      </c>
      <c r="G1726" s="14" t="str">
        <f>IFERROR(__xludf.DUMMYFUNCTION("""COMPUTED_VALUE"""),"●小禮物")</f>
        <v>●小禮物</v>
      </c>
      <c r="H1726" s="8"/>
    </row>
    <row r="1727">
      <c r="A1727" s="18"/>
      <c r="B1727" s="14">
        <f>IFERROR(__xludf.DUMMYFUNCTION("""COMPUTED_VALUE"""),1099398.0)</f>
        <v>1099398</v>
      </c>
      <c r="C1727" s="14" t="str">
        <f>IFERROR(__xludf.DUMMYFUNCTION("""COMPUTED_VALUE"""),"賴楷翔")</f>
        <v>賴楷翔</v>
      </c>
      <c r="D1727" s="16" t="str">
        <f>IFERROR(__xludf.DUMMYFUNCTION("""COMPUTED_VALUE"""),"054*****070079@stu.mlc.edu.tw")</f>
        <v>054*****070079@stu.mlc.edu.tw</v>
      </c>
      <c r="E1727" s="17" t="str">
        <f>IFERROR(__xludf.DUMMYFUNCTION("""COMPUTED_VALUE"""),"苗栗縣頭份市蟠桃國民小學")</f>
        <v>苗栗縣頭份市蟠桃國民小學</v>
      </c>
      <c r="F1727" s="14" t="str">
        <f>IFERROR(__xludf.DUMMYFUNCTION("""COMPUTED_VALUE"""),"五年級")</f>
        <v>五年級</v>
      </c>
      <c r="G1727" s="14" t="str">
        <f>IFERROR(__xludf.DUMMYFUNCTION("""COMPUTED_VALUE"""),"●小禮物")</f>
        <v>●小禮物</v>
      </c>
      <c r="H1727" s="8"/>
    </row>
    <row r="1728">
      <c r="A1728" s="18"/>
      <c r="B1728" s="14">
        <f>IFERROR(__xludf.DUMMYFUNCTION("""COMPUTED_VALUE"""),1205836.0)</f>
        <v>1205836</v>
      </c>
      <c r="C1728" s="14" t="str">
        <f>IFERROR(__xludf.DUMMYFUNCTION("""COMPUTED_VALUE"""),"王筠捷")</f>
        <v>王筠捷</v>
      </c>
      <c r="D1728" s="16" t="str">
        <f>IFERROR(__xludf.DUMMYFUNCTION("""COMPUTED_VALUE"""),"054*****070109@stu.mlc.edu.tw")</f>
        <v>054*****070109@stu.mlc.edu.tw</v>
      </c>
      <c r="E1728" s="17" t="str">
        <f>IFERROR(__xludf.DUMMYFUNCTION("""COMPUTED_VALUE"""),"苗栗縣頭份市蟠桃國民小學")</f>
        <v>苗栗縣頭份市蟠桃國民小學</v>
      </c>
      <c r="F1728" s="14" t="str">
        <f>IFERROR(__xludf.DUMMYFUNCTION("""COMPUTED_VALUE"""),"五年級")</f>
        <v>五年級</v>
      </c>
      <c r="G1728" s="14" t="str">
        <f>IFERROR(__xludf.DUMMYFUNCTION("""COMPUTED_VALUE"""),"獎狀")</f>
        <v>獎狀</v>
      </c>
      <c r="H1728" s="8"/>
    </row>
    <row r="1729">
      <c r="A1729" s="18"/>
      <c r="B1729" s="14">
        <f>IFERROR(__xludf.DUMMYFUNCTION("""COMPUTED_VALUE"""),1014130.0)</f>
        <v>1014130</v>
      </c>
      <c r="C1729" s="14" t="str">
        <f>IFERROR(__xludf.DUMMYFUNCTION("""COMPUTED_VALUE"""),"吳明洋")</f>
        <v>吳明洋</v>
      </c>
      <c r="D1729" s="16" t="str">
        <f>IFERROR(__xludf.DUMMYFUNCTION("""COMPUTED_VALUE"""),"054*****070054@stu.mlc.edu.tw")</f>
        <v>054*****070054@stu.mlc.edu.tw</v>
      </c>
      <c r="E1729" s="17" t="str">
        <f>IFERROR(__xludf.DUMMYFUNCTION("""COMPUTED_VALUE"""),"苗栗縣頭份市蟠桃國民小學")</f>
        <v>苗栗縣頭份市蟠桃國民小學</v>
      </c>
      <c r="F1729" s="14" t="str">
        <f>IFERROR(__xludf.DUMMYFUNCTION("""COMPUTED_VALUE"""),"五年級")</f>
        <v>五年級</v>
      </c>
      <c r="G1729" s="14" t="str">
        <f>IFERROR(__xludf.DUMMYFUNCTION("""COMPUTED_VALUE"""),"獎狀")</f>
        <v>獎狀</v>
      </c>
      <c r="H1729" s="8"/>
    </row>
    <row r="1730">
      <c r="A1730" s="18"/>
      <c r="B1730" s="14">
        <f>IFERROR(__xludf.DUMMYFUNCTION("""COMPUTED_VALUE"""),598745.0)</f>
        <v>598745</v>
      </c>
      <c r="C1730" s="14" t="str">
        <f>IFERROR(__xludf.DUMMYFUNCTION("""COMPUTED_VALUE"""),"李侑軒")</f>
        <v>李侑軒</v>
      </c>
      <c r="D1730" s="16" t="str">
        <f>IFERROR(__xludf.DUMMYFUNCTION("""COMPUTED_VALUE"""),"pan*****98@mail.edu.tw")</f>
        <v>pan*****98@mail.edu.tw</v>
      </c>
      <c r="E1730" s="17" t="str">
        <f>IFERROR(__xludf.DUMMYFUNCTION("""COMPUTED_VALUE"""),"苗栗縣頭份市蟠桃國民小學")</f>
        <v>苗栗縣頭份市蟠桃國民小學</v>
      </c>
      <c r="F1730" s="14" t="str">
        <f>IFERROR(__xludf.DUMMYFUNCTION("""COMPUTED_VALUE"""),"五年級")</f>
        <v>五年級</v>
      </c>
      <c r="G1730" s="14" t="str">
        <f>IFERROR(__xludf.DUMMYFUNCTION("""COMPUTED_VALUE"""),"獎狀")</f>
        <v>獎狀</v>
      </c>
      <c r="H1730" s="8"/>
    </row>
    <row r="1731">
      <c r="A1731" s="18"/>
      <c r="B1731" s="14">
        <f>IFERROR(__xludf.DUMMYFUNCTION("""COMPUTED_VALUE"""),1019191.0)</f>
        <v>1019191</v>
      </c>
      <c r="C1731" s="14" t="str">
        <f>IFERROR(__xludf.DUMMYFUNCTION("""COMPUTED_VALUE"""),"邱俊翰")</f>
        <v>邱俊翰</v>
      </c>
      <c r="D1731" s="16" t="str">
        <f>IFERROR(__xludf.DUMMYFUNCTION("""COMPUTED_VALUE"""),"054*****070009@stu.mlc.edu.tw")</f>
        <v>054*****070009@stu.mlc.edu.tw</v>
      </c>
      <c r="E1731" s="17" t="str">
        <f>IFERROR(__xludf.DUMMYFUNCTION("""COMPUTED_VALUE"""),"苗栗縣頭份市蟠桃國民小學")</f>
        <v>苗栗縣頭份市蟠桃國民小學</v>
      </c>
      <c r="F1731" s="14" t="str">
        <f>IFERROR(__xludf.DUMMYFUNCTION("""COMPUTED_VALUE"""),"五年級")</f>
        <v>五年級</v>
      </c>
      <c r="G1731" s="14" t="str">
        <f>IFERROR(__xludf.DUMMYFUNCTION("""COMPUTED_VALUE"""),"獎狀")</f>
        <v>獎狀</v>
      </c>
      <c r="H1731" s="8"/>
    </row>
    <row r="1732">
      <c r="A1732" s="18"/>
      <c r="B1732" s="14">
        <f>IFERROR(__xludf.DUMMYFUNCTION("""COMPUTED_VALUE"""),987182.0)</f>
        <v>987182</v>
      </c>
      <c r="C1732" s="14" t="str">
        <f>IFERROR(__xludf.DUMMYFUNCTION("""COMPUTED_VALUE"""),"施佑昕")</f>
        <v>施佑昕</v>
      </c>
      <c r="D1732" s="16" t="str">
        <f>IFERROR(__xludf.DUMMYFUNCTION("""COMPUTED_VALUE"""),"054*****070111@stu.mlc.edu.tw")</f>
        <v>054*****070111@stu.mlc.edu.tw</v>
      </c>
      <c r="E1732" s="17" t="str">
        <f>IFERROR(__xludf.DUMMYFUNCTION("""COMPUTED_VALUE"""),"苗栗縣頭份市蟠桃國民小學")</f>
        <v>苗栗縣頭份市蟠桃國民小學</v>
      </c>
      <c r="F1732" s="14" t="str">
        <f>IFERROR(__xludf.DUMMYFUNCTION("""COMPUTED_VALUE"""),"五年級")</f>
        <v>五年級</v>
      </c>
      <c r="G1732" s="14" t="str">
        <f>IFERROR(__xludf.DUMMYFUNCTION("""COMPUTED_VALUE"""),"獎狀")</f>
        <v>獎狀</v>
      </c>
      <c r="H1732" s="8"/>
    </row>
    <row r="1733">
      <c r="A1733" s="18"/>
      <c r="B1733" s="14">
        <f>IFERROR(__xludf.DUMMYFUNCTION("""COMPUTED_VALUE"""),1205811.0)</f>
        <v>1205811</v>
      </c>
      <c r="C1733" s="14" t="str">
        <f>IFERROR(__xludf.DUMMYFUNCTION("""COMPUTED_VALUE"""),"徐昊宇")</f>
        <v>徐昊宇</v>
      </c>
      <c r="D1733" s="16" t="str">
        <f>IFERROR(__xludf.DUMMYFUNCTION("""COMPUTED_VALUE"""),"054*****070059@stu.mlc.edu.tw")</f>
        <v>054*****070059@stu.mlc.edu.tw</v>
      </c>
      <c r="E1733" s="17" t="str">
        <f>IFERROR(__xludf.DUMMYFUNCTION("""COMPUTED_VALUE"""),"苗栗縣頭份市蟠桃國民小學")</f>
        <v>苗栗縣頭份市蟠桃國民小學</v>
      </c>
      <c r="F1733" s="14" t="str">
        <f>IFERROR(__xludf.DUMMYFUNCTION("""COMPUTED_VALUE"""),"五年級")</f>
        <v>五年級</v>
      </c>
      <c r="G1733" s="14" t="str">
        <f>IFERROR(__xludf.DUMMYFUNCTION("""COMPUTED_VALUE"""),"獎狀")</f>
        <v>獎狀</v>
      </c>
      <c r="H1733" s="8"/>
    </row>
    <row r="1734">
      <c r="A1734" s="18"/>
      <c r="B1734" s="14">
        <f>IFERROR(__xludf.DUMMYFUNCTION("""COMPUTED_VALUE"""),1205826.0)</f>
        <v>1205826</v>
      </c>
      <c r="C1734" s="14" t="str">
        <f>IFERROR(__xludf.DUMMYFUNCTION("""COMPUTED_VALUE"""),"張庭溱")</f>
        <v>張庭溱</v>
      </c>
      <c r="D1734" s="16" t="str">
        <f>IFERROR(__xludf.DUMMYFUNCTION("""COMPUTED_VALUE"""),"054*****070093@stu.mlc.edu.tw")</f>
        <v>054*****070093@stu.mlc.edu.tw</v>
      </c>
      <c r="E1734" s="17" t="str">
        <f>IFERROR(__xludf.DUMMYFUNCTION("""COMPUTED_VALUE"""),"苗栗縣頭份市蟠桃國民小學")</f>
        <v>苗栗縣頭份市蟠桃國民小學</v>
      </c>
      <c r="F1734" s="14" t="str">
        <f>IFERROR(__xludf.DUMMYFUNCTION("""COMPUTED_VALUE"""),"五年級")</f>
        <v>五年級</v>
      </c>
      <c r="G1734" s="14" t="str">
        <f>IFERROR(__xludf.DUMMYFUNCTION("""COMPUTED_VALUE"""),"獎狀")</f>
        <v>獎狀</v>
      </c>
      <c r="H1734" s="8"/>
    </row>
    <row r="1735">
      <c r="A1735" s="18"/>
      <c r="B1735" s="14">
        <f>IFERROR(__xludf.DUMMYFUNCTION("""COMPUTED_VALUE"""),1183138.0)</f>
        <v>1183138</v>
      </c>
      <c r="C1735" s="14" t="str">
        <f>IFERROR(__xludf.DUMMYFUNCTION("""COMPUTED_VALUE"""),"張棣涵")</f>
        <v>張棣涵</v>
      </c>
      <c r="D1735" s="16" t="str">
        <f>IFERROR(__xludf.DUMMYFUNCTION("""COMPUTED_VALUE"""),"054*****070092@stu.mlc.edu.tw")</f>
        <v>054*****070092@stu.mlc.edu.tw</v>
      </c>
      <c r="E1735" s="17" t="str">
        <f>IFERROR(__xludf.DUMMYFUNCTION("""COMPUTED_VALUE"""),"苗栗縣頭份市蟠桃國民小學")</f>
        <v>苗栗縣頭份市蟠桃國民小學</v>
      </c>
      <c r="F1735" s="14" t="str">
        <f>IFERROR(__xludf.DUMMYFUNCTION("""COMPUTED_VALUE"""),"五年級")</f>
        <v>五年級</v>
      </c>
      <c r="G1735" s="14" t="str">
        <f>IFERROR(__xludf.DUMMYFUNCTION("""COMPUTED_VALUE"""),"獎狀")</f>
        <v>獎狀</v>
      </c>
      <c r="H1735" s="8"/>
    </row>
    <row r="1736">
      <c r="A1736" s="18"/>
      <c r="B1736" s="14">
        <f>IFERROR(__xludf.DUMMYFUNCTION("""COMPUTED_VALUE"""),1014138.0)</f>
        <v>1014138</v>
      </c>
      <c r="C1736" s="14" t="str">
        <f>IFERROR(__xludf.DUMMYFUNCTION("""COMPUTED_VALUE"""),"盛常育")</f>
        <v>盛常育</v>
      </c>
      <c r="D1736" s="16" t="str">
        <f>IFERROR(__xludf.DUMMYFUNCTION("""COMPUTED_VALUE"""),"054*****070005@stu.mlc.edu.tw")</f>
        <v>054*****070005@stu.mlc.edu.tw</v>
      </c>
      <c r="E1736" s="17" t="str">
        <f>IFERROR(__xludf.DUMMYFUNCTION("""COMPUTED_VALUE"""),"苗栗縣頭份市蟠桃國民小學")</f>
        <v>苗栗縣頭份市蟠桃國民小學</v>
      </c>
      <c r="F1736" s="14" t="str">
        <f>IFERROR(__xludf.DUMMYFUNCTION("""COMPUTED_VALUE"""),"五年級")</f>
        <v>五年級</v>
      </c>
      <c r="G1736" s="14" t="str">
        <f>IFERROR(__xludf.DUMMYFUNCTION("""COMPUTED_VALUE"""),"獎狀")</f>
        <v>獎狀</v>
      </c>
      <c r="H1736" s="8"/>
    </row>
    <row r="1737">
      <c r="A1737" s="18"/>
      <c r="B1737" s="14">
        <f>IFERROR(__xludf.DUMMYFUNCTION("""COMPUTED_VALUE"""),1205824.0)</f>
        <v>1205824</v>
      </c>
      <c r="C1737" s="14" t="str">
        <f>IFERROR(__xludf.DUMMYFUNCTION("""COMPUTED_VALUE"""),"陳毅")</f>
        <v>陳毅</v>
      </c>
      <c r="D1737" s="16" t="str">
        <f>IFERROR(__xludf.DUMMYFUNCTION("""COMPUTED_VALUE"""),"054*****070070@stu.mlc.edu.tw")</f>
        <v>054*****070070@stu.mlc.edu.tw</v>
      </c>
      <c r="E1737" s="17" t="str">
        <f>IFERROR(__xludf.DUMMYFUNCTION("""COMPUTED_VALUE"""),"苗栗縣頭份市蟠桃國民小學")</f>
        <v>苗栗縣頭份市蟠桃國民小學</v>
      </c>
      <c r="F1737" s="14" t="str">
        <f>IFERROR(__xludf.DUMMYFUNCTION("""COMPUTED_VALUE"""),"五年級")</f>
        <v>五年級</v>
      </c>
      <c r="G1737" s="14" t="str">
        <f>IFERROR(__xludf.DUMMYFUNCTION("""COMPUTED_VALUE"""),"獎狀")</f>
        <v>獎狀</v>
      </c>
      <c r="H1737" s="8"/>
    </row>
    <row r="1738">
      <c r="A1738" s="18"/>
      <c r="B1738" s="14">
        <f>IFERROR(__xludf.DUMMYFUNCTION("""COMPUTED_VALUE"""),1205819.0)</f>
        <v>1205819</v>
      </c>
      <c r="C1738" s="14" t="str">
        <f>IFERROR(__xludf.DUMMYFUNCTION("""COMPUTED_VALUE"""),"陳鵬喆")</f>
        <v>陳鵬喆</v>
      </c>
      <c r="D1738" s="16" t="str">
        <f>IFERROR(__xludf.DUMMYFUNCTION("""COMPUTED_VALUE"""),"054*****070025@stu.mlc.edu.tw")</f>
        <v>054*****070025@stu.mlc.edu.tw</v>
      </c>
      <c r="E1738" s="17" t="str">
        <f>IFERROR(__xludf.DUMMYFUNCTION("""COMPUTED_VALUE"""),"苗栗縣頭份市蟠桃國民小學")</f>
        <v>苗栗縣頭份市蟠桃國民小學</v>
      </c>
      <c r="F1738" s="14" t="str">
        <f>IFERROR(__xludf.DUMMYFUNCTION("""COMPUTED_VALUE"""),"五年級")</f>
        <v>五年級</v>
      </c>
      <c r="G1738" s="14" t="str">
        <f>IFERROR(__xludf.DUMMYFUNCTION("""COMPUTED_VALUE"""),"獎狀")</f>
        <v>獎狀</v>
      </c>
      <c r="H1738" s="8"/>
    </row>
    <row r="1739">
      <c r="A1739" s="18"/>
      <c r="B1739" s="14">
        <f>IFERROR(__xludf.DUMMYFUNCTION("""COMPUTED_VALUE"""),1205817.0)</f>
        <v>1205817</v>
      </c>
      <c r="C1739" s="14" t="str">
        <f>IFERROR(__xludf.DUMMYFUNCTION("""COMPUTED_VALUE"""),"彭沛晴")</f>
        <v>彭沛晴</v>
      </c>
      <c r="D1739" s="16" t="str">
        <f>IFERROR(__xludf.DUMMYFUNCTION("""COMPUTED_VALUE"""),"054*****070135@stu.mlc.edu.tw")</f>
        <v>054*****070135@stu.mlc.edu.tw</v>
      </c>
      <c r="E1739" s="17" t="str">
        <f>IFERROR(__xludf.DUMMYFUNCTION("""COMPUTED_VALUE"""),"苗栗縣頭份市蟠桃國民小學")</f>
        <v>苗栗縣頭份市蟠桃國民小學</v>
      </c>
      <c r="F1739" s="14" t="str">
        <f>IFERROR(__xludf.DUMMYFUNCTION("""COMPUTED_VALUE"""),"五年級")</f>
        <v>五年級</v>
      </c>
      <c r="G1739" s="14" t="str">
        <f>IFERROR(__xludf.DUMMYFUNCTION("""COMPUTED_VALUE"""),"獎狀")</f>
        <v>獎狀</v>
      </c>
      <c r="H1739" s="8"/>
    </row>
    <row r="1740">
      <c r="A1740" s="18"/>
      <c r="B1740" s="14">
        <f>IFERROR(__xludf.DUMMYFUNCTION("""COMPUTED_VALUE"""),1183136.0)</f>
        <v>1183136</v>
      </c>
      <c r="C1740" s="14" t="str">
        <f>IFERROR(__xludf.DUMMYFUNCTION("""COMPUTED_VALUE"""),"黃泊鈞")</f>
        <v>黃泊鈞</v>
      </c>
      <c r="D1740" s="16" t="str">
        <f>IFERROR(__xludf.DUMMYFUNCTION("""COMPUTED_VALUE"""),"054*****070063@stu.mlc.edu.tw")</f>
        <v>054*****070063@stu.mlc.edu.tw</v>
      </c>
      <c r="E1740" s="17" t="str">
        <f>IFERROR(__xludf.DUMMYFUNCTION("""COMPUTED_VALUE"""),"苗栗縣頭份市蟠桃國民小學")</f>
        <v>苗栗縣頭份市蟠桃國民小學</v>
      </c>
      <c r="F1740" s="14" t="str">
        <f>IFERROR(__xludf.DUMMYFUNCTION("""COMPUTED_VALUE"""),"五年級")</f>
        <v>五年級</v>
      </c>
      <c r="G1740" s="14" t="str">
        <f>IFERROR(__xludf.DUMMYFUNCTION("""COMPUTED_VALUE"""),"獎狀")</f>
        <v>獎狀</v>
      </c>
      <c r="H1740" s="8"/>
    </row>
    <row r="1741">
      <c r="A1741" s="18"/>
      <c r="B1741" s="14">
        <f>IFERROR(__xludf.DUMMYFUNCTION("""COMPUTED_VALUE"""),1017229.0)</f>
        <v>1017229</v>
      </c>
      <c r="C1741" s="14" t="str">
        <f>IFERROR(__xludf.DUMMYFUNCTION("""COMPUTED_VALUE"""),"葉旭容")</f>
        <v>葉旭容</v>
      </c>
      <c r="D1741" s="16" t="str">
        <f>IFERROR(__xludf.DUMMYFUNCTION("""COMPUTED_VALUE"""),"054*****070140@stu.mlc.edu.tw")</f>
        <v>054*****070140@stu.mlc.edu.tw</v>
      </c>
      <c r="E1741" s="17" t="str">
        <f>IFERROR(__xludf.DUMMYFUNCTION("""COMPUTED_VALUE"""),"苗栗縣頭份市蟠桃國民小學")</f>
        <v>苗栗縣頭份市蟠桃國民小學</v>
      </c>
      <c r="F1741" s="14" t="str">
        <f>IFERROR(__xludf.DUMMYFUNCTION("""COMPUTED_VALUE"""),"五年級")</f>
        <v>五年級</v>
      </c>
      <c r="G1741" s="14" t="str">
        <f>IFERROR(__xludf.DUMMYFUNCTION("""COMPUTED_VALUE"""),"獎狀")</f>
        <v>獎狀</v>
      </c>
      <c r="H1741" s="8"/>
    </row>
    <row r="1742">
      <c r="A1742" s="18"/>
      <c r="B1742" s="14">
        <f>IFERROR(__xludf.DUMMYFUNCTION("""COMPUTED_VALUE"""),1020384.0)</f>
        <v>1020384</v>
      </c>
      <c r="C1742" s="14" t="str">
        <f>IFERROR(__xludf.DUMMYFUNCTION("""COMPUTED_VALUE"""),"葉諾安")</f>
        <v>葉諾安</v>
      </c>
      <c r="D1742" s="16" t="str">
        <f>IFERROR(__xludf.DUMMYFUNCTION("""COMPUTED_VALUE"""),"054*****070144@stu.mlc.edu.tw")</f>
        <v>054*****070144@stu.mlc.edu.tw</v>
      </c>
      <c r="E1742" s="17" t="str">
        <f>IFERROR(__xludf.DUMMYFUNCTION("""COMPUTED_VALUE"""),"苗栗縣頭份市蟠桃國民小學")</f>
        <v>苗栗縣頭份市蟠桃國民小學</v>
      </c>
      <c r="F1742" s="14" t="str">
        <f>IFERROR(__xludf.DUMMYFUNCTION("""COMPUTED_VALUE"""),"五年級")</f>
        <v>五年級</v>
      </c>
      <c r="G1742" s="14" t="str">
        <f>IFERROR(__xludf.DUMMYFUNCTION("""COMPUTED_VALUE"""),"獎狀")</f>
        <v>獎狀</v>
      </c>
      <c r="H1742" s="8"/>
    </row>
    <row r="1743">
      <c r="A1743" s="18"/>
      <c r="B1743" s="14">
        <f>IFERROR(__xludf.DUMMYFUNCTION("""COMPUTED_VALUE"""),1205884.0)</f>
        <v>1205884</v>
      </c>
      <c r="C1743" s="14" t="str">
        <f>IFERROR(__xludf.DUMMYFUNCTION("""COMPUTED_VALUE"""),"謝方舟")</f>
        <v>謝方舟</v>
      </c>
      <c r="D1743" s="16" t="str">
        <f>IFERROR(__xludf.DUMMYFUNCTION("""COMPUTED_VALUE"""),"054*****070015@stu.mlc.edu.tw")</f>
        <v>054*****070015@stu.mlc.edu.tw</v>
      </c>
      <c r="E1743" s="17" t="str">
        <f>IFERROR(__xludf.DUMMYFUNCTION("""COMPUTED_VALUE"""),"苗栗縣頭份市蟠桃國民小學")</f>
        <v>苗栗縣頭份市蟠桃國民小學</v>
      </c>
      <c r="F1743" s="14" t="str">
        <f>IFERROR(__xludf.DUMMYFUNCTION("""COMPUTED_VALUE"""),"五年級")</f>
        <v>五年級</v>
      </c>
      <c r="G1743" s="14" t="str">
        <f>IFERROR(__xludf.DUMMYFUNCTION("""COMPUTED_VALUE"""),"獎狀")</f>
        <v>獎狀</v>
      </c>
      <c r="H1743" s="8"/>
    </row>
    <row r="1744">
      <c r="A1744" s="18"/>
      <c r="B1744" s="14">
        <f>IFERROR(__xludf.DUMMYFUNCTION("""COMPUTED_VALUE"""),1183135.0)</f>
        <v>1183135</v>
      </c>
      <c r="C1744" s="14" t="str">
        <f>IFERROR(__xludf.DUMMYFUNCTION("""COMPUTED_VALUE"""),"魏子傑")</f>
        <v>魏子傑</v>
      </c>
      <c r="D1744" s="16" t="str">
        <f>IFERROR(__xludf.DUMMYFUNCTION("""COMPUTED_VALUE"""),"054*****070008@stu.mlc.edu.tw")</f>
        <v>054*****070008@stu.mlc.edu.tw</v>
      </c>
      <c r="E1744" s="17" t="str">
        <f>IFERROR(__xludf.DUMMYFUNCTION("""COMPUTED_VALUE"""),"苗栗縣頭份市蟠桃國民小學")</f>
        <v>苗栗縣頭份市蟠桃國民小學</v>
      </c>
      <c r="F1744" s="14" t="str">
        <f>IFERROR(__xludf.DUMMYFUNCTION("""COMPUTED_VALUE"""),"五年級")</f>
        <v>五年級</v>
      </c>
      <c r="G1744" s="14" t="str">
        <f>IFERROR(__xludf.DUMMYFUNCTION("""COMPUTED_VALUE"""),"獎狀")</f>
        <v>獎狀</v>
      </c>
      <c r="H1744" s="8"/>
    </row>
    <row r="1745">
      <c r="A1745" s="18"/>
      <c r="B1745" s="14">
        <f>IFERROR(__xludf.DUMMYFUNCTION("""COMPUTED_VALUE"""),1214976.0)</f>
        <v>1214976</v>
      </c>
      <c r="C1745" s="14" t="str">
        <f>IFERROR(__xludf.DUMMYFUNCTION("""COMPUTED_VALUE"""),"饒恩瑜")</f>
        <v>饒恩瑜</v>
      </c>
      <c r="D1745" s="16" t="str">
        <f>IFERROR(__xludf.DUMMYFUNCTION("""COMPUTED_VALUE"""),"054*****070104@stu.mlc.edu.tw")</f>
        <v>054*****070104@stu.mlc.edu.tw</v>
      </c>
      <c r="E1745" s="17" t="str">
        <f>IFERROR(__xludf.DUMMYFUNCTION("""COMPUTED_VALUE"""),"苗栗縣頭份市蟠桃國民小學")</f>
        <v>苗栗縣頭份市蟠桃國民小學</v>
      </c>
      <c r="F1745" s="14" t="str">
        <f>IFERROR(__xludf.DUMMYFUNCTION("""COMPUTED_VALUE"""),"五年級")</f>
        <v>五年級</v>
      </c>
      <c r="G1745" s="14" t="str">
        <f>IFERROR(__xludf.DUMMYFUNCTION("""COMPUTED_VALUE"""),"獎狀")</f>
        <v>獎狀</v>
      </c>
      <c r="H1745" s="8"/>
    </row>
    <row r="1746">
      <c r="A1746" s="18"/>
      <c r="B1746" s="14">
        <f>IFERROR(__xludf.DUMMYFUNCTION("""COMPUTED_VALUE"""),862172.0)</f>
        <v>862172</v>
      </c>
      <c r="C1746" s="14" t="str">
        <f>IFERROR(__xludf.DUMMYFUNCTION("""COMPUTED_VALUE"""),"劉翊帆")</f>
        <v>劉翊帆</v>
      </c>
      <c r="D1746" s="16" t="str">
        <f>IFERROR(__xludf.DUMMYFUNCTION("""COMPUTED_VALUE"""),"054*****060107@stu.mlc.edu.tw")</f>
        <v>054*****060107@stu.mlc.edu.tw</v>
      </c>
      <c r="E1746" s="17" t="str">
        <f>IFERROR(__xludf.DUMMYFUNCTION("""COMPUTED_VALUE"""),"苗栗縣頭份市蟠桃國民小學")</f>
        <v>苗栗縣頭份市蟠桃國民小學</v>
      </c>
      <c r="F1746" s="14" t="str">
        <f>IFERROR(__xludf.DUMMYFUNCTION("""COMPUTED_VALUE"""),"六年級")</f>
        <v>六年級</v>
      </c>
      <c r="G1746" s="14" t="str">
        <f>IFERROR(__xludf.DUMMYFUNCTION("""COMPUTED_VALUE"""),"●小禮物")</f>
        <v>●小禮物</v>
      </c>
      <c r="H1746" s="8"/>
    </row>
    <row r="1747">
      <c r="A1747" s="18"/>
      <c r="B1747" s="14">
        <f>IFERROR(__xludf.DUMMYFUNCTION("""COMPUTED_VALUE"""),862201.0)</f>
        <v>862201</v>
      </c>
      <c r="C1747" s="14" t="str">
        <f>IFERROR(__xludf.DUMMYFUNCTION("""COMPUTED_VALUE"""),"吳宗暉")</f>
        <v>吳宗暉</v>
      </c>
      <c r="D1747" s="16" t="str">
        <f>IFERROR(__xludf.DUMMYFUNCTION("""COMPUTED_VALUE"""),"054*****060038@stu.mlc.edu.tw")</f>
        <v>054*****060038@stu.mlc.edu.tw</v>
      </c>
      <c r="E1747" s="17" t="str">
        <f>IFERROR(__xludf.DUMMYFUNCTION("""COMPUTED_VALUE"""),"苗栗縣頭份市蟠桃國民小學")</f>
        <v>苗栗縣頭份市蟠桃國民小學</v>
      </c>
      <c r="F1747" s="14" t="str">
        <f>IFERROR(__xludf.DUMMYFUNCTION("""COMPUTED_VALUE"""),"六年級")</f>
        <v>六年級</v>
      </c>
      <c r="G1747" s="14" t="str">
        <f>IFERROR(__xludf.DUMMYFUNCTION("""COMPUTED_VALUE"""),"獎狀")</f>
        <v>獎狀</v>
      </c>
      <c r="H1747" s="8"/>
    </row>
    <row r="1748">
      <c r="A1748" s="18"/>
      <c r="B1748" s="14">
        <f>IFERROR(__xludf.DUMMYFUNCTION("""COMPUTED_VALUE"""),862173.0)</f>
        <v>862173</v>
      </c>
      <c r="C1748" s="14" t="str">
        <f>IFERROR(__xludf.DUMMYFUNCTION("""COMPUTED_VALUE"""),"鄧仲廷")</f>
        <v>鄧仲廷</v>
      </c>
      <c r="D1748" s="16" t="str">
        <f>IFERROR(__xludf.DUMMYFUNCTION("""COMPUTED_VALUE"""),"054*****060010@stu.mlc.edu.tw")</f>
        <v>054*****060010@stu.mlc.edu.tw</v>
      </c>
      <c r="E1748" s="17" t="str">
        <f>IFERROR(__xludf.DUMMYFUNCTION("""COMPUTED_VALUE"""),"苗栗縣頭份市蟠桃國民小學")</f>
        <v>苗栗縣頭份市蟠桃國民小學</v>
      </c>
      <c r="F1748" s="14" t="str">
        <f>IFERROR(__xludf.DUMMYFUNCTION("""COMPUTED_VALUE"""),"六年級")</f>
        <v>六年級</v>
      </c>
      <c r="G1748" s="14" t="str">
        <f>IFERROR(__xludf.DUMMYFUNCTION("""COMPUTED_VALUE"""),"獎狀")</f>
        <v>獎狀</v>
      </c>
      <c r="H1748" s="8"/>
    </row>
    <row r="1749">
      <c r="A1749" s="18"/>
      <c r="B1749" s="14">
        <f>IFERROR(__xludf.DUMMYFUNCTION("""COMPUTED_VALUE"""),862147.0)</f>
        <v>862147</v>
      </c>
      <c r="C1749" s="14" t="str">
        <f>IFERROR(__xludf.DUMMYFUNCTION("""COMPUTED_VALUE"""),"廖哲羲")</f>
        <v>廖哲羲</v>
      </c>
      <c r="D1749" s="16" t="str">
        <f>IFERROR(__xludf.DUMMYFUNCTION("""COMPUTED_VALUE"""),"054*****060039@stu.mlc.edu.tw")</f>
        <v>054*****060039@stu.mlc.edu.tw</v>
      </c>
      <c r="E1749" s="17" t="str">
        <f>IFERROR(__xludf.DUMMYFUNCTION("""COMPUTED_VALUE"""),"苗栗縣頭份市蟠桃國民小學")</f>
        <v>苗栗縣頭份市蟠桃國民小學</v>
      </c>
      <c r="F1749" s="14" t="str">
        <f>IFERROR(__xludf.DUMMYFUNCTION("""COMPUTED_VALUE"""),"六年級")</f>
        <v>六年級</v>
      </c>
      <c r="G1749" s="14" t="str">
        <f>IFERROR(__xludf.DUMMYFUNCTION("""COMPUTED_VALUE"""),"●小禮物")</f>
        <v>●小禮物</v>
      </c>
      <c r="H1749" s="8"/>
    </row>
    <row r="1750">
      <c r="A1750" s="18"/>
      <c r="B1750" s="14">
        <f>IFERROR(__xludf.DUMMYFUNCTION("""COMPUTED_VALUE"""),862170.0)</f>
        <v>862170</v>
      </c>
      <c r="C1750" s="14" t="str">
        <f>IFERROR(__xludf.DUMMYFUNCTION("""COMPUTED_VALUE"""),"江佩汝")</f>
        <v>江佩汝</v>
      </c>
      <c r="D1750" s="16" t="str">
        <f>IFERROR(__xludf.DUMMYFUNCTION("""COMPUTED_VALUE"""),"054*****060092@stu.mlc.edu.tw")</f>
        <v>054*****060092@stu.mlc.edu.tw</v>
      </c>
      <c r="E1750" s="17" t="str">
        <f>IFERROR(__xludf.DUMMYFUNCTION("""COMPUTED_VALUE"""),"苗栗縣頭份市蟠桃國民小學")</f>
        <v>苗栗縣頭份市蟠桃國民小學</v>
      </c>
      <c r="F1750" s="14" t="str">
        <f>IFERROR(__xludf.DUMMYFUNCTION("""COMPUTED_VALUE"""),"六年級")</f>
        <v>六年級</v>
      </c>
      <c r="G1750" s="14" t="str">
        <f>IFERROR(__xludf.DUMMYFUNCTION("""COMPUTED_VALUE"""),"獎狀")</f>
        <v>獎狀</v>
      </c>
      <c r="H1750" s="8"/>
    </row>
    <row r="1751">
      <c r="A1751" s="18"/>
      <c r="B1751" s="14">
        <f>IFERROR(__xludf.DUMMYFUNCTION("""COMPUTED_VALUE"""),862238.0)</f>
        <v>862238</v>
      </c>
      <c r="C1751" s="14" t="str">
        <f>IFERROR(__xludf.DUMMYFUNCTION("""COMPUTED_VALUE"""),"李柏均")</f>
        <v>李柏均</v>
      </c>
      <c r="D1751" s="16" t="str">
        <f>IFERROR(__xludf.DUMMYFUNCTION("""COMPUTED_VALUE"""),"054*****060042@stu.mlc.edu.tw")</f>
        <v>054*****060042@stu.mlc.edu.tw</v>
      </c>
      <c r="E1751" s="17" t="str">
        <f>IFERROR(__xludf.DUMMYFUNCTION("""COMPUTED_VALUE"""),"苗栗縣頭份市蟠桃國民小學")</f>
        <v>苗栗縣頭份市蟠桃國民小學</v>
      </c>
      <c r="F1751" s="14" t="str">
        <f>IFERROR(__xludf.DUMMYFUNCTION("""COMPUTED_VALUE"""),"六年級")</f>
        <v>六年級</v>
      </c>
      <c r="G1751" s="14" t="str">
        <f>IFERROR(__xludf.DUMMYFUNCTION("""COMPUTED_VALUE"""),"獎狀")</f>
        <v>獎狀</v>
      </c>
      <c r="H1751" s="8"/>
    </row>
    <row r="1752">
      <c r="A1752" s="18"/>
      <c r="B1752" s="14">
        <f>IFERROR(__xludf.DUMMYFUNCTION("""COMPUTED_VALUE"""),862150.0)</f>
        <v>862150</v>
      </c>
      <c r="C1752" s="14" t="str">
        <f>IFERROR(__xludf.DUMMYFUNCTION("""COMPUTED_VALUE"""),"陳昀琪")</f>
        <v>陳昀琪</v>
      </c>
      <c r="D1752" s="16" t="str">
        <f>IFERROR(__xludf.DUMMYFUNCTION("""COMPUTED_VALUE"""),"054*****060108@stu.mlc.edu.tw")</f>
        <v>054*****060108@stu.mlc.edu.tw</v>
      </c>
      <c r="E1752" s="17" t="str">
        <f>IFERROR(__xludf.DUMMYFUNCTION("""COMPUTED_VALUE"""),"苗栗縣頭份市蟠桃國民小學")</f>
        <v>苗栗縣頭份市蟠桃國民小學</v>
      </c>
      <c r="F1752" s="14" t="str">
        <f>IFERROR(__xludf.DUMMYFUNCTION("""COMPUTED_VALUE"""),"六年級")</f>
        <v>六年級</v>
      </c>
      <c r="G1752" s="14" t="str">
        <f>IFERROR(__xludf.DUMMYFUNCTION("""COMPUTED_VALUE"""),"●小禮物")</f>
        <v>●小禮物</v>
      </c>
      <c r="H1752" s="8"/>
    </row>
    <row r="1753">
      <c r="A1753" s="18"/>
      <c r="B1753" s="14">
        <f>IFERROR(__xludf.DUMMYFUNCTION("""COMPUTED_VALUE"""),820409.0)</f>
        <v>820409</v>
      </c>
      <c r="C1753" s="14" t="str">
        <f>IFERROR(__xludf.DUMMYFUNCTION("""COMPUTED_VALUE"""),"陳彥睿")</f>
        <v>陳彥睿</v>
      </c>
      <c r="D1753" s="16" t="str">
        <f>IFERROR(__xludf.DUMMYFUNCTION("""COMPUTED_VALUE"""),"054*****060032@stu.mlc.edu.tw")</f>
        <v>054*****060032@stu.mlc.edu.tw</v>
      </c>
      <c r="E1753" s="17" t="str">
        <f>IFERROR(__xludf.DUMMYFUNCTION("""COMPUTED_VALUE"""),"苗栗縣頭份市蟠桃國民小學")</f>
        <v>苗栗縣頭份市蟠桃國民小學</v>
      </c>
      <c r="F1753" s="14" t="str">
        <f>IFERROR(__xludf.DUMMYFUNCTION("""COMPUTED_VALUE"""),"六年級")</f>
        <v>六年級</v>
      </c>
      <c r="G1753" s="14" t="str">
        <f>IFERROR(__xludf.DUMMYFUNCTION("""COMPUTED_VALUE"""),"●小禮物")</f>
        <v>●小禮物</v>
      </c>
      <c r="H1753" s="8"/>
    </row>
    <row r="1754">
      <c r="A1754" s="18"/>
      <c r="B1754" s="14">
        <f>IFERROR(__xludf.DUMMYFUNCTION("""COMPUTED_VALUE"""),758872.0)</f>
        <v>758872</v>
      </c>
      <c r="C1754" s="14" t="str">
        <f>IFERROR(__xludf.DUMMYFUNCTION("""COMPUTED_VALUE"""),"彭安妍")</f>
        <v>彭安妍</v>
      </c>
      <c r="D1754" s="16" t="str">
        <f>IFERROR(__xludf.DUMMYFUNCTION("""COMPUTED_VALUE"""),"054*****060105@stu.mlc.edu.tw")</f>
        <v>054*****060105@stu.mlc.edu.tw</v>
      </c>
      <c r="E1754" s="17" t="str">
        <f>IFERROR(__xludf.DUMMYFUNCTION("""COMPUTED_VALUE"""),"苗栗縣頭份市蟠桃國民小學")</f>
        <v>苗栗縣頭份市蟠桃國民小學</v>
      </c>
      <c r="F1754" s="14" t="str">
        <f>IFERROR(__xludf.DUMMYFUNCTION("""COMPUTED_VALUE"""),"六年級")</f>
        <v>六年級</v>
      </c>
      <c r="G1754" s="14" t="str">
        <f>IFERROR(__xludf.DUMMYFUNCTION("""COMPUTED_VALUE"""),"●小禮物")</f>
        <v>●小禮物</v>
      </c>
      <c r="H1754" s="8"/>
    </row>
    <row r="1755">
      <c r="A1755" s="18"/>
      <c r="B1755" s="14">
        <f>IFERROR(__xludf.DUMMYFUNCTION("""COMPUTED_VALUE"""),857454.0)</f>
        <v>857454</v>
      </c>
      <c r="C1755" s="14" t="str">
        <f>IFERROR(__xludf.DUMMYFUNCTION("""COMPUTED_VALUE"""),"彭楹菲")</f>
        <v>彭楹菲</v>
      </c>
      <c r="D1755" s="16" t="str">
        <f>IFERROR(__xludf.DUMMYFUNCTION("""COMPUTED_VALUE"""),"054*****060098@stu.mlc.edu.tw")</f>
        <v>054*****060098@stu.mlc.edu.tw</v>
      </c>
      <c r="E1755" s="17" t="str">
        <f>IFERROR(__xludf.DUMMYFUNCTION("""COMPUTED_VALUE"""),"苗栗縣頭份市蟠桃國民小學")</f>
        <v>苗栗縣頭份市蟠桃國民小學</v>
      </c>
      <c r="F1755" s="14" t="str">
        <f>IFERROR(__xludf.DUMMYFUNCTION("""COMPUTED_VALUE"""),"六年級")</f>
        <v>六年級</v>
      </c>
      <c r="G1755" s="14" t="str">
        <f>IFERROR(__xludf.DUMMYFUNCTION("""COMPUTED_VALUE"""),"●小禮物")</f>
        <v>●小禮物</v>
      </c>
      <c r="H1755" s="8"/>
    </row>
    <row r="1756">
      <c r="A1756" s="18"/>
      <c r="B1756" s="14">
        <f>IFERROR(__xludf.DUMMYFUNCTION("""COMPUTED_VALUE"""),862131.0)</f>
        <v>862131</v>
      </c>
      <c r="C1756" s="14" t="str">
        <f>IFERROR(__xludf.DUMMYFUNCTION("""COMPUTED_VALUE"""),"吳茹怡")</f>
        <v>吳茹怡</v>
      </c>
      <c r="D1756" s="16" t="str">
        <f>IFERROR(__xludf.DUMMYFUNCTION("""COMPUTED_VALUE"""),"054*****060058@stu.mlc.edu.tw")</f>
        <v>054*****060058@stu.mlc.edu.tw</v>
      </c>
      <c r="E1756" s="17" t="str">
        <f>IFERROR(__xludf.DUMMYFUNCTION("""COMPUTED_VALUE"""),"苗栗縣頭份市蟠桃國民小學")</f>
        <v>苗栗縣頭份市蟠桃國民小學</v>
      </c>
      <c r="F1756" s="14" t="str">
        <f>IFERROR(__xludf.DUMMYFUNCTION("""COMPUTED_VALUE"""),"六年級")</f>
        <v>六年級</v>
      </c>
      <c r="G1756" s="14" t="str">
        <f>IFERROR(__xludf.DUMMYFUNCTION("""COMPUTED_VALUE"""),"獎狀")</f>
        <v>獎狀</v>
      </c>
      <c r="H1756" s="8"/>
    </row>
    <row r="1757">
      <c r="A1757" s="18"/>
      <c r="B1757" s="14">
        <f>IFERROR(__xludf.DUMMYFUNCTION("""COMPUTED_VALUE"""),862176.0)</f>
        <v>862176</v>
      </c>
      <c r="C1757" s="14" t="str">
        <f>IFERROR(__xludf.DUMMYFUNCTION("""COMPUTED_VALUE"""),"張語岑")</f>
        <v>張語岑</v>
      </c>
      <c r="D1757" s="16" t="str">
        <f>IFERROR(__xludf.DUMMYFUNCTION("""COMPUTED_VALUE"""),"054*****060075@stu.mlc.edu.tw")</f>
        <v>054*****060075@stu.mlc.edu.tw</v>
      </c>
      <c r="E1757" s="17" t="str">
        <f>IFERROR(__xludf.DUMMYFUNCTION("""COMPUTED_VALUE"""),"苗栗縣頭份市蟠桃國民小學")</f>
        <v>苗栗縣頭份市蟠桃國民小學</v>
      </c>
      <c r="F1757" s="14" t="str">
        <f>IFERROR(__xludf.DUMMYFUNCTION("""COMPUTED_VALUE"""),"六年級")</f>
        <v>六年級</v>
      </c>
      <c r="G1757" s="14" t="str">
        <f>IFERROR(__xludf.DUMMYFUNCTION("""COMPUTED_VALUE"""),"獎狀")</f>
        <v>獎狀</v>
      </c>
      <c r="H1757" s="8"/>
    </row>
    <row r="1758">
      <c r="A1758" s="18"/>
      <c r="B1758" s="14">
        <f>IFERROR(__xludf.DUMMYFUNCTION("""COMPUTED_VALUE"""),862140.0)</f>
        <v>862140</v>
      </c>
      <c r="C1758" s="14" t="str">
        <f>IFERROR(__xludf.DUMMYFUNCTION("""COMPUTED_VALUE"""),"黃宇彬")</f>
        <v>黃宇彬</v>
      </c>
      <c r="D1758" s="16" t="str">
        <f>IFERROR(__xludf.DUMMYFUNCTION("""COMPUTED_VALUE"""),"054*****060017@stu.mlc.edu.tw")</f>
        <v>054*****060017@stu.mlc.edu.tw</v>
      </c>
      <c r="E1758" s="17" t="str">
        <f>IFERROR(__xludf.DUMMYFUNCTION("""COMPUTED_VALUE"""),"苗栗縣頭份市蟠桃國民小學")</f>
        <v>苗栗縣頭份市蟠桃國民小學</v>
      </c>
      <c r="F1758" s="14" t="str">
        <f>IFERROR(__xludf.DUMMYFUNCTION("""COMPUTED_VALUE"""),"六年級")</f>
        <v>六年級</v>
      </c>
      <c r="G1758" s="14" t="str">
        <f>IFERROR(__xludf.DUMMYFUNCTION("""COMPUTED_VALUE"""),"獎狀")</f>
        <v>獎狀</v>
      </c>
      <c r="H1758" s="8"/>
    </row>
    <row r="1759">
      <c r="A1759" s="18"/>
      <c r="B1759" s="14">
        <f>IFERROR(__xludf.DUMMYFUNCTION("""COMPUTED_VALUE"""),855211.0)</f>
        <v>855211</v>
      </c>
      <c r="C1759" s="14" t="str">
        <f>IFERROR(__xludf.DUMMYFUNCTION("""COMPUTED_VALUE"""),"羅宥承")</f>
        <v>羅宥承</v>
      </c>
      <c r="D1759" s="16" t="str">
        <f>IFERROR(__xludf.DUMMYFUNCTION("""COMPUTED_VALUE"""),"054*****060031@stu.mlc.edu.tw")</f>
        <v>054*****060031@stu.mlc.edu.tw</v>
      </c>
      <c r="E1759" s="17" t="str">
        <f>IFERROR(__xludf.DUMMYFUNCTION("""COMPUTED_VALUE"""),"苗栗縣頭份市蟠桃國民小學")</f>
        <v>苗栗縣頭份市蟠桃國民小學</v>
      </c>
      <c r="F1759" s="14" t="str">
        <f>IFERROR(__xludf.DUMMYFUNCTION("""COMPUTED_VALUE"""),"六年級")</f>
        <v>六年級</v>
      </c>
      <c r="G1759" s="14" t="str">
        <f>IFERROR(__xludf.DUMMYFUNCTION("""COMPUTED_VALUE"""),"獎狀")</f>
        <v>獎狀</v>
      </c>
      <c r="H1759" s="8"/>
    </row>
    <row r="1760">
      <c r="A1760" s="18"/>
      <c r="B1760" s="14">
        <f>IFERROR(__xludf.DUMMYFUNCTION("""COMPUTED_VALUE"""),495764.0)</f>
        <v>495764</v>
      </c>
      <c r="C1760" s="14" t="str">
        <f>IFERROR(__xludf.DUMMYFUNCTION("""COMPUTED_VALUE"""),"李悄涵")</f>
        <v>李悄涵</v>
      </c>
      <c r="D1760" s="16" t="str">
        <f>IFERROR(__xludf.DUMMYFUNCTION("""COMPUTED_VALUE"""),"h99*****ail.edu.tw")</f>
        <v>h99*****ail.edu.tw</v>
      </c>
      <c r="E1760" s="17" t="str">
        <f>IFERROR(__xludf.DUMMYFUNCTION("""COMPUTED_VALUE"""),"苗栗縣頭份市蟠桃國民小學")</f>
        <v>苗栗縣頭份市蟠桃國民小學</v>
      </c>
      <c r="F1760" s="14" t="str">
        <f>IFERROR(__xludf.DUMMYFUNCTION("""COMPUTED_VALUE"""),"六年級")</f>
        <v>六年級</v>
      </c>
      <c r="G1760" s="14" t="str">
        <f>IFERROR(__xludf.DUMMYFUNCTION("""COMPUTED_VALUE"""),"●小禮物")</f>
        <v>●小禮物</v>
      </c>
      <c r="H1760" s="8"/>
    </row>
    <row r="1761">
      <c r="A1761" s="18"/>
      <c r="B1761" s="14">
        <f>IFERROR(__xludf.DUMMYFUNCTION("""COMPUTED_VALUE"""),419901.0)</f>
        <v>419901</v>
      </c>
      <c r="C1761" s="14" t="str">
        <f>IFERROR(__xludf.DUMMYFUNCTION("""COMPUTED_VALUE"""),"林鉦荃")</f>
        <v>林鉦荃</v>
      </c>
      <c r="D1761" s="16" t="str">
        <f>IFERROR(__xludf.DUMMYFUNCTION("""COMPUTED_VALUE"""),"mlc*****01060024@mail.edu.tw")</f>
        <v>mlc*****01060024@mail.edu.tw</v>
      </c>
      <c r="E1761" s="17" t="str">
        <f>IFERROR(__xludf.DUMMYFUNCTION("""COMPUTED_VALUE"""),"苗栗縣頭份市蟠桃國民小學")</f>
        <v>苗栗縣頭份市蟠桃國民小學</v>
      </c>
      <c r="F1761" s="14" t="str">
        <f>IFERROR(__xludf.DUMMYFUNCTION("""COMPUTED_VALUE"""),"六年級")</f>
        <v>六年級</v>
      </c>
      <c r="G1761" s="14" t="str">
        <f>IFERROR(__xludf.DUMMYFUNCTION("""COMPUTED_VALUE"""),"●小禮物")</f>
        <v>●小禮物</v>
      </c>
      <c r="H1761" s="8"/>
    </row>
    <row r="1762">
      <c r="A1762" s="18"/>
      <c r="B1762" s="14">
        <f>IFERROR(__xludf.DUMMYFUNCTION("""COMPUTED_VALUE"""),493775.0)</f>
        <v>493775</v>
      </c>
      <c r="C1762" s="14" t="str">
        <f>IFERROR(__xludf.DUMMYFUNCTION("""COMPUTED_VALUE"""),"陳宥安")</f>
        <v>陳宥安</v>
      </c>
      <c r="D1762" s="16" t="str">
        <f>IFERROR(__xludf.DUMMYFUNCTION("""COMPUTED_VALUE"""),"a99*****mail.edu.tw")</f>
        <v>a99*****mail.edu.tw</v>
      </c>
      <c r="E1762" s="17" t="str">
        <f>IFERROR(__xludf.DUMMYFUNCTION("""COMPUTED_VALUE"""),"苗栗縣頭份市蟠桃國民小學")</f>
        <v>苗栗縣頭份市蟠桃國民小學</v>
      </c>
      <c r="F1762" s="14" t="str">
        <f>IFERROR(__xludf.DUMMYFUNCTION("""COMPUTED_VALUE"""),"六年級")</f>
        <v>六年級</v>
      </c>
      <c r="G1762" s="14" t="str">
        <f>IFERROR(__xludf.DUMMYFUNCTION("""COMPUTED_VALUE"""),"●小禮物")</f>
        <v>●小禮物</v>
      </c>
      <c r="H1762" s="8"/>
    </row>
    <row r="1763">
      <c r="A1763" s="18"/>
      <c r="B1763" s="14">
        <f>IFERROR(__xludf.DUMMYFUNCTION("""COMPUTED_VALUE"""),419933.0)</f>
        <v>419933</v>
      </c>
      <c r="C1763" s="14" t="str">
        <f>IFERROR(__xludf.DUMMYFUNCTION("""COMPUTED_VALUE"""),"賴鈺婷")</f>
        <v>賴鈺婷</v>
      </c>
      <c r="D1763" s="16" t="str">
        <f>IFERROR(__xludf.DUMMYFUNCTION("""COMPUTED_VALUE"""),"mlc*****01060091@mail.edu.tw")</f>
        <v>mlc*****01060091@mail.edu.tw</v>
      </c>
      <c r="E1763" s="17" t="str">
        <f>IFERROR(__xludf.DUMMYFUNCTION("""COMPUTED_VALUE"""),"苗栗縣頭份市蟠桃國民小學")</f>
        <v>苗栗縣頭份市蟠桃國民小學</v>
      </c>
      <c r="F1763" s="14" t="str">
        <f>IFERROR(__xludf.DUMMYFUNCTION("""COMPUTED_VALUE"""),"六年級")</f>
        <v>六年級</v>
      </c>
      <c r="G1763" s="14" t="str">
        <f>IFERROR(__xludf.DUMMYFUNCTION("""COMPUTED_VALUE"""),"●小禮物")</f>
        <v>●小禮物</v>
      </c>
      <c r="H1763" s="8"/>
    </row>
    <row r="1764">
      <c r="A1764" s="18"/>
      <c r="B1764" s="14">
        <f>IFERROR(__xludf.DUMMYFUNCTION("""COMPUTED_VALUE"""),492832.0)</f>
        <v>492832</v>
      </c>
      <c r="C1764" s="14" t="str">
        <f>IFERROR(__xludf.DUMMYFUNCTION("""COMPUTED_VALUE"""),"曾芷芸")</f>
        <v>曾芷芸</v>
      </c>
      <c r="D1764" s="16" t="str">
        <f>IFERROR(__xludf.DUMMYFUNCTION("""COMPUTED_VALUE"""),"sop*****28@mail.edu.tw")</f>
        <v>sop*****28@mail.edu.tw</v>
      </c>
      <c r="E1764" s="17" t="str">
        <f>IFERROR(__xludf.DUMMYFUNCTION("""COMPUTED_VALUE"""),"苗栗縣頭份市蟠桃國民小學")</f>
        <v>苗栗縣頭份市蟠桃國民小學</v>
      </c>
      <c r="F1764" s="14" t="str">
        <f>IFERROR(__xludf.DUMMYFUNCTION("""COMPUTED_VALUE"""),"六年級")</f>
        <v>六年級</v>
      </c>
      <c r="G1764" s="14" t="str">
        <f>IFERROR(__xludf.DUMMYFUNCTION("""COMPUTED_VALUE"""),"★禮券$200")</f>
        <v>★禮券$200</v>
      </c>
      <c r="H1764" s="8"/>
    </row>
    <row r="1765">
      <c r="A1765" s="18"/>
      <c r="B1765" s="14">
        <f>IFERROR(__xludf.DUMMYFUNCTION("""COMPUTED_VALUE"""),495777.0)</f>
        <v>495777</v>
      </c>
      <c r="C1765" s="14" t="str">
        <f>IFERROR(__xludf.DUMMYFUNCTION("""COMPUTED_VALUE"""),"吳茹欣")</f>
        <v>吳茹欣</v>
      </c>
      <c r="D1765" s="16" t="str">
        <f>IFERROR(__xludf.DUMMYFUNCTION("""COMPUTED_VALUE"""),"c10*****@mail.edu.tw")</f>
        <v>c10*****@mail.edu.tw</v>
      </c>
      <c r="E1765" s="17" t="str">
        <f>IFERROR(__xludf.DUMMYFUNCTION("""COMPUTED_VALUE"""),"苗栗縣頭份市蟠桃國民小學")</f>
        <v>苗栗縣頭份市蟠桃國民小學</v>
      </c>
      <c r="F1765" s="14" t="str">
        <f>IFERROR(__xludf.DUMMYFUNCTION("""COMPUTED_VALUE"""),"六年級")</f>
        <v>六年級</v>
      </c>
      <c r="G1765" s="14" t="str">
        <f>IFERROR(__xludf.DUMMYFUNCTION("""COMPUTED_VALUE"""),"獎狀")</f>
        <v>獎狀</v>
      </c>
      <c r="H1765" s="8"/>
    </row>
    <row r="1766">
      <c r="A1766" s="18"/>
      <c r="B1766" s="14">
        <f>IFERROR(__xludf.DUMMYFUNCTION("""COMPUTED_VALUE"""),493768.0)</f>
        <v>493768</v>
      </c>
      <c r="C1766" s="14" t="str">
        <f>IFERROR(__xludf.DUMMYFUNCTION("""COMPUTED_VALUE"""),"張傑名")</f>
        <v>張傑名</v>
      </c>
      <c r="D1766" s="16" t="str">
        <f>IFERROR(__xludf.DUMMYFUNCTION("""COMPUTED_VALUE"""),"oli*****60025@mail.edu.tw")</f>
        <v>oli*****60025@mail.edu.tw</v>
      </c>
      <c r="E1766" s="17" t="str">
        <f>IFERROR(__xludf.DUMMYFUNCTION("""COMPUTED_VALUE"""),"苗栗縣頭份市蟠桃國民小學")</f>
        <v>苗栗縣頭份市蟠桃國民小學</v>
      </c>
      <c r="F1766" s="14" t="str">
        <f>IFERROR(__xludf.DUMMYFUNCTION("""COMPUTED_VALUE"""),"六年級")</f>
        <v>六年級</v>
      </c>
      <c r="G1766" s="14" t="str">
        <f>IFERROR(__xludf.DUMMYFUNCTION("""COMPUTED_VALUE"""),"獎狀")</f>
        <v>獎狀</v>
      </c>
      <c r="H1766" s="8"/>
    </row>
    <row r="1767">
      <c r="A1767" s="18"/>
      <c r="B1767" s="14">
        <f>IFERROR(__xludf.DUMMYFUNCTION("""COMPUTED_VALUE"""),493780.0)</f>
        <v>493780</v>
      </c>
      <c r="C1767" s="14" t="str">
        <f>IFERROR(__xludf.DUMMYFUNCTION("""COMPUTED_VALUE"""),"陳沛希")</f>
        <v>陳沛希</v>
      </c>
      <c r="D1767" s="16" t="str">
        <f>IFERROR(__xludf.DUMMYFUNCTION("""COMPUTED_VALUE"""),"e11*****6@mail.edu.tw")</f>
        <v>e11*****6@mail.edu.tw</v>
      </c>
      <c r="E1767" s="17" t="str">
        <f>IFERROR(__xludf.DUMMYFUNCTION("""COMPUTED_VALUE"""),"苗栗縣頭份市蟠桃國民小學")</f>
        <v>苗栗縣頭份市蟠桃國民小學</v>
      </c>
      <c r="F1767" s="14" t="str">
        <f>IFERROR(__xludf.DUMMYFUNCTION("""COMPUTED_VALUE"""),"六年級")</f>
        <v>六年級</v>
      </c>
      <c r="G1767" s="14" t="str">
        <f>IFERROR(__xludf.DUMMYFUNCTION("""COMPUTED_VALUE"""),"獎狀")</f>
        <v>獎狀</v>
      </c>
      <c r="H1767" s="8"/>
    </row>
    <row r="1768">
      <c r="A1768" s="18"/>
      <c r="B1768" s="14">
        <f>IFERROR(__xludf.DUMMYFUNCTION("""COMPUTED_VALUE"""),419937.0)</f>
        <v>419937</v>
      </c>
      <c r="C1768" s="14" t="str">
        <f>IFERROR(__xludf.DUMMYFUNCTION("""COMPUTED_VALUE"""),"陳亞妮")</f>
        <v>陳亞妮</v>
      </c>
      <c r="D1768" s="16" t="str">
        <f>IFERROR(__xludf.DUMMYFUNCTION("""COMPUTED_VALUE"""),"mlc*****01060106@mail.edu.tw")</f>
        <v>mlc*****01060106@mail.edu.tw</v>
      </c>
      <c r="E1768" s="17" t="str">
        <f>IFERROR(__xludf.DUMMYFUNCTION("""COMPUTED_VALUE"""),"苗栗縣頭份市蟠桃國民小學")</f>
        <v>苗栗縣頭份市蟠桃國民小學</v>
      </c>
      <c r="F1768" s="14" t="str">
        <f>IFERROR(__xludf.DUMMYFUNCTION("""COMPUTED_VALUE"""),"六年級")</f>
        <v>六年級</v>
      </c>
      <c r="G1768" s="14" t="str">
        <f>IFERROR(__xludf.DUMMYFUNCTION("""COMPUTED_VALUE"""),"獎狀")</f>
        <v>獎狀</v>
      </c>
      <c r="H1768" s="8"/>
    </row>
    <row r="1769">
      <c r="A1769" s="18"/>
      <c r="B1769" s="14">
        <f>IFERROR(__xludf.DUMMYFUNCTION("""COMPUTED_VALUE"""),495772.0)</f>
        <v>495772</v>
      </c>
      <c r="C1769" s="14" t="str">
        <f>IFERROR(__xludf.DUMMYFUNCTION("""COMPUTED_VALUE"""),"陳品瑋")</f>
        <v>陳品瑋</v>
      </c>
      <c r="D1769" s="16" t="str">
        <f>IFERROR(__xludf.DUMMYFUNCTION("""COMPUTED_VALUE"""),"b04*****mail.edu.tw")</f>
        <v>b04*****mail.edu.tw</v>
      </c>
      <c r="E1769" s="17" t="str">
        <f>IFERROR(__xludf.DUMMYFUNCTION("""COMPUTED_VALUE"""),"苗栗縣頭份市蟠桃國民小學")</f>
        <v>苗栗縣頭份市蟠桃國民小學</v>
      </c>
      <c r="F1769" s="14" t="str">
        <f>IFERROR(__xludf.DUMMYFUNCTION("""COMPUTED_VALUE"""),"六年級")</f>
        <v>六年級</v>
      </c>
      <c r="G1769" s="14" t="str">
        <f>IFERROR(__xludf.DUMMYFUNCTION("""COMPUTED_VALUE"""),"獎狀")</f>
        <v>獎狀</v>
      </c>
      <c r="H1769" s="8"/>
    </row>
    <row r="1770">
      <c r="A1770" s="18"/>
      <c r="B1770" s="14">
        <f>IFERROR(__xludf.DUMMYFUNCTION("""COMPUTED_VALUE"""),751722.0)</f>
        <v>751722</v>
      </c>
      <c r="C1770" s="14" t="str">
        <f>IFERROR(__xludf.DUMMYFUNCTION("""COMPUTED_VALUE"""),"黃柏維")</f>
        <v>黃柏維</v>
      </c>
      <c r="D1770" s="16" t="str">
        <f>IFERROR(__xludf.DUMMYFUNCTION("""COMPUTED_VALUE"""),"054*****060046@stu.mlc.edu.tw")</f>
        <v>054*****060046@stu.mlc.edu.tw</v>
      </c>
      <c r="E1770" s="17" t="str">
        <f>IFERROR(__xludf.DUMMYFUNCTION("""COMPUTED_VALUE"""),"苗栗縣頭份市蟠桃國民小學")</f>
        <v>苗栗縣頭份市蟠桃國民小學</v>
      </c>
      <c r="F1770" s="14" t="str">
        <f>IFERROR(__xludf.DUMMYFUNCTION("""COMPUTED_VALUE"""),"六年級")</f>
        <v>六年級</v>
      </c>
      <c r="G1770" s="14" t="str">
        <f>IFERROR(__xludf.DUMMYFUNCTION("""COMPUTED_VALUE"""),"獎狀")</f>
        <v>獎狀</v>
      </c>
      <c r="H1770" s="8"/>
    </row>
    <row r="1771">
      <c r="A1771" s="18"/>
      <c r="B1771" s="14">
        <f>IFERROR(__xludf.DUMMYFUNCTION("""COMPUTED_VALUE"""),495754.0)</f>
        <v>495754</v>
      </c>
      <c r="C1771" s="14" t="str">
        <f>IFERROR(__xludf.DUMMYFUNCTION("""COMPUTED_VALUE"""),"鄭渝蒨")</f>
        <v>鄭渝蒨</v>
      </c>
      <c r="D1771" s="16" t="str">
        <f>IFERROR(__xludf.DUMMYFUNCTION("""COMPUTED_VALUE"""),"mif*****5@mail.edu.tw")</f>
        <v>mif*****5@mail.edu.tw</v>
      </c>
      <c r="E1771" s="17" t="str">
        <f>IFERROR(__xludf.DUMMYFUNCTION("""COMPUTED_VALUE"""),"苗栗縣頭份市蟠桃國民小學")</f>
        <v>苗栗縣頭份市蟠桃國民小學</v>
      </c>
      <c r="F1771" s="14" t="str">
        <f>IFERROR(__xludf.DUMMYFUNCTION("""COMPUTED_VALUE"""),"六年級")</f>
        <v>六年級</v>
      </c>
      <c r="G1771" s="14" t="str">
        <f>IFERROR(__xludf.DUMMYFUNCTION("""COMPUTED_VALUE"""),"獎狀")</f>
        <v>獎狀</v>
      </c>
      <c r="H1771" s="8"/>
    </row>
    <row r="1772">
      <c r="A1772" s="18"/>
      <c r="B1772" s="14">
        <f>IFERROR(__xludf.DUMMYFUNCTION("""COMPUTED_VALUE"""),1180043.0)</f>
        <v>1180043</v>
      </c>
      <c r="C1772" s="14" t="str">
        <f>IFERROR(__xludf.DUMMYFUNCTION("""COMPUTED_VALUE"""),"張惠琦")</f>
        <v>張惠琦</v>
      </c>
      <c r="D1772" s="16" t="str">
        <f>IFERROR(__xludf.DUMMYFUNCTION("""COMPUTED_VALUE"""),"054*****060087@stu.mlc.edu.tw")</f>
        <v>054*****060087@stu.mlc.edu.tw</v>
      </c>
      <c r="E1772" s="17" t="str">
        <f>IFERROR(__xludf.DUMMYFUNCTION("""COMPUTED_VALUE"""),"苗栗縣頭份市蟠桃國民小學")</f>
        <v>苗栗縣頭份市蟠桃國民小學</v>
      </c>
      <c r="F1772" s="14" t="str">
        <f>IFERROR(__xludf.DUMMYFUNCTION("""COMPUTED_VALUE"""),"六年級")</f>
        <v>六年級</v>
      </c>
      <c r="G1772" s="14" t="str">
        <f>IFERROR(__xludf.DUMMYFUNCTION("""COMPUTED_VALUE"""),"獎狀")</f>
        <v>獎狀</v>
      </c>
      <c r="H1772" s="8"/>
    </row>
    <row r="1773">
      <c r="A1773" s="18"/>
      <c r="B1773" s="14">
        <f>IFERROR(__xludf.DUMMYFUNCTION("""COMPUTED_VALUE"""),764185.0)</f>
        <v>764185</v>
      </c>
      <c r="C1773" s="14" t="str">
        <f>IFERROR(__xludf.DUMMYFUNCTION("""COMPUTED_VALUE"""),"黃苡晴")</f>
        <v>黃苡晴</v>
      </c>
      <c r="D1773" s="16" t="str">
        <f>IFERROR(__xludf.DUMMYFUNCTION("""COMPUTED_VALUE"""),"054*****060096@stu.mlc.edu.tw")</f>
        <v>054*****060096@stu.mlc.edu.tw</v>
      </c>
      <c r="E1773" s="17" t="str">
        <f>IFERROR(__xludf.DUMMYFUNCTION("""COMPUTED_VALUE"""),"苗栗縣頭份市蟠桃國民小學")</f>
        <v>苗栗縣頭份市蟠桃國民小學</v>
      </c>
      <c r="F1773" s="14" t="str">
        <f>IFERROR(__xludf.DUMMYFUNCTION("""COMPUTED_VALUE"""),"六年級")</f>
        <v>六年級</v>
      </c>
      <c r="G1773" s="14" t="str">
        <f>IFERROR(__xludf.DUMMYFUNCTION("""COMPUTED_VALUE"""),"獎狀")</f>
        <v>獎狀</v>
      </c>
      <c r="H1773" s="8"/>
    </row>
    <row r="1774">
      <c r="A1774" s="18"/>
      <c r="B1774" s="14">
        <f>IFERROR(__xludf.DUMMYFUNCTION("""COMPUTED_VALUE"""),1180349.0)</f>
        <v>1180349</v>
      </c>
      <c r="C1774" s="14" t="str">
        <f>IFERROR(__xludf.DUMMYFUNCTION("""COMPUTED_VALUE"""),"廖祺瑋")</f>
        <v>廖祺瑋</v>
      </c>
      <c r="D1774" s="16" t="str">
        <f>IFERROR(__xludf.DUMMYFUNCTION("""COMPUTED_VALUE"""),"054*****060030@stu.mlc.edu.tw")</f>
        <v>054*****060030@stu.mlc.edu.tw</v>
      </c>
      <c r="E1774" s="17" t="str">
        <f>IFERROR(__xludf.DUMMYFUNCTION("""COMPUTED_VALUE"""),"苗栗縣頭份市蟠桃國民小學")</f>
        <v>苗栗縣頭份市蟠桃國民小學</v>
      </c>
      <c r="F1774" s="14" t="str">
        <f>IFERROR(__xludf.DUMMYFUNCTION("""COMPUTED_VALUE"""),"六年級")</f>
        <v>六年級</v>
      </c>
      <c r="G1774" s="14" t="str">
        <f>IFERROR(__xludf.DUMMYFUNCTION("""COMPUTED_VALUE"""),"獎狀")</f>
        <v>獎狀</v>
      </c>
      <c r="H1774" s="8"/>
    </row>
    <row r="1775">
      <c r="A1775" s="18"/>
      <c r="B1775" s="14">
        <f>IFERROR(__xludf.DUMMYFUNCTION("""COMPUTED_VALUE"""),1179934.0)</f>
        <v>1179934</v>
      </c>
      <c r="C1775" s="14" t="str">
        <f>IFERROR(__xludf.DUMMYFUNCTION("""COMPUTED_VALUE"""),"羅芊惠")</f>
        <v>羅芊惠</v>
      </c>
      <c r="D1775" s="16" t="str">
        <f>IFERROR(__xludf.DUMMYFUNCTION("""COMPUTED_VALUE"""),"054*****060083@stu.mlc.edu.tw")</f>
        <v>054*****060083@stu.mlc.edu.tw</v>
      </c>
      <c r="E1775" s="17" t="str">
        <f>IFERROR(__xludf.DUMMYFUNCTION("""COMPUTED_VALUE"""),"苗栗縣頭份市蟠桃國民小學")</f>
        <v>苗栗縣頭份市蟠桃國民小學</v>
      </c>
      <c r="F1775" s="14" t="str">
        <f>IFERROR(__xludf.DUMMYFUNCTION("""COMPUTED_VALUE"""),"六年級")</f>
        <v>六年級</v>
      </c>
      <c r="G1775" s="14" t="str">
        <f>IFERROR(__xludf.DUMMYFUNCTION("""COMPUTED_VALUE"""),"獎狀")</f>
        <v>獎狀</v>
      </c>
      <c r="H1775" s="8"/>
    </row>
    <row r="1776">
      <c r="A1776" s="18"/>
      <c r="B1776" s="14">
        <f>IFERROR(__xludf.DUMMYFUNCTION("""COMPUTED_VALUE"""),495495.0)</f>
        <v>495495</v>
      </c>
      <c r="C1776" s="14" t="str">
        <f>IFERROR(__xludf.DUMMYFUNCTION("""COMPUTED_VALUE"""),"呂于欣")</f>
        <v>呂于欣</v>
      </c>
      <c r="D1776" s="16" t="str">
        <f>IFERROR(__xludf.DUMMYFUNCTION("""COMPUTED_VALUE"""),"goe*****06@mail.edu.tw")</f>
        <v>goe*****06@mail.edu.tw</v>
      </c>
      <c r="E1776" s="17" t="str">
        <f>IFERROR(__xludf.DUMMYFUNCTION("""COMPUTED_VALUE"""),"苗栗縣頭份市建國國民小學")</f>
        <v>苗栗縣頭份市建國國民小學</v>
      </c>
      <c r="F1776" s="14" t="str">
        <f>IFERROR(__xludf.DUMMYFUNCTION("""COMPUTED_VALUE"""),"五年級")</f>
        <v>五年級</v>
      </c>
      <c r="G1776" s="14" t="str">
        <f>IFERROR(__xludf.DUMMYFUNCTION("""COMPUTED_VALUE"""),"獎狀")</f>
        <v>獎狀</v>
      </c>
      <c r="H1776" s="8"/>
    </row>
    <row r="1777">
      <c r="A1777" s="18"/>
      <c r="B1777" s="14">
        <f>IFERROR(__xludf.DUMMYFUNCTION("""COMPUTED_VALUE"""),1200022.0)</f>
        <v>1200022</v>
      </c>
      <c r="C1777" s="14" t="str">
        <f>IFERROR(__xludf.DUMMYFUNCTION("""COMPUTED_VALUE"""),"陳沛菫")</f>
        <v>陳沛菫</v>
      </c>
      <c r="D1777" s="16" t="str">
        <f>IFERROR(__xludf.DUMMYFUNCTION("""COMPUTED_VALUE"""),"goe*****47@goes.mlc.edu.tw")</f>
        <v>goe*****47@goes.mlc.edu.tw</v>
      </c>
      <c r="E1777" s="17" t="str">
        <f>IFERROR(__xludf.DUMMYFUNCTION("""COMPUTED_VALUE"""),"苗栗縣頭份市建國國民小學")</f>
        <v>苗栗縣頭份市建國國民小學</v>
      </c>
      <c r="F1777" s="14" t="str">
        <f>IFERROR(__xludf.DUMMYFUNCTION("""COMPUTED_VALUE"""),"五年級")</f>
        <v>五年級</v>
      </c>
      <c r="G1777" s="14" t="str">
        <f>IFERROR(__xludf.DUMMYFUNCTION("""COMPUTED_VALUE"""),"獎狀")</f>
        <v>獎狀</v>
      </c>
      <c r="H1777" s="8"/>
    </row>
    <row r="1778">
      <c r="A1778" s="18"/>
      <c r="B1778" s="14">
        <f>IFERROR(__xludf.DUMMYFUNCTION("""COMPUTED_VALUE"""),1016062.0)</f>
        <v>1016062</v>
      </c>
      <c r="C1778" s="14" t="str">
        <f>IFERROR(__xludf.DUMMYFUNCTION("""COMPUTED_VALUE"""),"陳毅")</f>
        <v>陳毅</v>
      </c>
      <c r="D1778" s="16" t="str">
        <f>IFERROR(__xludf.DUMMYFUNCTION("""COMPUTED_VALUE"""),"106*****yes.mlc.edu.tw")</f>
        <v>106*****yes.mlc.edu.tw</v>
      </c>
      <c r="E1778" s="17" t="str">
        <f>IFERROR(__xludf.DUMMYFUNCTION("""COMPUTED_VALUE"""),"苗栗縣頭份市信義國民小學")</f>
        <v>苗栗縣頭份市信義國民小學</v>
      </c>
      <c r="F1778" s="14" t="str">
        <f>IFERROR(__xludf.DUMMYFUNCTION("""COMPUTED_VALUE"""),"六年級")</f>
        <v>六年級</v>
      </c>
      <c r="G1778" s="14" t="str">
        <f>IFERROR(__xludf.DUMMYFUNCTION("""COMPUTED_VALUE"""),"獎狀")</f>
        <v>獎狀</v>
      </c>
      <c r="H1778" s="8"/>
    </row>
    <row r="1779">
      <c r="A1779" s="18"/>
      <c r="B1779" s="14">
        <f>IFERROR(__xludf.DUMMYFUNCTION("""COMPUTED_VALUE"""),563358.0)</f>
        <v>563358</v>
      </c>
      <c r="C1779" s="14" t="str">
        <f>IFERROR(__xludf.DUMMYFUNCTION("""COMPUTED_VALUE"""),"陳品蓉")</f>
        <v>陳品蓉</v>
      </c>
      <c r="D1779" s="16" t="str">
        <f>IFERROR(__xludf.DUMMYFUNCTION("""COMPUTED_VALUE"""),"sye*****20@mail.edu.tw")</f>
        <v>sye*****20@mail.edu.tw</v>
      </c>
      <c r="E1779" s="17" t="str">
        <f>IFERROR(__xludf.DUMMYFUNCTION("""COMPUTED_VALUE"""),"苗栗縣頭份市信義國民小學")</f>
        <v>苗栗縣頭份市信義國民小學</v>
      </c>
      <c r="F1779" s="14" t="str">
        <f>IFERROR(__xludf.DUMMYFUNCTION("""COMPUTED_VALUE"""),"六年級")</f>
        <v>六年級</v>
      </c>
      <c r="G1779" s="14" t="str">
        <f>IFERROR(__xludf.DUMMYFUNCTION("""COMPUTED_VALUE"""),"★禮券$200")</f>
        <v>★禮券$200</v>
      </c>
      <c r="H1779" s="8"/>
    </row>
    <row r="1780">
      <c r="A1780" s="18"/>
      <c r="B1780" s="14">
        <f>IFERROR(__xludf.DUMMYFUNCTION("""COMPUTED_VALUE"""),969588.0)</f>
        <v>969588</v>
      </c>
      <c r="C1780" s="14" t="str">
        <f>IFERROR(__xludf.DUMMYFUNCTION("""COMPUTED_VALUE"""),"陳顥")</f>
        <v>陳顥</v>
      </c>
      <c r="D1780" s="16" t="str">
        <f>IFERROR(__xludf.DUMMYFUNCTION("""COMPUTED_VALUE"""),"106*****yes.mlc.edu.tw")</f>
        <v>106*****yes.mlc.edu.tw</v>
      </c>
      <c r="E1780" s="17" t="str">
        <f>IFERROR(__xludf.DUMMYFUNCTION("""COMPUTED_VALUE"""),"苗栗縣頭份市信義國民小學")</f>
        <v>苗栗縣頭份市信義國民小學</v>
      </c>
      <c r="F1780" s="14" t="str">
        <f>IFERROR(__xludf.DUMMYFUNCTION("""COMPUTED_VALUE"""),"六年級")</f>
        <v>六年級</v>
      </c>
      <c r="G1780" s="14" t="str">
        <f>IFERROR(__xludf.DUMMYFUNCTION("""COMPUTED_VALUE"""),"獎狀")</f>
        <v>獎狀</v>
      </c>
      <c r="H1780" s="8"/>
    </row>
    <row r="1781">
      <c r="A1781" s="18"/>
      <c r="B1781" s="14">
        <f>IFERROR(__xludf.DUMMYFUNCTION("""COMPUTED_VALUE"""),500705.0)</f>
        <v>500705</v>
      </c>
      <c r="C1781" s="14" t="str">
        <f>IFERROR(__xludf.DUMMYFUNCTION("""COMPUTED_VALUE"""),"趙旋希")</f>
        <v>趙旋希</v>
      </c>
      <c r="D1781" s="16" t="str">
        <f>IFERROR(__xludf.DUMMYFUNCTION("""COMPUTED_VALUE"""),"tf1*****@mail.edu.tw")</f>
        <v>tf1*****@mail.edu.tw</v>
      </c>
      <c r="E1781" s="17" t="str">
        <f>IFERROR(__xludf.DUMMYFUNCTION("""COMPUTED_VALUE"""),"苗栗縣頭份市頭份國民小學")</f>
        <v>苗栗縣頭份市頭份國民小學</v>
      </c>
      <c r="F1781" s="14" t="str">
        <f>IFERROR(__xludf.DUMMYFUNCTION("""COMPUTED_VALUE"""),"六年級")</f>
        <v>六年級</v>
      </c>
      <c r="G1781" s="14" t="str">
        <f>IFERROR(__xludf.DUMMYFUNCTION("""COMPUTED_VALUE"""),"●小禮物")</f>
        <v>●小禮物</v>
      </c>
      <c r="H1781" s="8"/>
    </row>
    <row r="1782">
      <c r="A1782" s="18"/>
      <c r="B1782" s="14">
        <f>IFERROR(__xludf.DUMMYFUNCTION("""COMPUTED_VALUE"""),500703.0)</f>
        <v>500703</v>
      </c>
      <c r="C1782" s="14" t="str">
        <f>IFERROR(__xludf.DUMMYFUNCTION("""COMPUTED_VALUE"""),"盧玟伶")</f>
        <v>盧玟伶</v>
      </c>
      <c r="D1782" s="16" t="str">
        <f>IFERROR(__xludf.DUMMYFUNCTION("""COMPUTED_VALUE"""),"tf1*****@mail.edu.tw")</f>
        <v>tf1*****@mail.edu.tw</v>
      </c>
      <c r="E1782" s="17" t="str">
        <f>IFERROR(__xludf.DUMMYFUNCTION("""COMPUTED_VALUE"""),"苗栗縣頭份市頭份國民小學")</f>
        <v>苗栗縣頭份市頭份國民小學</v>
      </c>
      <c r="F1782" s="14" t="str">
        <f>IFERROR(__xludf.DUMMYFUNCTION("""COMPUTED_VALUE"""),"六年級")</f>
        <v>六年級</v>
      </c>
      <c r="G1782" s="14" t="str">
        <f>IFERROR(__xludf.DUMMYFUNCTION("""COMPUTED_VALUE"""),"●小禮物")</f>
        <v>●小禮物</v>
      </c>
      <c r="H1782" s="8"/>
    </row>
    <row r="1783">
      <c r="A1783" s="18"/>
      <c r="B1783" s="14">
        <f>IFERROR(__xludf.DUMMYFUNCTION("""COMPUTED_VALUE"""),501992.0)</f>
        <v>501992</v>
      </c>
      <c r="C1783" s="14" t="str">
        <f>IFERROR(__xludf.DUMMYFUNCTION("""COMPUTED_VALUE"""),"蘇紹宇")</f>
        <v>蘇紹宇</v>
      </c>
      <c r="D1783" s="16" t="str">
        <f>IFERROR(__xludf.DUMMYFUNCTION("""COMPUTED_VALUE"""),"tf1*****@mail.edu.tw")</f>
        <v>tf1*****@mail.edu.tw</v>
      </c>
      <c r="E1783" s="17" t="str">
        <f>IFERROR(__xludf.DUMMYFUNCTION("""COMPUTED_VALUE"""),"苗栗縣頭份市頭份國民小學")</f>
        <v>苗栗縣頭份市頭份國民小學</v>
      </c>
      <c r="F1783" s="14" t="str">
        <f>IFERROR(__xludf.DUMMYFUNCTION("""COMPUTED_VALUE"""),"六年級")</f>
        <v>六年級</v>
      </c>
      <c r="G1783" s="14" t="str">
        <f>IFERROR(__xludf.DUMMYFUNCTION("""COMPUTED_VALUE"""),"●小禮物")</f>
        <v>●小禮物</v>
      </c>
      <c r="H1783" s="8"/>
    </row>
    <row r="1784">
      <c r="A1784" s="18"/>
      <c r="B1784" s="14">
        <f>IFERROR(__xludf.DUMMYFUNCTION("""COMPUTED_VALUE"""),500714.0)</f>
        <v>500714</v>
      </c>
      <c r="C1784" s="14" t="str">
        <f>IFERROR(__xludf.DUMMYFUNCTION("""COMPUTED_VALUE"""),"林庭筠")</f>
        <v>林庭筠</v>
      </c>
      <c r="D1784" s="16" t="str">
        <f>IFERROR(__xludf.DUMMYFUNCTION("""COMPUTED_VALUE"""),"tf1*****@mail.edu.tw")</f>
        <v>tf1*****@mail.edu.tw</v>
      </c>
      <c r="E1784" s="17" t="str">
        <f>IFERROR(__xludf.DUMMYFUNCTION("""COMPUTED_VALUE"""),"苗栗縣頭份市頭份國民小學")</f>
        <v>苗栗縣頭份市頭份國民小學</v>
      </c>
      <c r="F1784" s="14" t="str">
        <f>IFERROR(__xludf.DUMMYFUNCTION("""COMPUTED_VALUE"""),"六年級")</f>
        <v>六年級</v>
      </c>
      <c r="G1784" s="14" t="str">
        <f>IFERROR(__xludf.DUMMYFUNCTION("""COMPUTED_VALUE"""),"獎狀")</f>
        <v>獎狀</v>
      </c>
      <c r="H1784" s="8"/>
    </row>
    <row r="1785">
      <c r="A1785" s="18"/>
      <c r="B1785" s="14">
        <f>IFERROR(__xludf.DUMMYFUNCTION("""COMPUTED_VALUE"""),500704.0)</f>
        <v>500704</v>
      </c>
      <c r="C1785" s="14" t="str">
        <f>IFERROR(__xludf.DUMMYFUNCTION("""COMPUTED_VALUE"""),"張詠皓")</f>
        <v>張詠皓</v>
      </c>
      <c r="D1785" s="16" t="str">
        <f>IFERROR(__xludf.DUMMYFUNCTION("""COMPUTED_VALUE"""),"tf1*****@mail.edu.tw")</f>
        <v>tf1*****@mail.edu.tw</v>
      </c>
      <c r="E1785" s="17" t="str">
        <f>IFERROR(__xludf.DUMMYFUNCTION("""COMPUTED_VALUE"""),"苗栗縣頭份市頭份國民小學")</f>
        <v>苗栗縣頭份市頭份國民小學</v>
      </c>
      <c r="F1785" s="14" t="str">
        <f>IFERROR(__xludf.DUMMYFUNCTION("""COMPUTED_VALUE"""),"六年級")</f>
        <v>六年級</v>
      </c>
      <c r="G1785" s="14" t="str">
        <f>IFERROR(__xludf.DUMMYFUNCTION("""COMPUTED_VALUE"""),"獎狀")</f>
        <v>獎狀</v>
      </c>
      <c r="H1785" s="8"/>
    </row>
    <row r="1786">
      <c r="A1786" s="18"/>
      <c r="B1786" s="14">
        <f>IFERROR(__xludf.DUMMYFUNCTION("""COMPUTED_VALUE"""),498671.0)</f>
        <v>498671</v>
      </c>
      <c r="C1786" s="14" t="str">
        <f>IFERROR(__xludf.DUMMYFUNCTION("""COMPUTED_VALUE"""),"曾奕馨")</f>
        <v>曾奕馨</v>
      </c>
      <c r="D1786" s="16" t="str">
        <f>IFERROR(__xludf.DUMMYFUNCTION("""COMPUTED_VALUE"""),"tf1*****@mail.edu.tw")</f>
        <v>tf1*****@mail.edu.tw</v>
      </c>
      <c r="E1786" s="17" t="str">
        <f>IFERROR(__xludf.DUMMYFUNCTION("""COMPUTED_VALUE"""),"苗栗縣頭份市頭份國民小學")</f>
        <v>苗栗縣頭份市頭份國民小學</v>
      </c>
      <c r="F1786" s="14" t="str">
        <f>IFERROR(__xludf.DUMMYFUNCTION("""COMPUTED_VALUE"""),"六年級")</f>
        <v>六年級</v>
      </c>
      <c r="G1786" s="14" t="str">
        <f>IFERROR(__xludf.DUMMYFUNCTION("""COMPUTED_VALUE"""),"獎狀")</f>
        <v>獎狀</v>
      </c>
      <c r="H1786" s="8"/>
    </row>
    <row r="1787">
      <c r="A1787" s="18"/>
      <c r="B1787" s="14">
        <f>IFERROR(__xludf.DUMMYFUNCTION("""COMPUTED_VALUE"""),496566.0)</f>
        <v>496566</v>
      </c>
      <c r="C1787" s="14" t="str">
        <f>IFERROR(__xludf.DUMMYFUNCTION("""COMPUTED_VALUE"""),"黃靖儒")</f>
        <v>黃靖儒</v>
      </c>
      <c r="D1787" s="16" t="str">
        <f>IFERROR(__xludf.DUMMYFUNCTION("""COMPUTED_VALUE"""),"tf1*****@mail.edu.tw")</f>
        <v>tf1*****@mail.edu.tw</v>
      </c>
      <c r="E1787" s="17" t="str">
        <f>IFERROR(__xludf.DUMMYFUNCTION("""COMPUTED_VALUE"""),"苗栗縣頭份市頭份國民小學")</f>
        <v>苗栗縣頭份市頭份國民小學</v>
      </c>
      <c r="F1787" s="14" t="str">
        <f>IFERROR(__xludf.DUMMYFUNCTION("""COMPUTED_VALUE"""),"六年級")</f>
        <v>六年級</v>
      </c>
      <c r="G1787" s="14" t="str">
        <f>IFERROR(__xludf.DUMMYFUNCTION("""COMPUTED_VALUE"""),"獎狀")</f>
        <v>獎狀</v>
      </c>
      <c r="H1787" s="8"/>
    </row>
    <row r="1788">
      <c r="A1788" s="18"/>
      <c r="B1788" s="14">
        <f>IFERROR(__xludf.DUMMYFUNCTION("""COMPUTED_VALUE"""),501359.0)</f>
        <v>501359</v>
      </c>
      <c r="C1788" s="14" t="str">
        <f>IFERROR(__xludf.DUMMYFUNCTION("""COMPUTED_VALUE"""),"潘奕晨")</f>
        <v>潘奕晨</v>
      </c>
      <c r="D1788" s="16" t="str">
        <f>IFERROR(__xludf.DUMMYFUNCTION("""COMPUTED_VALUE"""),"tf1*****@mail.edu.tw")</f>
        <v>tf1*****@mail.edu.tw</v>
      </c>
      <c r="E1788" s="17" t="str">
        <f>IFERROR(__xludf.DUMMYFUNCTION("""COMPUTED_VALUE"""),"苗栗縣頭份市頭份國民小學")</f>
        <v>苗栗縣頭份市頭份國民小學</v>
      </c>
      <c r="F1788" s="14" t="str">
        <f>IFERROR(__xludf.DUMMYFUNCTION("""COMPUTED_VALUE"""),"六年級")</f>
        <v>六年級</v>
      </c>
      <c r="G1788" s="14" t="str">
        <f>IFERROR(__xludf.DUMMYFUNCTION("""COMPUTED_VALUE"""),"獎狀")</f>
        <v>獎狀</v>
      </c>
      <c r="H1788" s="8"/>
    </row>
    <row r="1789">
      <c r="A1789" s="18"/>
      <c r="B1789" s="14">
        <f>IFERROR(__xludf.DUMMYFUNCTION("""COMPUTED_VALUE"""),496571.0)</f>
        <v>496571</v>
      </c>
      <c r="C1789" s="14" t="str">
        <f>IFERROR(__xludf.DUMMYFUNCTION("""COMPUTED_VALUE"""),"練沛怡")</f>
        <v>練沛怡</v>
      </c>
      <c r="D1789" s="16" t="str">
        <f>IFERROR(__xludf.DUMMYFUNCTION("""COMPUTED_VALUE"""),"tf1*****@mail.edu.tw")</f>
        <v>tf1*****@mail.edu.tw</v>
      </c>
      <c r="E1789" s="17" t="str">
        <f>IFERROR(__xludf.DUMMYFUNCTION("""COMPUTED_VALUE"""),"苗栗縣頭份市頭份國民小學")</f>
        <v>苗栗縣頭份市頭份國民小學</v>
      </c>
      <c r="F1789" s="14" t="str">
        <f>IFERROR(__xludf.DUMMYFUNCTION("""COMPUTED_VALUE"""),"六年級")</f>
        <v>六年級</v>
      </c>
      <c r="G1789" s="14" t="str">
        <f>IFERROR(__xludf.DUMMYFUNCTION("""COMPUTED_VALUE"""),"獎狀")</f>
        <v>獎狀</v>
      </c>
      <c r="H1789" s="8"/>
    </row>
    <row r="1790">
      <c r="A1790" s="18"/>
      <c r="B1790" s="14">
        <f>IFERROR(__xludf.DUMMYFUNCTION("""COMPUTED_VALUE"""),1197677.0)</f>
        <v>1197677</v>
      </c>
      <c r="C1790" s="14" t="str">
        <f>IFERROR(__xludf.DUMMYFUNCTION("""COMPUTED_VALUE"""),"李心慧")</f>
        <v>李心慧</v>
      </c>
      <c r="D1790" s="16" t="str">
        <f>IFERROR(__xludf.DUMMYFUNCTION("""COMPUTED_VALUE"""),"106*****enla.mlc.edu.tw")</f>
        <v>106*****enla.mlc.edu.tw</v>
      </c>
      <c r="E1790" s="17" t="str">
        <f>IFERROR(__xludf.DUMMYFUNCTION("""COMPUTED_VALUE"""),"苗栗縣南庄鄉南庄國民小學")</f>
        <v>苗栗縣南庄鄉南庄國民小學</v>
      </c>
      <c r="F1790" s="14" t="str">
        <f>IFERROR(__xludf.DUMMYFUNCTION("""COMPUTED_VALUE"""),"六年級")</f>
        <v>六年級</v>
      </c>
      <c r="G1790" s="14" t="str">
        <f>IFERROR(__xludf.DUMMYFUNCTION("""COMPUTED_VALUE"""),"獎狀")</f>
        <v>獎狀</v>
      </c>
      <c r="H1790" s="8"/>
    </row>
    <row r="1791">
      <c r="A1791" s="18"/>
      <c r="B1791" s="14">
        <f>IFERROR(__xludf.DUMMYFUNCTION("""COMPUTED_VALUE"""),1197801.0)</f>
        <v>1197801</v>
      </c>
      <c r="C1791" s="14" t="str">
        <f>IFERROR(__xludf.DUMMYFUNCTION("""COMPUTED_VALUE"""),"豆千瑜")</f>
        <v>豆千瑜</v>
      </c>
      <c r="D1791" s="16" t="str">
        <f>IFERROR(__xludf.DUMMYFUNCTION("""COMPUTED_VALUE"""),"106*****enla.mlc.edu.tw")</f>
        <v>106*****enla.mlc.edu.tw</v>
      </c>
      <c r="E1791" s="17" t="str">
        <f>IFERROR(__xludf.DUMMYFUNCTION("""COMPUTED_VALUE"""),"苗栗縣南庄鄉蓬萊國民小學")</f>
        <v>苗栗縣南庄鄉蓬萊國民小學</v>
      </c>
      <c r="F1791" s="14" t="str">
        <f>IFERROR(__xludf.DUMMYFUNCTION("""COMPUTED_VALUE"""),"六年級")</f>
        <v>六年級</v>
      </c>
      <c r="G1791" s="14" t="str">
        <f>IFERROR(__xludf.DUMMYFUNCTION("""COMPUTED_VALUE"""),"獎狀")</f>
        <v>獎狀</v>
      </c>
      <c r="H1791" s="8"/>
    </row>
    <row r="1792">
      <c r="A1792" s="18"/>
      <c r="B1792" s="14">
        <f>IFERROR(__xludf.DUMMYFUNCTION("""COMPUTED_VALUE"""),1197678.0)</f>
        <v>1197678</v>
      </c>
      <c r="C1792" s="14" t="str">
        <f>IFERROR(__xludf.DUMMYFUNCTION("""COMPUTED_VALUE"""),"章琇淳")</f>
        <v>章琇淳</v>
      </c>
      <c r="D1792" s="16" t="str">
        <f>IFERROR(__xludf.DUMMYFUNCTION("""COMPUTED_VALUE"""),"106*****enla.mlc.edu.tw")</f>
        <v>106*****enla.mlc.edu.tw</v>
      </c>
      <c r="E1792" s="17" t="str">
        <f>IFERROR(__xludf.DUMMYFUNCTION("""COMPUTED_VALUE"""),"苗栗縣南庄鄉蓬萊國民小學")</f>
        <v>苗栗縣南庄鄉蓬萊國民小學</v>
      </c>
      <c r="F1792" s="14" t="str">
        <f>IFERROR(__xludf.DUMMYFUNCTION("""COMPUTED_VALUE"""),"六年級")</f>
        <v>六年級</v>
      </c>
      <c r="G1792" s="14" t="str">
        <f>IFERROR(__xludf.DUMMYFUNCTION("""COMPUTED_VALUE"""),"獎狀")</f>
        <v>獎狀</v>
      </c>
      <c r="H1792" s="8"/>
    </row>
    <row r="1793">
      <c r="A1793" s="18"/>
      <c r="B1793" s="14">
        <f>IFERROR(__xludf.DUMMYFUNCTION("""COMPUTED_VALUE"""),885793.0)</f>
        <v>885793</v>
      </c>
      <c r="C1793" s="14" t="str">
        <f>IFERROR(__xludf.DUMMYFUNCTION("""COMPUTED_VALUE"""),"黃凱新")</f>
        <v>黃凱新</v>
      </c>
      <c r="D1793" s="16" t="str">
        <f>IFERROR(__xludf.DUMMYFUNCTION("""COMPUTED_VALUE"""),"st0*****108003@mail.edu.tw")</f>
        <v>st0*****108003@mail.edu.tw</v>
      </c>
      <c r="E1793" s="17" t="str">
        <f>IFERROR(__xludf.DUMMYFUNCTION("""COMPUTED_VALUE"""),"苗栗縣獅潭鄉獅潭國民小學")</f>
        <v>苗栗縣獅潭鄉獅潭國民小學</v>
      </c>
      <c r="F1793" s="14" t="str">
        <f>IFERROR(__xludf.DUMMYFUNCTION("""COMPUTED_VALUE"""),"四年級")</f>
        <v>四年級</v>
      </c>
      <c r="G1793" s="14" t="str">
        <f>IFERROR(__xludf.DUMMYFUNCTION("""COMPUTED_VALUE"""),"●小禮物")</f>
        <v>●小禮物</v>
      </c>
      <c r="H1793" s="8"/>
    </row>
    <row r="1794">
      <c r="A1794" s="18"/>
      <c r="B1794" s="14">
        <f>IFERROR(__xludf.DUMMYFUNCTION("""COMPUTED_VALUE"""),885799.0)</f>
        <v>885799</v>
      </c>
      <c r="C1794" s="14" t="str">
        <f>IFERROR(__xludf.DUMMYFUNCTION("""COMPUTED_VALUE"""),"余凱珉")</f>
        <v>余凱珉</v>
      </c>
      <c r="D1794" s="16" t="str">
        <f>IFERROR(__xludf.DUMMYFUNCTION("""COMPUTED_VALUE"""),"st0*****108004@mail.edu.tw")</f>
        <v>st0*****108004@mail.edu.tw</v>
      </c>
      <c r="E1794" s="17" t="str">
        <f>IFERROR(__xludf.DUMMYFUNCTION("""COMPUTED_VALUE"""),"苗栗縣獅潭鄉獅潭國民小學")</f>
        <v>苗栗縣獅潭鄉獅潭國民小學</v>
      </c>
      <c r="F1794" s="14" t="str">
        <f>IFERROR(__xludf.DUMMYFUNCTION("""COMPUTED_VALUE"""),"四年級")</f>
        <v>四年級</v>
      </c>
      <c r="G1794" s="14" t="str">
        <f>IFERROR(__xludf.DUMMYFUNCTION("""COMPUTED_VALUE"""),"獎狀")</f>
        <v>獎狀</v>
      </c>
      <c r="H1794" s="8"/>
    </row>
    <row r="1795">
      <c r="A1795" s="18"/>
      <c r="B1795" s="14">
        <f>IFERROR(__xludf.DUMMYFUNCTION("""COMPUTED_VALUE"""),885823.0)</f>
        <v>885823</v>
      </c>
      <c r="C1795" s="14" t="str">
        <f>IFERROR(__xludf.DUMMYFUNCTION("""COMPUTED_VALUE"""),"謝婕妤")</f>
        <v>謝婕妤</v>
      </c>
      <c r="D1795" s="16" t="str">
        <f>IFERROR(__xludf.DUMMYFUNCTION("""COMPUTED_VALUE"""),"st0*****108010@mail.edu.tw")</f>
        <v>st0*****108010@mail.edu.tw</v>
      </c>
      <c r="E1795" s="17" t="str">
        <f>IFERROR(__xludf.DUMMYFUNCTION("""COMPUTED_VALUE"""),"苗栗縣獅潭鄉獅潭國民小學")</f>
        <v>苗栗縣獅潭鄉獅潭國民小學</v>
      </c>
      <c r="F1795" s="14" t="str">
        <f>IFERROR(__xludf.DUMMYFUNCTION("""COMPUTED_VALUE"""),"四年級")</f>
        <v>四年級</v>
      </c>
      <c r="G1795" s="14" t="str">
        <f>IFERROR(__xludf.DUMMYFUNCTION("""COMPUTED_VALUE"""),"獎狀")</f>
        <v>獎狀</v>
      </c>
      <c r="H1795" s="8"/>
    </row>
    <row r="1796">
      <c r="A1796" s="18"/>
      <c r="B1796" s="14">
        <f>IFERROR(__xludf.DUMMYFUNCTION("""COMPUTED_VALUE"""),885818.0)</f>
        <v>885818</v>
      </c>
      <c r="C1796" s="14" t="str">
        <f>IFERROR(__xludf.DUMMYFUNCTION("""COMPUTED_VALUE"""),"鍾羽喬")</f>
        <v>鍾羽喬</v>
      </c>
      <c r="D1796" s="16" t="str">
        <f>IFERROR(__xludf.DUMMYFUNCTION("""COMPUTED_VALUE"""),"st0*****108007@mail.edu.tw")</f>
        <v>st0*****108007@mail.edu.tw</v>
      </c>
      <c r="E1796" s="17" t="str">
        <f>IFERROR(__xludf.DUMMYFUNCTION("""COMPUTED_VALUE"""),"苗栗縣獅潭鄉獅潭國民小學")</f>
        <v>苗栗縣獅潭鄉獅潭國民小學</v>
      </c>
      <c r="F1796" s="14" t="str">
        <f>IFERROR(__xludf.DUMMYFUNCTION("""COMPUTED_VALUE"""),"四年級")</f>
        <v>四年級</v>
      </c>
      <c r="G1796" s="14" t="str">
        <f>IFERROR(__xludf.DUMMYFUNCTION("""COMPUTED_VALUE"""),"獎狀")</f>
        <v>獎狀</v>
      </c>
      <c r="H1796" s="8"/>
    </row>
    <row r="1797">
      <c r="A1797" s="18"/>
      <c r="B1797" s="14">
        <f>IFERROR(__xludf.DUMMYFUNCTION("""COMPUTED_VALUE"""),590668.0)</f>
        <v>590668</v>
      </c>
      <c r="C1797" s="14" t="str">
        <f>IFERROR(__xludf.DUMMYFUNCTION("""COMPUTED_VALUE"""),"陳可妮")</f>
        <v>陳可妮</v>
      </c>
      <c r="D1797" s="16" t="str">
        <f>IFERROR(__xludf.DUMMYFUNCTION("""COMPUTED_VALUE"""),"hl1*****@mail.edu.tw")</f>
        <v>hl1*****@mail.edu.tw</v>
      </c>
      <c r="E1797" s="17" t="str">
        <f>IFERROR(__xludf.DUMMYFUNCTION("""COMPUTED_VALUE"""),"苗栗縣後龍鎮後龍國民小學")</f>
        <v>苗栗縣後龍鎮後龍國民小學</v>
      </c>
      <c r="F1797" s="14" t="str">
        <f>IFERROR(__xludf.DUMMYFUNCTION("""COMPUTED_VALUE"""),"三年級")</f>
        <v>三年級</v>
      </c>
      <c r="G1797" s="14" t="str">
        <f>IFERROR(__xludf.DUMMYFUNCTION("""COMPUTED_VALUE"""),"●小禮物")</f>
        <v>●小禮物</v>
      </c>
      <c r="H1797" s="8"/>
    </row>
    <row r="1798">
      <c r="A1798" s="18"/>
      <c r="B1798" s="14">
        <f>IFERROR(__xludf.DUMMYFUNCTION("""COMPUTED_VALUE"""),520992.0)</f>
        <v>520992</v>
      </c>
      <c r="C1798" s="14" t="str">
        <f>IFERROR(__xludf.DUMMYFUNCTION("""COMPUTED_VALUE"""),"李祈毅")</f>
        <v>李祈毅</v>
      </c>
      <c r="D1798" s="16" t="str">
        <f>IFERROR(__xludf.DUMMYFUNCTION("""COMPUTED_VALUE"""),"ala*****jhps.mlc.edu.tw")</f>
        <v>ala*****jhps.mlc.edu.tw</v>
      </c>
      <c r="E1798" s="17" t="str">
        <f>IFERROR(__xludf.DUMMYFUNCTION("""COMPUTED_VALUE"""),"苗栗縣後龍鎮中和國民小學")</f>
        <v>苗栗縣後龍鎮中和國民小學</v>
      </c>
      <c r="F1798" s="14" t="str">
        <f>IFERROR(__xludf.DUMMYFUNCTION("""COMPUTED_VALUE"""),"五年級")</f>
        <v>五年級</v>
      </c>
      <c r="G1798" s="14" t="str">
        <f>IFERROR(__xludf.DUMMYFUNCTION("""COMPUTED_VALUE"""),"●小禮物")</f>
        <v>●小禮物</v>
      </c>
      <c r="H1798" s="8"/>
    </row>
    <row r="1799">
      <c r="A1799" s="18"/>
      <c r="B1799" s="14">
        <f>IFERROR(__xludf.DUMMYFUNCTION("""COMPUTED_VALUE"""),643613.0)</f>
        <v>643613</v>
      </c>
      <c r="C1799" s="14" t="str">
        <f>IFERROR(__xludf.DUMMYFUNCTION("""COMPUTED_VALUE"""),"陳叡恩")</f>
        <v>陳叡恩</v>
      </c>
      <c r="D1799" s="16" t="str">
        <f>IFERROR(__xludf.DUMMYFUNCTION("""COMPUTED_VALUE"""),"ado*****7@jhps.mlc.edu.tw")</f>
        <v>ado*****7@jhps.mlc.edu.tw</v>
      </c>
      <c r="E1799" s="17" t="str">
        <f>IFERROR(__xludf.DUMMYFUNCTION("""COMPUTED_VALUE"""),"苗栗縣後龍鎮中和國民小學")</f>
        <v>苗栗縣後龍鎮中和國民小學</v>
      </c>
      <c r="F1799" s="14" t="str">
        <f>IFERROR(__xludf.DUMMYFUNCTION("""COMPUTED_VALUE"""),"五年級")</f>
        <v>五年級</v>
      </c>
      <c r="G1799" s="14" t="str">
        <f>IFERROR(__xludf.DUMMYFUNCTION("""COMPUTED_VALUE"""),"獎狀")</f>
        <v>獎狀</v>
      </c>
      <c r="H1799" s="8"/>
    </row>
    <row r="1800">
      <c r="A1800" s="18"/>
      <c r="B1800" s="14">
        <f>IFERROR(__xludf.DUMMYFUNCTION("""COMPUTED_VALUE"""),520990.0)</f>
        <v>520990</v>
      </c>
      <c r="C1800" s="14" t="str">
        <f>IFERROR(__xludf.DUMMYFUNCTION("""COMPUTED_VALUE"""),"葉珆瑄")</f>
        <v>葉珆瑄</v>
      </c>
      <c r="D1800" s="16" t="str">
        <f>IFERROR(__xludf.DUMMYFUNCTION("""COMPUTED_VALUE"""),"ang*****7@jhps.mlc.edu.tw")</f>
        <v>ang*****7@jhps.mlc.edu.tw</v>
      </c>
      <c r="E1800" s="17" t="str">
        <f>IFERROR(__xludf.DUMMYFUNCTION("""COMPUTED_VALUE"""),"苗栗縣後龍鎮中和國民小學")</f>
        <v>苗栗縣後龍鎮中和國民小學</v>
      </c>
      <c r="F1800" s="14" t="str">
        <f>IFERROR(__xludf.DUMMYFUNCTION("""COMPUTED_VALUE"""),"五年級")</f>
        <v>五年級</v>
      </c>
      <c r="G1800" s="14" t="str">
        <f>IFERROR(__xludf.DUMMYFUNCTION("""COMPUTED_VALUE"""),"獎狀")</f>
        <v>獎狀</v>
      </c>
      <c r="H1800" s="8"/>
    </row>
    <row r="1801">
      <c r="A1801" s="18"/>
      <c r="B1801" s="14">
        <f>IFERROR(__xludf.DUMMYFUNCTION("""COMPUTED_VALUE"""),423045.0)</f>
        <v>423045</v>
      </c>
      <c r="C1801" s="14" t="str">
        <f>IFERROR(__xludf.DUMMYFUNCTION("""COMPUTED_VALUE"""),"陳冠佑")</f>
        <v>陳冠佑</v>
      </c>
      <c r="D1801" s="16" t="str">
        <f>IFERROR(__xludf.DUMMYFUNCTION("""COMPUTED_VALUE"""),"viv*****jhps.mlc.edu.tw")</f>
        <v>viv*****jhps.mlc.edu.tw</v>
      </c>
      <c r="E1801" s="17" t="str">
        <f>IFERROR(__xludf.DUMMYFUNCTION("""COMPUTED_VALUE"""),"苗栗縣後龍鎮中和國民小學")</f>
        <v>苗栗縣後龍鎮中和國民小學</v>
      </c>
      <c r="F1801" s="14" t="str">
        <f>IFERROR(__xludf.DUMMYFUNCTION("""COMPUTED_VALUE"""),"六年級")</f>
        <v>六年級</v>
      </c>
      <c r="G1801" s="14" t="str">
        <f>IFERROR(__xludf.DUMMYFUNCTION("""COMPUTED_VALUE"""),"●小禮物")</f>
        <v>●小禮物</v>
      </c>
      <c r="H1801" s="8"/>
    </row>
    <row r="1802">
      <c r="A1802" s="18"/>
      <c r="B1802" s="14">
        <f>IFERROR(__xludf.DUMMYFUNCTION("""COMPUTED_VALUE"""),326024.0)</f>
        <v>326024</v>
      </c>
      <c r="C1802" s="14" t="str">
        <f>IFERROR(__xludf.DUMMYFUNCTION("""COMPUTED_VALUE"""),"鄭綺岳")</f>
        <v>鄭綺岳</v>
      </c>
      <c r="D1802" s="16" t="str">
        <f>IFERROR(__xludf.DUMMYFUNCTION("""COMPUTED_VALUE"""),"ali*****@jhps.mlc.edu.tw")</f>
        <v>ali*****@jhps.mlc.edu.tw</v>
      </c>
      <c r="E1802" s="17" t="str">
        <f>IFERROR(__xludf.DUMMYFUNCTION("""COMPUTED_VALUE"""),"苗栗縣後龍鎮中和國民小學")</f>
        <v>苗栗縣後龍鎮中和國民小學</v>
      </c>
      <c r="F1802" s="14" t="str">
        <f>IFERROR(__xludf.DUMMYFUNCTION("""COMPUTED_VALUE"""),"六年級")</f>
        <v>六年級</v>
      </c>
      <c r="G1802" s="14" t="str">
        <f>IFERROR(__xludf.DUMMYFUNCTION("""COMPUTED_VALUE"""),"●小禮物")</f>
        <v>●小禮物</v>
      </c>
      <c r="H1802" s="8"/>
    </row>
    <row r="1803">
      <c r="A1803" s="18"/>
      <c r="B1803" s="14">
        <f>IFERROR(__xludf.DUMMYFUNCTION("""COMPUTED_VALUE"""),423042.0)</f>
        <v>423042</v>
      </c>
      <c r="C1803" s="14" t="str">
        <f>IFERROR(__xludf.DUMMYFUNCTION("""COMPUTED_VALUE"""),"蔡詩妤")</f>
        <v>蔡詩妤</v>
      </c>
      <c r="D1803" s="16" t="str">
        <f>IFERROR(__xludf.DUMMYFUNCTION("""COMPUTED_VALUE"""),"els*****jhps.mlc.edu.tw")</f>
        <v>els*****jhps.mlc.edu.tw</v>
      </c>
      <c r="E1803" s="17" t="str">
        <f>IFERROR(__xludf.DUMMYFUNCTION("""COMPUTED_VALUE"""),"苗栗縣後龍鎮中和國民小學")</f>
        <v>苗栗縣後龍鎮中和國民小學</v>
      </c>
      <c r="F1803" s="14" t="str">
        <f>IFERROR(__xludf.DUMMYFUNCTION("""COMPUTED_VALUE"""),"六年級")</f>
        <v>六年級</v>
      </c>
      <c r="G1803" s="14" t="str">
        <f>IFERROR(__xludf.DUMMYFUNCTION("""COMPUTED_VALUE"""),"獎狀")</f>
        <v>獎狀</v>
      </c>
      <c r="H1803" s="8"/>
    </row>
    <row r="1804">
      <c r="A1804" s="18"/>
      <c r="B1804" s="14">
        <f>IFERROR(__xludf.DUMMYFUNCTION("""COMPUTED_VALUE"""),423052.0)</f>
        <v>423052</v>
      </c>
      <c r="C1804" s="14" t="str">
        <f>IFERROR(__xludf.DUMMYFUNCTION("""COMPUTED_VALUE"""),"鄧唯瑄")</f>
        <v>鄧唯瑄</v>
      </c>
      <c r="D1804" s="16" t="str">
        <f>IFERROR(__xludf.DUMMYFUNCTION("""COMPUTED_VALUE"""),"she*****jhps.mlc.edu.tw")</f>
        <v>she*****jhps.mlc.edu.tw</v>
      </c>
      <c r="E1804" s="17" t="str">
        <f>IFERROR(__xludf.DUMMYFUNCTION("""COMPUTED_VALUE"""),"苗栗縣後龍鎮中和國民小學")</f>
        <v>苗栗縣後龍鎮中和國民小學</v>
      </c>
      <c r="F1804" s="14" t="str">
        <f>IFERROR(__xludf.DUMMYFUNCTION("""COMPUTED_VALUE"""),"六年級")</f>
        <v>六年級</v>
      </c>
      <c r="G1804" s="14" t="str">
        <f>IFERROR(__xludf.DUMMYFUNCTION("""COMPUTED_VALUE"""),"獎狀")</f>
        <v>獎狀</v>
      </c>
      <c r="H1804" s="8"/>
    </row>
    <row r="1805">
      <c r="A1805" s="18"/>
      <c r="B1805" s="14">
        <f>IFERROR(__xludf.DUMMYFUNCTION("""COMPUTED_VALUE"""),423049.0)</f>
        <v>423049</v>
      </c>
      <c r="C1805" s="14" t="str">
        <f>IFERROR(__xludf.DUMMYFUNCTION("""COMPUTED_VALUE"""),"鄧鈺穎")</f>
        <v>鄧鈺穎</v>
      </c>
      <c r="D1805" s="16" t="str">
        <f>IFERROR(__xludf.DUMMYFUNCTION("""COMPUTED_VALUE"""),"nan*****@jhps.mlc.edu.tw")</f>
        <v>nan*****@jhps.mlc.edu.tw</v>
      </c>
      <c r="E1805" s="17" t="str">
        <f>IFERROR(__xludf.DUMMYFUNCTION("""COMPUTED_VALUE"""),"苗栗縣後龍鎮中和國民小學")</f>
        <v>苗栗縣後龍鎮中和國民小學</v>
      </c>
      <c r="F1805" s="14" t="str">
        <f>IFERROR(__xludf.DUMMYFUNCTION("""COMPUTED_VALUE"""),"六年級")</f>
        <v>六年級</v>
      </c>
      <c r="G1805" s="14" t="str">
        <f>IFERROR(__xludf.DUMMYFUNCTION("""COMPUTED_VALUE"""),"獎狀")</f>
        <v>獎狀</v>
      </c>
      <c r="H1805" s="8"/>
    </row>
    <row r="1806">
      <c r="A1806" s="18"/>
      <c r="B1806" s="14">
        <f>IFERROR(__xludf.DUMMYFUNCTION("""COMPUTED_VALUE"""),508520.0)</f>
        <v>508520</v>
      </c>
      <c r="C1806" s="14" t="str">
        <f>IFERROR(__xludf.DUMMYFUNCTION("""COMPUTED_VALUE"""),"謝聖恩")</f>
        <v>謝聖恩</v>
      </c>
      <c r="D1806" s="16" t="str">
        <f>IFERROR(__xludf.DUMMYFUNCTION("""COMPUTED_VALUE"""),"jac*****jhps.mlc.edu.tw")</f>
        <v>jac*****jhps.mlc.edu.tw</v>
      </c>
      <c r="E1806" s="17" t="str">
        <f>IFERROR(__xludf.DUMMYFUNCTION("""COMPUTED_VALUE"""),"苗栗縣後龍鎮中和國民小學")</f>
        <v>苗栗縣後龍鎮中和國民小學</v>
      </c>
      <c r="F1806" s="14" t="str">
        <f>IFERROR(__xludf.DUMMYFUNCTION("""COMPUTED_VALUE"""),"六年級")</f>
        <v>六年級</v>
      </c>
      <c r="G1806" s="14" t="str">
        <f>IFERROR(__xludf.DUMMYFUNCTION("""COMPUTED_VALUE"""),"獎狀")</f>
        <v>獎狀</v>
      </c>
      <c r="H1806" s="8"/>
    </row>
    <row r="1807">
      <c r="A1807" s="18"/>
      <c r="B1807" s="14">
        <f>IFERROR(__xludf.DUMMYFUNCTION("""COMPUTED_VALUE"""),983399.0)</f>
        <v>983399</v>
      </c>
      <c r="C1807" s="14" t="str">
        <f>IFERROR(__xludf.DUMMYFUNCTION("""COMPUTED_VALUE"""),"黃允佑")</f>
        <v>黃允佑</v>
      </c>
      <c r="D1807" s="16" t="str">
        <f>IFERROR(__xludf.DUMMYFUNCTION("""COMPUTED_VALUE"""),"ad1*****7@mail.edu.tw")</f>
        <v>ad1*****7@mail.edu.tw</v>
      </c>
      <c r="E1807" s="17" t="str">
        <f>IFERROR(__xludf.DUMMYFUNCTION("""COMPUTED_VALUE"""),"苗栗縣立新港國民中小學國小部")</f>
        <v>苗栗縣立新港國民中小學國小部</v>
      </c>
      <c r="F1807" s="14" t="str">
        <f>IFERROR(__xludf.DUMMYFUNCTION("""COMPUTED_VALUE"""),"三年級")</f>
        <v>三年級</v>
      </c>
      <c r="G1807" s="14" t="str">
        <f>IFERROR(__xludf.DUMMYFUNCTION("""COMPUTED_VALUE"""),"獎狀")</f>
        <v>獎狀</v>
      </c>
      <c r="H1807" s="8"/>
    </row>
    <row r="1808">
      <c r="A1808" s="18"/>
      <c r="B1808" s="14">
        <f>IFERROR(__xludf.DUMMYFUNCTION("""COMPUTED_VALUE"""),984036.0)</f>
        <v>984036</v>
      </c>
      <c r="C1808" s="14" t="str">
        <f>IFERROR(__xludf.DUMMYFUNCTION("""COMPUTED_VALUE"""),"朱芷瑩")</f>
        <v>朱芷瑩</v>
      </c>
      <c r="D1808" s="16" t="str">
        <f>IFERROR(__xludf.DUMMYFUNCTION("""COMPUTED_VALUE"""),"gra*****6@mail.edu.tw")</f>
        <v>gra*****6@mail.edu.tw</v>
      </c>
      <c r="E1808" s="17" t="str">
        <f>IFERROR(__xludf.DUMMYFUNCTION("""COMPUTED_VALUE"""),"苗栗縣立新港國民中小學國小部")</f>
        <v>苗栗縣立新港國民中小學國小部</v>
      </c>
      <c r="F1808" s="14" t="str">
        <f>IFERROR(__xludf.DUMMYFUNCTION("""COMPUTED_VALUE"""),"四年級")</f>
        <v>四年級</v>
      </c>
      <c r="G1808" s="14" t="str">
        <f>IFERROR(__xludf.DUMMYFUNCTION("""COMPUTED_VALUE"""),"獎狀")</f>
        <v>獎狀</v>
      </c>
      <c r="H1808" s="8"/>
    </row>
    <row r="1809">
      <c r="A1809" s="18"/>
      <c r="B1809" s="14">
        <f>IFERROR(__xludf.DUMMYFUNCTION("""COMPUTED_VALUE"""),1013346.0)</f>
        <v>1013346</v>
      </c>
      <c r="C1809" s="14" t="str">
        <f>IFERROR(__xludf.DUMMYFUNCTION("""COMPUTED_VALUE"""),"陳廷廷")</f>
        <v>陳廷廷</v>
      </c>
      <c r="D1809" s="16" t="str">
        <f>IFERROR(__xludf.DUMMYFUNCTION("""COMPUTED_VALUE"""),"woo*****6@mail.edu.tw")</f>
        <v>woo*****6@mail.edu.tw</v>
      </c>
      <c r="E1809" s="17" t="str">
        <f>IFERROR(__xludf.DUMMYFUNCTION("""COMPUTED_VALUE"""),"苗栗縣立新港國民中小學國小部")</f>
        <v>苗栗縣立新港國民中小學國小部</v>
      </c>
      <c r="F1809" s="14" t="str">
        <f>IFERROR(__xludf.DUMMYFUNCTION("""COMPUTED_VALUE"""),"四年級")</f>
        <v>四年級</v>
      </c>
      <c r="G1809" s="14" t="str">
        <f>IFERROR(__xludf.DUMMYFUNCTION("""COMPUTED_VALUE"""),"獎狀")</f>
        <v>獎狀</v>
      </c>
      <c r="H1809" s="8"/>
    </row>
    <row r="1810">
      <c r="A1810" s="18"/>
      <c r="B1810" s="14">
        <f>IFERROR(__xludf.DUMMYFUNCTION("""COMPUTED_VALUE"""),1008828.0)</f>
        <v>1008828</v>
      </c>
      <c r="C1810" s="14" t="str">
        <f>IFERROR(__xludf.DUMMYFUNCTION("""COMPUTED_VALUE"""),"江羿靜")</f>
        <v>江羿靜</v>
      </c>
      <c r="D1810" s="16" t="str">
        <f>IFERROR(__xludf.DUMMYFUNCTION("""COMPUTED_VALUE"""),"per*****3@mail.edu.tw")</f>
        <v>per*****3@mail.edu.tw</v>
      </c>
      <c r="E1810" s="17" t="str">
        <f>IFERROR(__xludf.DUMMYFUNCTION("""COMPUTED_VALUE"""),"苗栗縣立新港國民中小學國小部")</f>
        <v>苗栗縣立新港國民中小學國小部</v>
      </c>
      <c r="F1810" s="14" t="str">
        <f>IFERROR(__xludf.DUMMYFUNCTION("""COMPUTED_VALUE"""),"四年級")</f>
        <v>四年級</v>
      </c>
      <c r="G1810" s="14" t="str">
        <f>IFERROR(__xludf.DUMMYFUNCTION("""COMPUTED_VALUE"""),"●小禮物")</f>
        <v>●小禮物</v>
      </c>
      <c r="H1810" s="8"/>
    </row>
    <row r="1811">
      <c r="A1811" s="18"/>
      <c r="B1811" s="14">
        <f>IFERROR(__xludf.DUMMYFUNCTION("""COMPUTED_VALUE"""),1007782.0)</f>
        <v>1007782</v>
      </c>
      <c r="C1811" s="14" t="str">
        <f>IFERROR(__xludf.DUMMYFUNCTION("""COMPUTED_VALUE"""),"王士維")</f>
        <v>王士維</v>
      </c>
      <c r="D1811" s="16" t="str">
        <f>IFERROR(__xludf.DUMMYFUNCTION("""COMPUTED_VALUE"""),"neo*****mail.edu.tw")</f>
        <v>neo*****mail.edu.tw</v>
      </c>
      <c r="E1811" s="17" t="str">
        <f>IFERROR(__xludf.DUMMYFUNCTION("""COMPUTED_VALUE"""),"苗栗縣立新港國民中小學國小部")</f>
        <v>苗栗縣立新港國民中小學國小部</v>
      </c>
      <c r="F1811" s="14" t="str">
        <f>IFERROR(__xludf.DUMMYFUNCTION("""COMPUTED_VALUE"""),"四年級")</f>
        <v>四年級</v>
      </c>
      <c r="G1811" s="14" t="str">
        <f>IFERROR(__xludf.DUMMYFUNCTION("""COMPUTED_VALUE"""),"●小禮物")</f>
        <v>●小禮物</v>
      </c>
      <c r="H1811" s="8"/>
    </row>
    <row r="1812">
      <c r="A1812" s="18"/>
      <c r="B1812" s="14">
        <f>IFERROR(__xludf.DUMMYFUNCTION("""COMPUTED_VALUE"""),1008813.0)</f>
        <v>1008813</v>
      </c>
      <c r="C1812" s="14" t="str">
        <f>IFERROR(__xludf.DUMMYFUNCTION("""COMPUTED_VALUE"""),"陳裕達")</f>
        <v>陳裕達</v>
      </c>
      <c r="D1812" s="16" t="str">
        <f>IFERROR(__xludf.DUMMYFUNCTION("""COMPUTED_VALUE"""),"hen*****@mail.edu.tw")</f>
        <v>hen*****@mail.edu.tw</v>
      </c>
      <c r="E1812" s="17" t="str">
        <f>IFERROR(__xludf.DUMMYFUNCTION("""COMPUTED_VALUE"""),"苗栗縣立新港國民中小學國小部")</f>
        <v>苗栗縣立新港國民中小學國小部</v>
      </c>
      <c r="F1812" s="14" t="str">
        <f>IFERROR(__xludf.DUMMYFUNCTION("""COMPUTED_VALUE"""),"四年級")</f>
        <v>四年級</v>
      </c>
      <c r="G1812" s="14" t="str">
        <f>IFERROR(__xludf.DUMMYFUNCTION("""COMPUTED_VALUE"""),"●小禮物")</f>
        <v>●小禮物</v>
      </c>
      <c r="H1812" s="8"/>
    </row>
    <row r="1813">
      <c r="A1813" s="18"/>
      <c r="B1813" s="14">
        <f>IFERROR(__xludf.DUMMYFUNCTION("""COMPUTED_VALUE"""),1008839.0)</f>
        <v>1008839</v>
      </c>
      <c r="C1813" s="14" t="str">
        <f>IFERROR(__xludf.DUMMYFUNCTION("""COMPUTED_VALUE"""),"李巧涵")</f>
        <v>李巧涵</v>
      </c>
      <c r="D1813" s="16" t="str">
        <f>IFERROR(__xludf.DUMMYFUNCTION("""COMPUTED_VALUE"""),"luc*****@mail.edu.tw")</f>
        <v>luc*****@mail.edu.tw</v>
      </c>
      <c r="E1813" s="17" t="str">
        <f>IFERROR(__xludf.DUMMYFUNCTION("""COMPUTED_VALUE"""),"苗栗縣立新港國民中小學國小部")</f>
        <v>苗栗縣立新港國民中小學國小部</v>
      </c>
      <c r="F1813" s="14" t="str">
        <f>IFERROR(__xludf.DUMMYFUNCTION("""COMPUTED_VALUE"""),"四年級")</f>
        <v>四年級</v>
      </c>
      <c r="G1813" s="14" t="str">
        <f>IFERROR(__xludf.DUMMYFUNCTION("""COMPUTED_VALUE"""),"●小禮物")</f>
        <v>●小禮物</v>
      </c>
      <c r="H1813" s="8"/>
    </row>
    <row r="1814">
      <c r="A1814" s="18"/>
      <c r="B1814" s="14">
        <f>IFERROR(__xludf.DUMMYFUNCTION("""COMPUTED_VALUE"""),1008833.0)</f>
        <v>1008833</v>
      </c>
      <c r="C1814" s="14" t="str">
        <f>IFERROR(__xludf.DUMMYFUNCTION("""COMPUTED_VALUE"""),"李竺恩")</f>
        <v>李竺恩</v>
      </c>
      <c r="D1814" s="16" t="str">
        <f>IFERROR(__xludf.DUMMYFUNCTION("""COMPUTED_VALUE"""),"ann*****16@mail.edu.tw")</f>
        <v>ann*****16@mail.edu.tw</v>
      </c>
      <c r="E1814" s="17" t="str">
        <f>IFERROR(__xludf.DUMMYFUNCTION("""COMPUTED_VALUE"""),"苗栗縣立新港國民中小學國小部")</f>
        <v>苗栗縣立新港國民中小學國小部</v>
      </c>
      <c r="F1814" s="14" t="str">
        <f>IFERROR(__xludf.DUMMYFUNCTION("""COMPUTED_VALUE"""),"四年級")</f>
        <v>四年級</v>
      </c>
      <c r="G1814" s="14" t="str">
        <f>IFERROR(__xludf.DUMMYFUNCTION("""COMPUTED_VALUE"""),"●小禮物")</f>
        <v>●小禮物</v>
      </c>
      <c r="H1814" s="8"/>
    </row>
    <row r="1815">
      <c r="A1815" s="18"/>
      <c r="B1815" s="14">
        <f>IFERROR(__xludf.DUMMYFUNCTION("""COMPUTED_VALUE"""),1008823.0)</f>
        <v>1008823</v>
      </c>
      <c r="C1815" s="14" t="str">
        <f>IFERROR(__xludf.DUMMYFUNCTION("""COMPUTED_VALUE"""),"周雨潔")</f>
        <v>周雨潔</v>
      </c>
      <c r="D1815" s="16" t="str">
        <f>IFERROR(__xludf.DUMMYFUNCTION("""COMPUTED_VALUE"""),"lis*****@mail.edu.tw")</f>
        <v>lis*****@mail.edu.tw</v>
      </c>
      <c r="E1815" s="17" t="str">
        <f>IFERROR(__xludf.DUMMYFUNCTION("""COMPUTED_VALUE"""),"苗栗縣立新港國民中小學國小部")</f>
        <v>苗栗縣立新港國民中小學國小部</v>
      </c>
      <c r="F1815" s="14" t="str">
        <f>IFERROR(__xludf.DUMMYFUNCTION("""COMPUTED_VALUE"""),"四年級")</f>
        <v>四年級</v>
      </c>
      <c r="G1815" s="14" t="str">
        <f>IFERROR(__xludf.DUMMYFUNCTION("""COMPUTED_VALUE"""),"●小禮物")</f>
        <v>●小禮物</v>
      </c>
      <c r="H1815" s="8"/>
    </row>
    <row r="1816">
      <c r="A1816" s="18"/>
      <c r="B1816" s="14">
        <f>IFERROR(__xludf.DUMMYFUNCTION("""COMPUTED_VALUE"""),1008829.0)</f>
        <v>1008829</v>
      </c>
      <c r="C1816" s="14" t="str">
        <f>IFERROR(__xludf.DUMMYFUNCTION("""COMPUTED_VALUE"""),"陳玟妗")</f>
        <v>陳玟妗</v>
      </c>
      <c r="D1816" s="16" t="str">
        <f>IFERROR(__xludf.DUMMYFUNCTION("""COMPUTED_VALUE"""),"viv*****0325@mail.edu.tw")</f>
        <v>viv*****0325@mail.edu.tw</v>
      </c>
      <c r="E1816" s="17" t="str">
        <f>IFERROR(__xludf.DUMMYFUNCTION("""COMPUTED_VALUE"""),"苗栗縣立新港國民中小學國小部")</f>
        <v>苗栗縣立新港國民中小學國小部</v>
      </c>
      <c r="F1816" s="14" t="str">
        <f>IFERROR(__xludf.DUMMYFUNCTION("""COMPUTED_VALUE"""),"四年級")</f>
        <v>四年級</v>
      </c>
      <c r="G1816" s="14" t="str">
        <f>IFERROR(__xludf.DUMMYFUNCTION("""COMPUTED_VALUE"""),"●小禮物")</f>
        <v>●小禮物</v>
      </c>
      <c r="H1816" s="8"/>
    </row>
    <row r="1817">
      <c r="A1817" s="18"/>
      <c r="B1817" s="14">
        <f>IFERROR(__xludf.DUMMYFUNCTION("""COMPUTED_VALUE"""),1008810.0)</f>
        <v>1008810</v>
      </c>
      <c r="C1817" s="14" t="str">
        <f>IFERROR(__xludf.DUMMYFUNCTION("""COMPUTED_VALUE"""),"劉啟安")</f>
        <v>劉啟安</v>
      </c>
      <c r="D1817" s="16" t="str">
        <f>IFERROR(__xludf.DUMMYFUNCTION("""COMPUTED_VALUE"""),"and*****@mail.edu.tw")</f>
        <v>and*****@mail.edu.tw</v>
      </c>
      <c r="E1817" s="17" t="str">
        <f>IFERROR(__xludf.DUMMYFUNCTION("""COMPUTED_VALUE"""),"苗栗縣立新港國民中小學國小部")</f>
        <v>苗栗縣立新港國民中小學國小部</v>
      </c>
      <c r="F1817" s="14" t="str">
        <f>IFERROR(__xludf.DUMMYFUNCTION("""COMPUTED_VALUE"""),"四年級")</f>
        <v>四年級</v>
      </c>
      <c r="G1817" s="14" t="str">
        <f>IFERROR(__xludf.DUMMYFUNCTION("""COMPUTED_VALUE"""),"●小禮物")</f>
        <v>●小禮物</v>
      </c>
      <c r="H1817" s="8"/>
    </row>
    <row r="1818">
      <c r="A1818" s="18"/>
      <c r="B1818" s="14">
        <f>IFERROR(__xludf.DUMMYFUNCTION("""COMPUTED_VALUE"""),1008861.0)</f>
        <v>1008861</v>
      </c>
      <c r="C1818" s="14" t="str">
        <f>IFERROR(__xludf.DUMMYFUNCTION("""COMPUTED_VALUE"""),"林昀琦")</f>
        <v>林昀琦</v>
      </c>
      <c r="D1818" s="16" t="str">
        <f>IFERROR(__xludf.DUMMYFUNCTION("""COMPUTED_VALUE"""),"lis*****@mail.edu.tw")</f>
        <v>lis*****@mail.edu.tw</v>
      </c>
      <c r="E1818" s="17" t="str">
        <f>IFERROR(__xludf.DUMMYFUNCTION("""COMPUTED_VALUE"""),"苗栗縣立新港國民中小學國小部")</f>
        <v>苗栗縣立新港國民中小學國小部</v>
      </c>
      <c r="F1818" s="14" t="str">
        <f>IFERROR(__xludf.DUMMYFUNCTION("""COMPUTED_VALUE"""),"四年級")</f>
        <v>四年級</v>
      </c>
      <c r="G1818" s="14" t="str">
        <f>IFERROR(__xludf.DUMMYFUNCTION("""COMPUTED_VALUE"""),"獎狀")</f>
        <v>獎狀</v>
      </c>
      <c r="H1818" s="8"/>
    </row>
    <row r="1819">
      <c r="A1819" s="18"/>
      <c r="B1819" s="14">
        <f>IFERROR(__xludf.DUMMYFUNCTION("""COMPUTED_VALUE"""),1008819.0)</f>
        <v>1008819</v>
      </c>
      <c r="C1819" s="14" t="str">
        <f>IFERROR(__xludf.DUMMYFUNCTION("""COMPUTED_VALUE"""),"胡歆培")</f>
        <v>胡歆培</v>
      </c>
      <c r="D1819" s="16" t="str">
        <f>IFERROR(__xludf.DUMMYFUNCTION("""COMPUTED_VALUE"""),"nic*****0@mail.edu.tw")</f>
        <v>nic*****0@mail.edu.tw</v>
      </c>
      <c r="E1819" s="17" t="str">
        <f>IFERROR(__xludf.DUMMYFUNCTION("""COMPUTED_VALUE"""),"苗栗縣立新港國民中小學國小部")</f>
        <v>苗栗縣立新港國民中小學國小部</v>
      </c>
      <c r="F1819" s="14" t="str">
        <f>IFERROR(__xludf.DUMMYFUNCTION("""COMPUTED_VALUE"""),"四年級")</f>
        <v>四年級</v>
      </c>
      <c r="G1819" s="14" t="str">
        <f>IFERROR(__xludf.DUMMYFUNCTION("""COMPUTED_VALUE"""),"獎狀")</f>
        <v>獎狀</v>
      </c>
      <c r="H1819" s="8"/>
    </row>
    <row r="1820">
      <c r="A1820" s="18"/>
      <c r="B1820" s="14">
        <f>IFERROR(__xludf.DUMMYFUNCTION("""COMPUTED_VALUE"""),719319.0)</f>
        <v>719319</v>
      </c>
      <c r="C1820" s="14" t="str">
        <f>IFERROR(__xludf.DUMMYFUNCTION("""COMPUTED_VALUE"""),"彭柏澄")</f>
        <v>彭柏澄</v>
      </c>
      <c r="D1820" s="16" t="str">
        <f>IFERROR(__xludf.DUMMYFUNCTION("""COMPUTED_VALUE"""),"bry*****7@mail.edu.tw")</f>
        <v>bry*****7@mail.edu.tw</v>
      </c>
      <c r="E1820" s="17" t="str">
        <f>IFERROR(__xludf.DUMMYFUNCTION("""COMPUTED_VALUE"""),"苗栗縣立新港國民中小學國小部")</f>
        <v>苗栗縣立新港國民中小學國小部</v>
      </c>
      <c r="F1820" s="14" t="str">
        <f>IFERROR(__xludf.DUMMYFUNCTION("""COMPUTED_VALUE"""),"四年級")</f>
        <v>四年級</v>
      </c>
      <c r="G1820" s="14" t="str">
        <f>IFERROR(__xludf.DUMMYFUNCTION("""COMPUTED_VALUE"""),"獎狀")</f>
        <v>獎狀</v>
      </c>
      <c r="H1820" s="8"/>
    </row>
    <row r="1821">
      <c r="A1821" s="18"/>
      <c r="B1821" s="14">
        <f>IFERROR(__xludf.DUMMYFUNCTION("""COMPUTED_VALUE"""),1008818.0)</f>
        <v>1008818</v>
      </c>
      <c r="C1821" s="14" t="str">
        <f>IFERROR(__xludf.DUMMYFUNCTION("""COMPUTED_VALUE"""),"黃歆絜")</f>
        <v>黃歆絜</v>
      </c>
      <c r="D1821" s="16" t="str">
        <f>IFERROR(__xludf.DUMMYFUNCTION("""COMPUTED_VALUE"""),"jem*****@mail.edu.tw")</f>
        <v>jem*****@mail.edu.tw</v>
      </c>
      <c r="E1821" s="17" t="str">
        <f>IFERROR(__xludf.DUMMYFUNCTION("""COMPUTED_VALUE"""),"苗栗縣立新港國民中小學國小部")</f>
        <v>苗栗縣立新港國民中小學國小部</v>
      </c>
      <c r="F1821" s="14" t="str">
        <f>IFERROR(__xludf.DUMMYFUNCTION("""COMPUTED_VALUE"""),"四年級")</f>
        <v>四年級</v>
      </c>
      <c r="G1821" s="14" t="str">
        <f>IFERROR(__xludf.DUMMYFUNCTION("""COMPUTED_VALUE"""),"獎狀")</f>
        <v>獎狀</v>
      </c>
      <c r="H1821" s="8"/>
    </row>
    <row r="1822">
      <c r="A1822" s="18"/>
      <c r="B1822" s="14">
        <f>IFERROR(__xludf.DUMMYFUNCTION("""COMPUTED_VALUE"""),983400.0)</f>
        <v>983400</v>
      </c>
      <c r="C1822" s="14" t="str">
        <f>IFERROR(__xludf.DUMMYFUNCTION("""COMPUTED_VALUE"""),"趙安婕")</f>
        <v>趙安婕</v>
      </c>
      <c r="D1822" s="16" t="str">
        <f>IFERROR(__xludf.DUMMYFUNCTION("""COMPUTED_VALUE"""),"ann*****318@mail.edu.tw")</f>
        <v>ann*****318@mail.edu.tw</v>
      </c>
      <c r="E1822" s="17" t="str">
        <f>IFERROR(__xludf.DUMMYFUNCTION("""COMPUTED_VALUE"""),"苗栗縣立新港國民中小學國小部")</f>
        <v>苗栗縣立新港國民中小學國小部</v>
      </c>
      <c r="F1822" s="14" t="str">
        <f>IFERROR(__xludf.DUMMYFUNCTION("""COMPUTED_VALUE"""),"四年級")</f>
        <v>四年級</v>
      </c>
      <c r="G1822" s="14" t="str">
        <f>IFERROR(__xludf.DUMMYFUNCTION("""COMPUTED_VALUE"""),"獎狀")</f>
        <v>獎狀</v>
      </c>
      <c r="H1822" s="8"/>
    </row>
    <row r="1823">
      <c r="A1823" s="18"/>
      <c r="B1823" s="14">
        <f>IFERROR(__xludf.DUMMYFUNCTION("""COMPUTED_VALUE"""),983398.0)</f>
        <v>983398</v>
      </c>
      <c r="C1823" s="14" t="str">
        <f>IFERROR(__xludf.DUMMYFUNCTION("""COMPUTED_VALUE"""),"賴劼佑")</f>
        <v>賴劼佑</v>
      </c>
      <c r="D1823" s="16" t="str">
        <f>IFERROR(__xludf.DUMMYFUNCTION("""COMPUTED_VALUE"""),"jef*****919@mail.edu.tw")</f>
        <v>jef*****919@mail.edu.tw</v>
      </c>
      <c r="E1823" s="17" t="str">
        <f>IFERROR(__xludf.DUMMYFUNCTION("""COMPUTED_VALUE"""),"苗栗縣立新港國民中小學國小部")</f>
        <v>苗栗縣立新港國民中小學國小部</v>
      </c>
      <c r="F1823" s="14" t="str">
        <f>IFERROR(__xludf.DUMMYFUNCTION("""COMPUTED_VALUE"""),"四年級")</f>
        <v>四年級</v>
      </c>
      <c r="G1823" s="14" t="str">
        <f>IFERROR(__xludf.DUMMYFUNCTION("""COMPUTED_VALUE"""),"獎狀")</f>
        <v>獎狀</v>
      </c>
      <c r="H1823" s="8"/>
    </row>
    <row r="1824">
      <c r="A1824" s="18"/>
      <c r="B1824" s="14">
        <f>IFERROR(__xludf.DUMMYFUNCTION("""COMPUTED_VALUE"""),1013345.0)</f>
        <v>1013345</v>
      </c>
      <c r="C1824" s="14" t="str">
        <f>IFERROR(__xludf.DUMMYFUNCTION("""COMPUTED_VALUE"""),"謝昇遠")</f>
        <v>謝昇遠</v>
      </c>
      <c r="D1824" s="16" t="str">
        <f>IFERROR(__xludf.DUMMYFUNCTION("""COMPUTED_VALUE"""),"art*****22@mail.edu.tw")</f>
        <v>art*****22@mail.edu.tw</v>
      </c>
      <c r="E1824" s="17" t="str">
        <f>IFERROR(__xludf.DUMMYFUNCTION("""COMPUTED_VALUE"""),"苗栗縣立新港國民中小學國小部")</f>
        <v>苗栗縣立新港國民中小學國小部</v>
      </c>
      <c r="F1824" s="14" t="str">
        <f>IFERROR(__xludf.DUMMYFUNCTION("""COMPUTED_VALUE"""),"四年級")</f>
        <v>四年級</v>
      </c>
      <c r="G1824" s="14" t="str">
        <f>IFERROR(__xludf.DUMMYFUNCTION("""COMPUTED_VALUE"""),"獎狀")</f>
        <v>獎狀</v>
      </c>
      <c r="H1824" s="8"/>
    </row>
    <row r="1825">
      <c r="A1825" s="18"/>
      <c r="B1825" s="14">
        <f>IFERROR(__xludf.DUMMYFUNCTION("""COMPUTED_VALUE"""),1008821.0)</f>
        <v>1008821</v>
      </c>
      <c r="C1825" s="14" t="str">
        <f>IFERROR(__xludf.DUMMYFUNCTION("""COMPUTED_VALUE"""),"汪昱羽")</f>
        <v>汪昱羽</v>
      </c>
      <c r="D1825" s="16" t="str">
        <f>IFERROR(__xludf.DUMMYFUNCTION("""COMPUTED_VALUE"""),"kit*****08@mail.edu.tw")</f>
        <v>kit*****08@mail.edu.tw</v>
      </c>
      <c r="E1825" s="17" t="str">
        <f>IFERROR(__xludf.DUMMYFUNCTION("""COMPUTED_VALUE"""),"苗栗縣立新港國民中小學國小部")</f>
        <v>苗栗縣立新港國民中小學國小部</v>
      </c>
      <c r="F1825" s="14" t="str">
        <f>IFERROR(__xludf.DUMMYFUNCTION("""COMPUTED_VALUE"""),"四年級")</f>
        <v>四年級</v>
      </c>
      <c r="G1825" s="14" t="str">
        <f>IFERROR(__xludf.DUMMYFUNCTION("""COMPUTED_VALUE"""),"獎狀")</f>
        <v>獎狀</v>
      </c>
      <c r="H1825" s="8"/>
    </row>
    <row r="1826">
      <c r="A1826" s="18"/>
      <c r="B1826" s="14">
        <f>IFERROR(__xludf.DUMMYFUNCTION("""COMPUTED_VALUE"""),1008142.0)</f>
        <v>1008142</v>
      </c>
      <c r="C1826" s="14" t="str">
        <f>IFERROR(__xludf.DUMMYFUNCTION("""COMPUTED_VALUE"""),"周孟涵")</f>
        <v>周孟涵</v>
      </c>
      <c r="D1826" s="16" t="str">
        <f>IFERROR(__xludf.DUMMYFUNCTION("""COMPUTED_VALUE"""),"kel*****7@mail.edu.tw")</f>
        <v>kel*****7@mail.edu.tw</v>
      </c>
      <c r="E1826" s="17" t="str">
        <f>IFERROR(__xludf.DUMMYFUNCTION("""COMPUTED_VALUE"""),"苗栗縣立新港國民中小學國小部")</f>
        <v>苗栗縣立新港國民中小學國小部</v>
      </c>
      <c r="F1826" s="14" t="str">
        <f>IFERROR(__xludf.DUMMYFUNCTION("""COMPUTED_VALUE"""),"四年級")</f>
        <v>四年級</v>
      </c>
      <c r="G1826" s="14" t="str">
        <f>IFERROR(__xludf.DUMMYFUNCTION("""COMPUTED_VALUE"""),"●小禮物")</f>
        <v>●小禮物</v>
      </c>
      <c r="H1826" s="8"/>
    </row>
    <row r="1827">
      <c r="A1827" s="18"/>
      <c r="B1827" s="14">
        <f>IFERROR(__xludf.DUMMYFUNCTION("""COMPUTED_VALUE"""),1183162.0)</f>
        <v>1183162</v>
      </c>
      <c r="C1827" s="14" t="str">
        <f>IFERROR(__xludf.DUMMYFUNCTION("""COMPUTED_VALUE"""),"周紫綺")</f>
        <v>周紫綺</v>
      </c>
      <c r="D1827" s="16" t="str">
        <f>IFERROR(__xludf.DUMMYFUNCTION("""COMPUTED_VALUE"""),"lke*****10@mail.edu.tw")</f>
        <v>lke*****10@mail.edu.tw</v>
      </c>
      <c r="E1827" s="17" t="str">
        <f>IFERROR(__xludf.DUMMYFUNCTION("""COMPUTED_VALUE"""),"苗栗縣立新港國民中小學國小部")</f>
        <v>苗栗縣立新港國民中小學國小部</v>
      </c>
      <c r="F1827" s="14" t="str">
        <f>IFERROR(__xludf.DUMMYFUNCTION("""COMPUTED_VALUE"""),"四年級")</f>
        <v>四年級</v>
      </c>
      <c r="G1827" s="14" t="str">
        <f>IFERROR(__xludf.DUMMYFUNCTION("""COMPUTED_VALUE"""),"●小禮物")</f>
        <v>●小禮物</v>
      </c>
      <c r="H1827" s="8"/>
    </row>
    <row r="1828">
      <c r="A1828" s="18"/>
      <c r="B1828" s="14">
        <f>IFERROR(__xludf.DUMMYFUNCTION("""COMPUTED_VALUE"""),1008135.0)</f>
        <v>1008135</v>
      </c>
      <c r="C1828" s="14" t="str">
        <f>IFERROR(__xludf.DUMMYFUNCTION("""COMPUTED_VALUE"""),"張鈞詠")</f>
        <v>張鈞詠</v>
      </c>
      <c r="D1828" s="16" t="str">
        <f>IFERROR(__xludf.DUMMYFUNCTION("""COMPUTED_VALUE"""),"gab*****8@mail.edu.tw")</f>
        <v>gab*****8@mail.edu.tw</v>
      </c>
      <c r="E1828" s="17" t="str">
        <f>IFERROR(__xludf.DUMMYFUNCTION("""COMPUTED_VALUE"""),"苗栗縣立新港國民中小學國小部")</f>
        <v>苗栗縣立新港國民中小學國小部</v>
      </c>
      <c r="F1828" s="14" t="str">
        <f>IFERROR(__xludf.DUMMYFUNCTION("""COMPUTED_VALUE"""),"四年級")</f>
        <v>四年級</v>
      </c>
      <c r="G1828" s="14" t="str">
        <f>IFERROR(__xludf.DUMMYFUNCTION("""COMPUTED_VALUE"""),"●小禮物")</f>
        <v>●小禮物</v>
      </c>
      <c r="H1828" s="8"/>
    </row>
    <row r="1829">
      <c r="A1829" s="18"/>
      <c r="B1829" s="14">
        <f>IFERROR(__xludf.DUMMYFUNCTION("""COMPUTED_VALUE"""),1008120.0)</f>
        <v>1008120</v>
      </c>
      <c r="C1829" s="14" t="str">
        <f>IFERROR(__xludf.DUMMYFUNCTION("""COMPUTED_VALUE"""),"黃得軒")</f>
        <v>黃得軒</v>
      </c>
      <c r="D1829" s="16" t="str">
        <f>IFERROR(__xludf.DUMMYFUNCTION("""COMPUTED_VALUE"""),"jim*****113@mail.edu.tw")</f>
        <v>jim*****113@mail.edu.tw</v>
      </c>
      <c r="E1829" s="17" t="str">
        <f>IFERROR(__xludf.DUMMYFUNCTION("""COMPUTED_VALUE"""),"苗栗縣立新港國民中小學國小部")</f>
        <v>苗栗縣立新港國民中小學國小部</v>
      </c>
      <c r="F1829" s="14" t="str">
        <f>IFERROR(__xludf.DUMMYFUNCTION("""COMPUTED_VALUE"""),"四年級")</f>
        <v>四年級</v>
      </c>
      <c r="G1829" s="14" t="str">
        <f>IFERROR(__xludf.DUMMYFUNCTION("""COMPUTED_VALUE"""),"●小禮物")</f>
        <v>●小禮物</v>
      </c>
      <c r="H1829" s="8"/>
    </row>
    <row r="1830">
      <c r="A1830" s="18"/>
      <c r="B1830" s="14">
        <f>IFERROR(__xludf.DUMMYFUNCTION("""COMPUTED_VALUE"""),1008137.0)</f>
        <v>1008137</v>
      </c>
      <c r="C1830" s="14" t="str">
        <f>IFERROR(__xludf.DUMMYFUNCTION("""COMPUTED_VALUE"""),"江璇")</f>
        <v>江璇</v>
      </c>
      <c r="D1830" s="16" t="str">
        <f>IFERROR(__xludf.DUMMYFUNCTION("""COMPUTED_VALUE"""),"sar*****@mail.edu.tw")</f>
        <v>sar*****@mail.edu.tw</v>
      </c>
      <c r="E1830" s="17" t="str">
        <f>IFERROR(__xludf.DUMMYFUNCTION("""COMPUTED_VALUE"""),"苗栗縣立新港國民中小學國小部")</f>
        <v>苗栗縣立新港國民中小學國小部</v>
      </c>
      <c r="F1830" s="14" t="str">
        <f>IFERROR(__xludf.DUMMYFUNCTION("""COMPUTED_VALUE"""),"四年級")</f>
        <v>四年級</v>
      </c>
      <c r="G1830" s="14" t="str">
        <f>IFERROR(__xludf.DUMMYFUNCTION("""COMPUTED_VALUE"""),"獎狀")</f>
        <v>獎狀</v>
      </c>
      <c r="H1830" s="8"/>
    </row>
    <row r="1831">
      <c r="A1831" s="18"/>
      <c r="B1831" s="14">
        <f>IFERROR(__xludf.DUMMYFUNCTION("""COMPUTED_VALUE"""),1008160.0)</f>
        <v>1008160</v>
      </c>
      <c r="C1831" s="14" t="str">
        <f>IFERROR(__xludf.DUMMYFUNCTION("""COMPUTED_VALUE"""),"周承緯")</f>
        <v>周承緯</v>
      </c>
      <c r="D1831" s="16" t="str">
        <f>IFERROR(__xludf.DUMMYFUNCTION("""COMPUTED_VALUE"""),"ch0*****ail.edu.tw")</f>
        <v>ch0*****ail.edu.tw</v>
      </c>
      <c r="E1831" s="17" t="str">
        <f>IFERROR(__xludf.DUMMYFUNCTION("""COMPUTED_VALUE"""),"苗栗縣立新港國民中小學國小部")</f>
        <v>苗栗縣立新港國民中小學國小部</v>
      </c>
      <c r="F1831" s="14" t="str">
        <f>IFERROR(__xludf.DUMMYFUNCTION("""COMPUTED_VALUE"""),"四年級")</f>
        <v>四年級</v>
      </c>
      <c r="G1831" s="14" t="str">
        <f>IFERROR(__xludf.DUMMYFUNCTION("""COMPUTED_VALUE"""),"獎狀")</f>
        <v>獎狀</v>
      </c>
      <c r="H1831" s="8"/>
    </row>
    <row r="1832">
      <c r="A1832" s="18"/>
      <c r="B1832" s="14">
        <f>IFERROR(__xludf.DUMMYFUNCTION("""COMPUTED_VALUE"""),1008141.0)</f>
        <v>1008141</v>
      </c>
      <c r="C1832" s="14" t="str">
        <f>IFERROR(__xludf.DUMMYFUNCTION("""COMPUTED_VALUE"""),"林語婕")</f>
        <v>林語婕</v>
      </c>
      <c r="D1832" s="16" t="str">
        <f>IFERROR(__xludf.DUMMYFUNCTION("""COMPUTED_VALUE"""),"re0*****ail.edu.tw")</f>
        <v>re0*****ail.edu.tw</v>
      </c>
      <c r="E1832" s="17" t="str">
        <f>IFERROR(__xludf.DUMMYFUNCTION("""COMPUTED_VALUE"""),"苗栗縣立新港國民中小學國小部")</f>
        <v>苗栗縣立新港國民中小學國小部</v>
      </c>
      <c r="F1832" s="14" t="str">
        <f>IFERROR(__xludf.DUMMYFUNCTION("""COMPUTED_VALUE"""),"四年級")</f>
        <v>四年級</v>
      </c>
      <c r="G1832" s="14" t="str">
        <f>IFERROR(__xludf.DUMMYFUNCTION("""COMPUTED_VALUE"""),"獎狀")</f>
        <v>獎狀</v>
      </c>
      <c r="H1832" s="8"/>
    </row>
    <row r="1833">
      <c r="A1833" s="18"/>
      <c r="B1833" s="14">
        <f>IFERROR(__xludf.DUMMYFUNCTION("""COMPUTED_VALUE"""),1016920.0)</f>
        <v>1016920</v>
      </c>
      <c r="C1833" s="14" t="str">
        <f>IFERROR(__xludf.DUMMYFUNCTION("""COMPUTED_VALUE"""),"洪妘亘")</f>
        <v>洪妘亘</v>
      </c>
      <c r="D1833" s="16" t="str">
        <f>IFERROR(__xludf.DUMMYFUNCTION("""COMPUTED_VALUE"""),"emi*****2@mail.edu.tw")</f>
        <v>emi*****2@mail.edu.tw</v>
      </c>
      <c r="E1833" s="17" t="str">
        <f>IFERROR(__xludf.DUMMYFUNCTION("""COMPUTED_VALUE"""),"苗栗縣立新港國民中小學國小部")</f>
        <v>苗栗縣立新港國民中小學國小部</v>
      </c>
      <c r="F1833" s="14" t="str">
        <f>IFERROR(__xludf.DUMMYFUNCTION("""COMPUTED_VALUE"""),"四年級")</f>
        <v>四年級</v>
      </c>
      <c r="G1833" s="14" t="str">
        <f>IFERROR(__xludf.DUMMYFUNCTION("""COMPUTED_VALUE"""),"獎狀")</f>
        <v>獎狀</v>
      </c>
      <c r="H1833" s="8"/>
    </row>
    <row r="1834">
      <c r="A1834" s="18"/>
      <c r="B1834" s="14">
        <f>IFERROR(__xludf.DUMMYFUNCTION("""COMPUTED_VALUE"""),1008153.0)</f>
        <v>1008153</v>
      </c>
      <c r="C1834" s="14" t="str">
        <f>IFERROR(__xludf.DUMMYFUNCTION("""COMPUTED_VALUE"""),"翁紫芊")</f>
        <v>翁紫芊</v>
      </c>
      <c r="D1834" s="16" t="str">
        <f>IFERROR(__xludf.DUMMYFUNCTION("""COMPUTED_VALUE"""),"sop*****18@mail.edu.tw")</f>
        <v>sop*****18@mail.edu.tw</v>
      </c>
      <c r="E1834" s="17" t="str">
        <f>IFERROR(__xludf.DUMMYFUNCTION("""COMPUTED_VALUE"""),"苗栗縣立新港國民中小學國小部")</f>
        <v>苗栗縣立新港國民中小學國小部</v>
      </c>
      <c r="F1834" s="14" t="str">
        <f>IFERROR(__xludf.DUMMYFUNCTION("""COMPUTED_VALUE"""),"四年級")</f>
        <v>四年級</v>
      </c>
      <c r="G1834" s="14" t="str">
        <f>IFERROR(__xludf.DUMMYFUNCTION("""COMPUTED_VALUE"""),"獎狀")</f>
        <v>獎狀</v>
      </c>
      <c r="H1834" s="8"/>
    </row>
    <row r="1835">
      <c r="A1835" s="18"/>
      <c r="B1835" s="14">
        <f>IFERROR(__xludf.DUMMYFUNCTION("""COMPUTED_VALUE"""),1008126.0)</f>
        <v>1008126</v>
      </c>
      <c r="C1835" s="14" t="str">
        <f>IFERROR(__xludf.DUMMYFUNCTION("""COMPUTED_VALUE"""),"許宥瑜")</f>
        <v>許宥瑜</v>
      </c>
      <c r="D1835" s="16" t="str">
        <f>IFERROR(__xludf.DUMMYFUNCTION("""COMPUTED_VALUE"""),"cin*****1030301@mail.edu.tw")</f>
        <v>cin*****1030301@mail.edu.tw</v>
      </c>
      <c r="E1835" s="17" t="str">
        <f>IFERROR(__xludf.DUMMYFUNCTION("""COMPUTED_VALUE"""),"苗栗縣立新港國民中小學國小部")</f>
        <v>苗栗縣立新港國民中小學國小部</v>
      </c>
      <c r="F1835" s="14" t="str">
        <f>IFERROR(__xludf.DUMMYFUNCTION("""COMPUTED_VALUE"""),"四年級")</f>
        <v>四年級</v>
      </c>
      <c r="G1835" s="14" t="str">
        <f>IFERROR(__xludf.DUMMYFUNCTION("""COMPUTED_VALUE"""),"獎狀")</f>
        <v>獎狀</v>
      </c>
      <c r="H1835" s="8"/>
    </row>
    <row r="1836">
      <c r="A1836" s="18"/>
      <c r="B1836" s="14">
        <f>IFERROR(__xludf.DUMMYFUNCTION("""COMPUTED_VALUE"""),1008125.0)</f>
        <v>1008125</v>
      </c>
      <c r="C1836" s="14" t="str">
        <f>IFERROR(__xludf.DUMMYFUNCTION("""COMPUTED_VALUE"""),"陳詠榤")</f>
        <v>陳詠榤</v>
      </c>
      <c r="D1836" s="16" t="str">
        <f>IFERROR(__xludf.DUMMYFUNCTION("""COMPUTED_VALUE"""),"jef*****@mail.edu.tw")</f>
        <v>jef*****@mail.edu.tw</v>
      </c>
      <c r="E1836" s="17" t="str">
        <f>IFERROR(__xludf.DUMMYFUNCTION("""COMPUTED_VALUE"""),"苗栗縣立新港國民中小學國小部")</f>
        <v>苗栗縣立新港國民中小學國小部</v>
      </c>
      <c r="F1836" s="14" t="str">
        <f>IFERROR(__xludf.DUMMYFUNCTION("""COMPUTED_VALUE"""),"四年級")</f>
        <v>四年級</v>
      </c>
      <c r="G1836" s="14" t="str">
        <f>IFERROR(__xludf.DUMMYFUNCTION("""COMPUTED_VALUE"""),"獎狀")</f>
        <v>獎狀</v>
      </c>
      <c r="H1836" s="8"/>
    </row>
    <row r="1837">
      <c r="A1837" s="18"/>
      <c r="B1837" s="14">
        <f>IFERROR(__xludf.DUMMYFUNCTION("""COMPUTED_VALUE"""),1008149.0)</f>
        <v>1008149</v>
      </c>
      <c r="C1837" s="14" t="str">
        <f>IFERROR(__xludf.DUMMYFUNCTION("""COMPUTED_VALUE"""),"曾則遠")</f>
        <v>曾則遠</v>
      </c>
      <c r="D1837" s="16" t="str">
        <f>IFERROR(__xludf.DUMMYFUNCTION("""COMPUTED_VALUE"""),"jac*****@mail.edu.tw")</f>
        <v>jac*****@mail.edu.tw</v>
      </c>
      <c r="E1837" s="17" t="str">
        <f>IFERROR(__xludf.DUMMYFUNCTION("""COMPUTED_VALUE"""),"苗栗縣立新港國民中小學國小部")</f>
        <v>苗栗縣立新港國民中小學國小部</v>
      </c>
      <c r="F1837" s="14" t="str">
        <f>IFERROR(__xludf.DUMMYFUNCTION("""COMPUTED_VALUE"""),"四年級")</f>
        <v>四年級</v>
      </c>
      <c r="G1837" s="14" t="str">
        <f>IFERROR(__xludf.DUMMYFUNCTION("""COMPUTED_VALUE"""),"獎狀")</f>
        <v>獎狀</v>
      </c>
      <c r="H1837" s="8"/>
    </row>
    <row r="1838">
      <c r="A1838" s="18"/>
      <c r="B1838" s="14">
        <f>IFERROR(__xludf.DUMMYFUNCTION("""COMPUTED_VALUE"""),1008119.0)</f>
        <v>1008119</v>
      </c>
      <c r="C1838" s="14" t="str">
        <f>IFERROR(__xludf.DUMMYFUNCTION("""COMPUTED_VALUE"""),"楊凱鈞")</f>
        <v>楊凱鈞</v>
      </c>
      <c r="D1838" s="16" t="str">
        <f>IFERROR(__xludf.DUMMYFUNCTION("""COMPUTED_VALUE"""),"kay*****01@mail.edu.tw")</f>
        <v>kay*****01@mail.edu.tw</v>
      </c>
      <c r="E1838" s="17" t="str">
        <f>IFERROR(__xludf.DUMMYFUNCTION("""COMPUTED_VALUE"""),"苗栗縣立新港國民中小學國小部")</f>
        <v>苗栗縣立新港國民中小學國小部</v>
      </c>
      <c r="F1838" s="14" t="str">
        <f>IFERROR(__xludf.DUMMYFUNCTION("""COMPUTED_VALUE"""),"四年級")</f>
        <v>四年級</v>
      </c>
      <c r="G1838" s="14" t="str">
        <f>IFERROR(__xludf.DUMMYFUNCTION("""COMPUTED_VALUE"""),"獎狀")</f>
        <v>獎狀</v>
      </c>
      <c r="H1838" s="8"/>
    </row>
    <row r="1839">
      <c r="A1839" s="18"/>
      <c r="B1839" s="14">
        <f>IFERROR(__xludf.DUMMYFUNCTION("""COMPUTED_VALUE"""),1008132.0)</f>
        <v>1008132</v>
      </c>
      <c r="C1839" s="14" t="str">
        <f>IFERROR(__xludf.DUMMYFUNCTION("""COMPUTED_VALUE"""),"劉祐希")</f>
        <v>劉祐希</v>
      </c>
      <c r="D1839" s="16" t="str">
        <f>IFERROR(__xludf.DUMMYFUNCTION("""COMPUTED_VALUE"""),"sil*****02@mail.edu.tw")</f>
        <v>sil*****02@mail.edu.tw</v>
      </c>
      <c r="E1839" s="17" t="str">
        <f>IFERROR(__xludf.DUMMYFUNCTION("""COMPUTED_VALUE"""),"苗栗縣立新港國民中小學國小部")</f>
        <v>苗栗縣立新港國民中小學國小部</v>
      </c>
      <c r="F1839" s="14" t="str">
        <f>IFERROR(__xludf.DUMMYFUNCTION("""COMPUTED_VALUE"""),"四年級")</f>
        <v>四年級</v>
      </c>
      <c r="G1839" s="14" t="str">
        <f>IFERROR(__xludf.DUMMYFUNCTION("""COMPUTED_VALUE"""),"獎狀")</f>
        <v>獎狀</v>
      </c>
      <c r="H1839" s="8"/>
    </row>
    <row r="1840">
      <c r="A1840" s="18"/>
      <c r="B1840" s="14">
        <f>IFERROR(__xludf.DUMMYFUNCTION("""COMPUTED_VALUE"""),1008146.0)</f>
        <v>1008146</v>
      </c>
      <c r="C1840" s="14" t="str">
        <f>IFERROR(__xludf.DUMMYFUNCTION("""COMPUTED_VALUE"""),"鍾欣諺")</f>
        <v>鍾欣諺</v>
      </c>
      <c r="D1840" s="16" t="str">
        <f>IFERROR(__xludf.DUMMYFUNCTION("""COMPUTED_VALUE"""),"ci0*****ail.edu.tw")</f>
        <v>ci0*****ail.edu.tw</v>
      </c>
      <c r="E1840" s="17" t="str">
        <f>IFERROR(__xludf.DUMMYFUNCTION("""COMPUTED_VALUE"""),"苗栗縣立新港國民中小學國小部")</f>
        <v>苗栗縣立新港國民中小學國小部</v>
      </c>
      <c r="F1840" s="14" t="str">
        <f>IFERROR(__xludf.DUMMYFUNCTION("""COMPUTED_VALUE"""),"四年級")</f>
        <v>四年級</v>
      </c>
      <c r="G1840" s="14" t="str">
        <f>IFERROR(__xludf.DUMMYFUNCTION("""COMPUTED_VALUE"""),"獎狀")</f>
        <v>獎狀</v>
      </c>
      <c r="H1840" s="8"/>
    </row>
    <row r="1841">
      <c r="A1841" s="18"/>
      <c r="B1841" s="14">
        <f>IFERROR(__xludf.DUMMYFUNCTION("""COMPUTED_VALUE"""),1011765.0)</f>
        <v>1011765</v>
      </c>
      <c r="C1841" s="14" t="str">
        <f>IFERROR(__xludf.DUMMYFUNCTION("""COMPUTED_VALUE"""),"林宥廷")</f>
        <v>林宥廷</v>
      </c>
      <c r="D1841" s="16" t="str">
        <f>IFERROR(__xludf.DUMMYFUNCTION("""COMPUTED_VALUE"""),"ang*****6@mail.edu.tw")</f>
        <v>ang*****6@mail.edu.tw</v>
      </c>
      <c r="E1841" s="17" t="str">
        <f>IFERROR(__xludf.DUMMYFUNCTION("""COMPUTED_VALUE"""),"苗栗縣立新港國民中小學國小部")</f>
        <v>苗栗縣立新港國民中小學國小部</v>
      </c>
      <c r="F1841" s="14" t="str">
        <f>IFERROR(__xludf.DUMMYFUNCTION("""COMPUTED_VALUE"""),"四年級")</f>
        <v>四年級</v>
      </c>
      <c r="G1841" s="14" t="str">
        <f>IFERROR(__xludf.DUMMYFUNCTION("""COMPUTED_VALUE"""),"●小禮物")</f>
        <v>●小禮物</v>
      </c>
      <c r="H1841" s="8"/>
    </row>
    <row r="1842">
      <c r="A1842" s="18"/>
      <c r="B1842" s="14">
        <f>IFERROR(__xludf.DUMMYFUNCTION("""COMPUTED_VALUE"""),1011764.0)</f>
        <v>1011764</v>
      </c>
      <c r="C1842" s="14" t="str">
        <f>IFERROR(__xludf.DUMMYFUNCTION("""COMPUTED_VALUE"""),"連祐慈")</f>
        <v>連祐慈</v>
      </c>
      <c r="D1842" s="16" t="str">
        <f>IFERROR(__xludf.DUMMYFUNCTION("""COMPUTED_VALUE"""),"joa*****01@mail.edu.tw")</f>
        <v>joa*****01@mail.edu.tw</v>
      </c>
      <c r="E1842" s="17" t="str">
        <f>IFERROR(__xludf.DUMMYFUNCTION("""COMPUTED_VALUE"""),"苗栗縣立新港國民中小學國小部")</f>
        <v>苗栗縣立新港國民中小學國小部</v>
      </c>
      <c r="F1842" s="14" t="str">
        <f>IFERROR(__xludf.DUMMYFUNCTION("""COMPUTED_VALUE"""),"四年級")</f>
        <v>四年級</v>
      </c>
      <c r="G1842" s="14" t="str">
        <f>IFERROR(__xludf.DUMMYFUNCTION("""COMPUTED_VALUE"""),"●小禮物")</f>
        <v>●小禮物</v>
      </c>
      <c r="H1842" s="8"/>
    </row>
    <row r="1843">
      <c r="A1843" s="18"/>
      <c r="B1843" s="14">
        <f>IFERROR(__xludf.DUMMYFUNCTION("""COMPUTED_VALUE"""),1011749.0)</f>
        <v>1011749</v>
      </c>
      <c r="C1843" s="14" t="str">
        <f>IFERROR(__xludf.DUMMYFUNCTION("""COMPUTED_VALUE"""),"彭桀恩")</f>
        <v>彭桀恩</v>
      </c>
      <c r="D1843" s="16" t="str">
        <f>IFERROR(__xludf.DUMMYFUNCTION("""COMPUTED_VALUE"""),"jay*****mail.edu.tw")</f>
        <v>jay*****mail.edu.tw</v>
      </c>
      <c r="E1843" s="17" t="str">
        <f>IFERROR(__xludf.DUMMYFUNCTION("""COMPUTED_VALUE"""),"苗栗縣立新港國民中小學國小部")</f>
        <v>苗栗縣立新港國民中小學國小部</v>
      </c>
      <c r="F1843" s="14" t="str">
        <f>IFERROR(__xludf.DUMMYFUNCTION("""COMPUTED_VALUE"""),"四年級")</f>
        <v>四年級</v>
      </c>
      <c r="G1843" s="14" t="str">
        <f>IFERROR(__xludf.DUMMYFUNCTION("""COMPUTED_VALUE"""),"●小禮物")</f>
        <v>●小禮物</v>
      </c>
      <c r="H1843" s="8"/>
    </row>
    <row r="1844">
      <c r="A1844" s="18"/>
      <c r="B1844" s="14">
        <f>IFERROR(__xludf.DUMMYFUNCTION("""COMPUTED_VALUE"""),983397.0)</f>
        <v>983397</v>
      </c>
      <c r="C1844" s="14" t="str">
        <f>IFERROR(__xludf.DUMMYFUNCTION("""COMPUTED_VALUE"""),"羅子昊")</f>
        <v>羅子昊</v>
      </c>
      <c r="D1844" s="16" t="str">
        <f>IFERROR(__xludf.DUMMYFUNCTION("""COMPUTED_VALUE"""),"ho1*****7@mail.edu.tw")</f>
        <v>ho1*****7@mail.edu.tw</v>
      </c>
      <c r="E1844" s="17" t="str">
        <f>IFERROR(__xludf.DUMMYFUNCTION("""COMPUTED_VALUE"""),"苗栗縣立新港國民中小學國小部")</f>
        <v>苗栗縣立新港國民中小學國小部</v>
      </c>
      <c r="F1844" s="14" t="str">
        <f>IFERROR(__xludf.DUMMYFUNCTION("""COMPUTED_VALUE"""),"四年級")</f>
        <v>四年級</v>
      </c>
      <c r="G1844" s="14" t="str">
        <f>IFERROR(__xludf.DUMMYFUNCTION("""COMPUTED_VALUE"""),"●小禮物")</f>
        <v>●小禮物</v>
      </c>
      <c r="H1844" s="8"/>
    </row>
    <row r="1845">
      <c r="A1845" s="18"/>
      <c r="B1845" s="14">
        <f>IFERROR(__xludf.DUMMYFUNCTION("""COMPUTED_VALUE"""),1011753.0)</f>
        <v>1011753</v>
      </c>
      <c r="C1845" s="14" t="str">
        <f>IFERROR(__xludf.DUMMYFUNCTION("""COMPUTED_VALUE"""),"劉映妍")</f>
        <v>劉映妍</v>
      </c>
      <c r="D1845" s="16" t="str">
        <f>IFERROR(__xludf.DUMMYFUNCTION("""COMPUTED_VALUE"""),"an1*****7@mail.edu.tw")</f>
        <v>an1*****7@mail.edu.tw</v>
      </c>
      <c r="E1845" s="17" t="str">
        <f>IFERROR(__xludf.DUMMYFUNCTION("""COMPUTED_VALUE"""),"苗栗縣立新港國民中小學國小部")</f>
        <v>苗栗縣立新港國民中小學國小部</v>
      </c>
      <c r="F1845" s="14" t="str">
        <f>IFERROR(__xludf.DUMMYFUNCTION("""COMPUTED_VALUE"""),"四年級")</f>
        <v>四年級</v>
      </c>
      <c r="G1845" s="14" t="str">
        <f>IFERROR(__xludf.DUMMYFUNCTION("""COMPUTED_VALUE"""),"★禮券$1000")</f>
        <v>★禮券$1000</v>
      </c>
      <c r="H1845" s="8"/>
    </row>
    <row r="1846">
      <c r="A1846" s="18"/>
      <c r="B1846" s="14">
        <f>IFERROR(__xludf.DUMMYFUNCTION("""COMPUTED_VALUE"""),1011755.0)</f>
        <v>1011755</v>
      </c>
      <c r="C1846" s="14" t="str">
        <f>IFERROR(__xludf.DUMMYFUNCTION("""COMPUTED_VALUE"""),"張語恬")</f>
        <v>張語恬</v>
      </c>
      <c r="D1846" s="16" t="str">
        <f>IFERROR(__xludf.DUMMYFUNCTION("""COMPUTED_VALUE"""),"ivy*****mail.edu.tw")</f>
        <v>ivy*****mail.edu.tw</v>
      </c>
      <c r="E1846" s="17" t="str">
        <f>IFERROR(__xludf.DUMMYFUNCTION("""COMPUTED_VALUE"""),"苗栗縣立新港國民中小學國小部")</f>
        <v>苗栗縣立新港國民中小學國小部</v>
      </c>
      <c r="F1846" s="14" t="str">
        <f>IFERROR(__xludf.DUMMYFUNCTION("""COMPUTED_VALUE"""),"四年級")</f>
        <v>四年級</v>
      </c>
      <c r="G1846" s="14" t="str">
        <f>IFERROR(__xludf.DUMMYFUNCTION("""COMPUTED_VALUE"""),"★禮券$200")</f>
        <v>★禮券$200</v>
      </c>
      <c r="H1846" s="8"/>
    </row>
    <row r="1847">
      <c r="A1847" s="18"/>
      <c r="B1847" s="14">
        <f>IFERROR(__xludf.DUMMYFUNCTION("""COMPUTED_VALUE"""),1011763.0)</f>
        <v>1011763</v>
      </c>
      <c r="C1847" s="14" t="str">
        <f>IFERROR(__xludf.DUMMYFUNCTION("""COMPUTED_VALUE"""),"郭禹彤")</f>
        <v>郭禹彤</v>
      </c>
      <c r="D1847" s="16" t="str">
        <f>IFERROR(__xludf.DUMMYFUNCTION("""COMPUTED_VALUE"""),"zo1*****ail.edu.tw")</f>
        <v>zo1*****ail.edu.tw</v>
      </c>
      <c r="E1847" s="17" t="str">
        <f>IFERROR(__xludf.DUMMYFUNCTION("""COMPUTED_VALUE"""),"苗栗縣立新港國民中小學國小部")</f>
        <v>苗栗縣立新港國民中小學國小部</v>
      </c>
      <c r="F1847" s="14" t="str">
        <f>IFERROR(__xludf.DUMMYFUNCTION("""COMPUTED_VALUE"""),"四年級")</f>
        <v>四年級</v>
      </c>
      <c r="G1847" s="14" t="str">
        <f>IFERROR(__xludf.DUMMYFUNCTION("""COMPUTED_VALUE"""),"★禮券$200")</f>
        <v>★禮券$200</v>
      </c>
      <c r="H1847" s="8"/>
    </row>
    <row r="1848">
      <c r="A1848" s="18"/>
      <c r="B1848" s="14">
        <f>IFERROR(__xludf.DUMMYFUNCTION("""COMPUTED_VALUE"""),1011751.0)</f>
        <v>1011751</v>
      </c>
      <c r="C1848" s="14" t="str">
        <f>IFERROR(__xludf.DUMMYFUNCTION("""COMPUTED_VALUE"""),"黃宥璇")</f>
        <v>黃宥璇</v>
      </c>
      <c r="D1848" s="16" t="str">
        <f>IFERROR(__xludf.DUMMYFUNCTION("""COMPUTED_VALUE"""),"liv*****0045@mail.edu.tw")</f>
        <v>liv*****0045@mail.edu.tw</v>
      </c>
      <c r="E1848" s="17" t="str">
        <f>IFERROR(__xludf.DUMMYFUNCTION("""COMPUTED_VALUE"""),"苗栗縣立新港國民中小學國小部")</f>
        <v>苗栗縣立新港國民中小學國小部</v>
      </c>
      <c r="F1848" s="14" t="str">
        <f>IFERROR(__xludf.DUMMYFUNCTION("""COMPUTED_VALUE"""),"四年級")</f>
        <v>四年級</v>
      </c>
      <c r="G1848" s="14" t="str">
        <f>IFERROR(__xludf.DUMMYFUNCTION("""COMPUTED_VALUE"""),"★禮券$200")</f>
        <v>★禮券$200</v>
      </c>
      <c r="H1848" s="8"/>
    </row>
    <row r="1849">
      <c r="A1849" s="18"/>
      <c r="B1849" s="14">
        <f>IFERROR(__xludf.DUMMYFUNCTION("""COMPUTED_VALUE"""),1011767.0)</f>
        <v>1011767</v>
      </c>
      <c r="C1849" s="14" t="str">
        <f>IFERROR(__xludf.DUMMYFUNCTION("""COMPUTED_VALUE"""),"古如君")</f>
        <v>古如君</v>
      </c>
      <c r="D1849" s="16" t="str">
        <f>IFERROR(__xludf.DUMMYFUNCTION("""COMPUTED_VALUE"""),"ly0*****ail.edu.tw")</f>
        <v>ly0*****ail.edu.tw</v>
      </c>
      <c r="E1849" s="17" t="str">
        <f>IFERROR(__xludf.DUMMYFUNCTION("""COMPUTED_VALUE"""),"苗栗縣立新港國民中小學國小部")</f>
        <v>苗栗縣立新港國民中小學國小部</v>
      </c>
      <c r="F1849" s="14" t="str">
        <f>IFERROR(__xludf.DUMMYFUNCTION("""COMPUTED_VALUE"""),"四年級")</f>
        <v>四年級</v>
      </c>
      <c r="G1849" s="14" t="str">
        <f>IFERROR(__xludf.DUMMYFUNCTION("""COMPUTED_VALUE"""),"獎狀")</f>
        <v>獎狀</v>
      </c>
      <c r="H1849" s="8"/>
    </row>
    <row r="1850">
      <c r="A1850" s="18"/>
      <c r="B1850" s="14">
        <f>IFERROR(__xludf.DUMMYFUNCTION("""COMPUTED_VALUE"""),1011758.0)</f>
        <v>1011758</v>
      </c>
      <c r="C1850" s="14" t="str">
        <f>IFERROR(__xludf.DUMMYFUNCTION("""COMPUTED_VALUE"""),"杜奕霈")</f>
        <v>杜奕霈</v>
      </c>
      <c r="D1850" s="16" t="str">
        <f>IFERROR(__xludf.DUMMYFUNCTION("""COMPUTED_VALUE"""),"de1*****7@mail.edu.tw")</f>
        <v>de1*****7@mail.edu.tw</v>
      </c>
      <c r="E1850" s="17" t="str">
        <f>IFERROR(__xludf.DUMMYFUNCTION("""COMPUTED_VALUE"""),"苗栗縣立新港國民中小學國小部")</f>
        <v>苗栗縣立新港國民中小學國小部</v>
      </c>
      <c r="F1850" s="14" t="str">
        <f>IFERROR(__xludf.DUMMYFUNCTION("""COMPUTED_VALUE"""),"四年級")</f>
        <v>四年級</v>
      </c>
      <c r="G1850" s="14" t="str">
        <f>IFERROR(__xludf.DUMMYFUNCTION("""COMPUTED_VALUE"""),"獎狀")</f>
        <v>獎狀</v>
      </c>
      <c r="H1850" s="8"/>
    </row>
    <row r="1851">
      <c r="A1851" s="18"/>
      <c r="B1851" s="14">
        <f>IFERROR(__xludf.DUMMYFUNCTION("""COMPUTED_VALUE"""),1011766.0)</f>
        <v>1011766</v>
      </c>
      <c r="C1851" s="14" t="str">
        <f>IFERROR(__xludf.DUMMYFUNCTION("""COMPUTED_VALUE"""),"邱湞淯")</f>
        <v>邱湞淯</v>
      </c>
      <c r="D1851" s="16" t="str">
        <f>IFERROR(__xludf.DUMMYFUNCTION("""COMPUTED_VALUE"""),"yu1*****7@mail.edu.tw")</f>
        <v>yu1*****7@mail.edu.tw</v>
      </c>
      <c r="E1851" s="17" t="str">
        <f>IFERROR(__xludf.DUMMYFUNCTION("""COMPUTED_VALUE"""),"苗栗縣立新港國民中小學國小部")</f>
        <v>苗栗縣立新港國民中小學國小部</v>
      </c>
      <c r="F1851" s="14" t="str">
        <f>IFERROR(__xludf.DUMMYFUNCTION("""COMPUTED_VALUE"""),"四年級")</f>
        <v>四年級</v>
      </c>
      <c r="G1851" s="14" t="str">
        <f>IFERROR(__xludf.DUMMYFUNCTION("""COMPUTED_VALUE"""),"獎狀")</f>
        <v>獎狀</v>
      </c>
      <c r="H1851" s="8"/>
    </row>
    <row r="1852">
      <c r="A1852" s="18"/>
      <c r="B1852" s="14">
        <f>IFERROR(__xludf.DUMMYFUNCTION("""COMPUTED_VALUE"""),1011759.0)</f>
        <v>1011759</v>
      </c>
      <c r="C1852" s="14" t="str">
        <f>IFERROR(__xludf.DUMMYFUNCTION("""COMPUTED_VALUE"""),"張羽承")</f>
        <v>張羽承</v>
      </c>
      <c r="D1852" s="16" t="str">
        <f>IFERROR(__xludf.DUMMYFUNCTION("""COMPUTED_VALUE"""),"et1*****7@mail.edu.tw")</f>
        <v>et1*****7@mail.edu.tw</v>
      </c>
      <c r="E1852" s="17" t="str">
        <f>IFERROR(__xludf.DUMMYFUNCTION("""COMPUTED_VALUE"""),"苗栗縣立新港國民中小學國小部")</f>
        <v>苗栗縣立新港國民中小學國小部</v>
      </c>
      <c r="F1852" s="14" t="str">
        <f>IFERROR(__xludf.DUMMYFUNCTION("""COMPUTED_VALUE"""),"四年級")</f>
        <v>四年級</v>
      </c>
      <c r="G1852" s="14" t="str">
        <f>IFERROR(__xludf.DUMMYFUNCTION("""COMPUTED_VALUE"""),"獎狀")</f>
        <v>獎狀</v>
      </c>
      <c r="H1852" s="8"/>
    </row>
    <row r="1853">
      <c r="A1853" s="18"/>
      <c r="B1853" s="14">
        <f>IFERROR(__xludf.DUMMYFUNCTION("""COMPUTED_VALUE"""),1011750.0)</f>
        <v>1011750</v>
      </c>
      <c r="C1853" s="14" t="str">
        <f>IFERROR(__xludf.DUMMYFUNCTION("""COMPUTED_VALUE"""),"張辰宇")</f>
        <v>張辰宇</v>
      </c>
      <c r="D1853" s="16" t="str">
        <f>IFERROR(__xludf.DUMMYFUNCTION("""COMPUTED_VALUE"""),"yo1*****7@mail.edu.tw")</f>
        <v>yo1*****7@mail.edu.tw</v>
      </c>
      <c r="E1853" s="17" t="str">
        <f>IFERROR(__xludf.DUMMYFUNCTION("""COMPUTED_VALUE"""),"苗栗縣立新港國民中小學國小部")</f>
        <v>苗栗縣立新港國民中小學國小部</v>
      </c>
      <c r="F1853" s="14" t="str">
        <f>IFERROR(__xludf.DUMMYFUNCTION("""COMPUTED_VALUE"""),"四年級")</f>
        <v>四年級</v>
      </c>
      <c r="G1853" s="14" t="str">
        <f>IFERROR(__xludf.DUMMYFUNCTION("""COMPUTED_VALUE"""),"獎狀")</f>
        <v>獎狀</v>
      </c>
      <c r="H1853" s="8"/>
    </row>
    <row r="1854">
      <c r="A1854" s="18"/>
      <c r="B1854" s="14">
        <f>IFERROR(__xludf.DUMMYFUNCTION("""COMPUTED_VALUE"""),1011754.0)</f>
        <v>1011754</v>
      </c>
      <c r="C1854" s="14" t="str">
        <f>IFERROR(__xludf.DUMMYFUNCTION("""COMPUTED_VALUE"""),"張瑀恩")</f>
        <v>張瑀恩</v>
      </c>
      <c r="D1854" s="16" t="str">
        <f>IFERROR(__xludf.DUMMYFUNCTION("""COMPUTED_VALUE"""),"el1*****7@mail.edu.tw")</f>
        <v>el1*****7@mail.edu.tw</v>
      </c>
      <c r="E1854" s="17" t="str">
        <f>IFERROR(__xludf.DUMMYFUNCTION("""COMPUTED_VALUE"""),"苗栗縣立新港國民中小學國小部")</f>
        <v>苗栗縣立新港國民中小學國小部</v>
      </c>
      <c r="F1854" s="14" t="str">
        <f>IFERROR(__xludf.DUMMYFUNCTION("""COMPUTED_VALUE"""),"四年級")</f>
        <v>四年級</v>
      </c>
      <c r="G1854" s="14" t="str">
        <f>IFERROR(__xludf.DUMMYFUNCTION("""COMPUTED_VALUE"""),"獎狀")</f>
        <v>獎狀</v>
      </c>
      <c r="H1854" s="8"/>
    </row>
    <row r="1855">
      <c r="A1855" s="18"/>
      <c r="B1855" s="14">
        <f>IFERROR(__xludf.DUMMYFUNCTION("""COMPUTED_VALUE"""),1011752.0)</f>
        <v>1011752</v>
      </c>
      <c r="C1855" s="14" t="str">
        <f>IFERROR(__xludf.DUMMYFUNCTION("""COMPUTED_VALUE"""),"陳采君")</f>
        <v>陳采君</v>
      </c>
      <c r="D1855" s="16" t="str">
        <f>IFERROR(__xludf.DUMMYFUNCTION("""COMPUTED_VALUE"""),"kel*****51005@mail.edu.tw")</f>
        <v>kel*****51005@mail.edu.tw</v>
      </c>
      <c r="E1855" s="17" t="str">
        <f>IFERROR(__xludf.DUMMYFUNCTION("""COMPUTED_VALUE"""),"苗栗縣立新港國民中小學國小部")</f>
        <v>苗栗縣立新港國民中小學國小部</v>
      </c>
      <c r="F1855" s="14" t="str">
        <f>IFERROR(__xludf.DUMMYFUNCTION("""COMPUTED_VALUE"""),"四年級")</f>
        <v>四年級</v>
      </c>
      <c r="G1855" s="14" t="str">
        <f>IFERROR(__xludf.DUMMYFUNCTION("""COMPUTED_VALUE"""),"獎狀")</f>
        <v>獎狀</v>
      </c>
      <c r="H1855" s="8"/>
    </row>
    <row r="1856">
      <c r="A1856" s="18"/>
      <c r="B1856" s="14">
        <f>IFERROR(__xludf.DUMMYFUNCTION("""COMPUTED_VALUE"""),894366.0)</f>
        <v>894366</v>
      </c>
      <c r="C1856" s="14" t="str">
        <f>IFERROR(__xludf.DUMMYFUNCTION("""COMPUTED_VALUE"""),"圍傑游")</f>
        <v>圍傑游</v>
      </c>
      <c r="D1856" s="16" t="str">
        <f>IFERROR(__xludf.DUMMYFUNCTION("""COMPUTED_VALUE"""),"je1*****7@mail.edu.tw")</f>
        <v>je1*****7@mail.edu.tw</v>
      </c>
      <c r="E1856" s="17" t="str">
        <f>IFERROR(__xludf.DUMMYFUNCTION("""COMPUTED_VALUE"""),"苗栗縣立新港國民中小學國小部")</f>
        <v>苗栗縣立新港國民中小學國小部</v>
      </c>
      <c r="F1856" s="14" t="str">
        <f>IFERROR(__xludf.DUMMYFUNCTION("""COMPUTED_VALUE"""),"四年級")</f>
        <v>四年級</v>
      </c>
      <c r="G1856" s="14" t="str">
        <f>IFERROR(__xludf.DUMMYFUNCTION("""COMPUTED_VALUE"""),"獎狀")</f>
        <v>獎狀</v>
      </c>
      <c r="H1856" s="8"/>
    </row>
    <row r="1857">
      <c r="A1857" s="18"/>
      <c r="B1857" s="14">
        <f>IFERROR(__xludf.DUMMYFUNCTION("""COMPUTED_VALUE"""),1011762.0)</f>
        <v>1011762</v>
      </c>
      <c r="C1857" s="14" t="str">
        <f>IFERROR(__xludf.DUMMYFUNCTION("""COMPUTED_VALUE"""),"彭宥翔")</f>
        <v>彭宥翔</v>
      </c>
      <c r="D1857" s="16" t="str">
        <f>IFERROR(__xludf.DUMMYFUNCTION("""COMPUTED_VALUE"""),"tc.*****9@mail.edu.tw")</f>
        <v>tc.*****9@mail.edu.tw</v>
      </c>
      <c r="E1857" s="17" t="str">
        <f>IFERROR(__xludf.DUMMYFUNCTION("""COMPUTED_VALUE"""),"苗栗縣立新港國民中小學國小部")</f>
        <v>苗栗縣立新港國民中小學國小部</v>
      </c>
      <c r="F1857" s="14" t="str">
        <f>IFERROR(__xludf.DUMMYFUNCTION("""COMPUTED_VALUE"""),"四年級")</f>
        <v>四年級</v>
      </c>
      <c r="G1857" s="14" t="str">
        <f>IFERROR(__xludf.DUMMYFUNCTION("""COMPUTED_VALUE"""),"獎狀")</f>
        <v>獎狀</v>
      </c>
      <c r="H1857" s="8"/>
    </row>
    <row r="1858">
      <c r="A1858" s="18"/>
      <c r="B1858" s="14">
        <f>IFERROR(__xludf.DUMMYFUNCTION("""COMPUTED_VALUE"""),1011768.0)</f>
        <v>1011768</v>
      </c>
      <c r="C1858" s="14" t="str">
        <f>IFERROR(__xludf.DUMMYFUNCTION("""COMPUTED_VALUE"""),"黃雯萱")</f>
        <v>黃雯萱</v>
      </c>
      <c r="D1858" s="16" t="str">
        <f>IFERROR(__xludf.DUMMYFUNCTION("""COMPUTED_VALUE"""),"ru0*****ail.edu.tw")</f>
        <v>ru0*****ail.edu.tw</v>
      </c>
      <c r="E1858" s="17" t="str">
        <f>IFERROR(__xludf.DUMMYFUNCTION("""COMPUTED_VALUE"""),"苗栗縣立新港國民中小學國小部")</f>
        <v>苗栗縣立新港國民中小學國小部</v>
      </c>
      <c r="F1858" s="14" t="str">
        <f>IFERROR(__xludf.DUMMYFUNCTION("""COMPUTED_VALUE"""),"四年級")</f>
        <v>四年級</v>
      </c>
      <c r="G1858" s="14" t="str">
        <f>IFERROR(__xludf.DUMMYFUNCTION("""COMPUTED_VALUE"""),"獎狀")</f>
        <v>獎狀</v>
      </c>
      <c r="H1858" s="8"/>
    </row>
    <row r="1859">
      <c r="A1859" s="18"/>
      <c r="B1859" s="14">
        <f>IFERROR(__xludf.DUMMYFUNCTION("""COMPUTED_VALUE"""),1011771.0)</f>
        <v>1011771</v>
      </c>
      <c r="C1859" s="14" t="str">
        <f>IFERROR(__xludf.DUMMYFUNCTION("""COMPUTED_VALUE"""),"黃榆坤")</f>
        <v>黃榆坤</v>
      </c>
      <c r="D1859" s="16" t="str">
        <f>IFERROR(__xludf.DUMMYFUNCTION("""COMPUTED_VALUE"""),"ton*****@mail.edu.tw")</f>
        <v>ton*****@mail.edu.tw</v>
      </c>
      <c r="E1859" s="17" t="str">
        <f>IFERROR(__xludf.DUMMYFUNCTION("""COMPUTED_VALUE"""),"苗栗縣立新港國民中小學國小部")</f>
        <v>苗栗縣立新港國民中小學國小部</v>
      </c>
      <c r="F1859" s="14" t="str">
        <f>IFERROR(__xludf.DUMMYFUNCTION("""COMPUTED_VALUE"""),"四年級")</f>
        <v>四年級</v>
      </c>
      <c r="G1859" s="14" t="str">
        <f>IFERROR(__xludf.DUMMYFUNCTION("""COMPUTED_VALUE"""),"獎狀")</f>
        <v>獎狀</v>
      </c>
      <c r="H1859" s="8"/>
    </row>
    <row r="1860">
      <c r="A1860" s="18"/>
      <c r="B1860" s="14">
        <f>IFERROR(__xludf.DUMMYFUNCTION("""COMPUTED_VALUE"""),1008140.0)</f>
        <v>1008140</v>
      </c>
      <c r="C1860" s="14" t="str">
        <f>IFERROR(__xludf.DUMMYFUNCTION("""COMPUTED_VALUE"""),"徐子喻")</f>
        <v>徐子喻</v>
      </c>
      <c r="D1860" s="16" t="str">
        <f>IFERROR(__xludf.DUMMYFUNCTION("""COMPUTED_VALUE"""),"ju1*****ail.edu.tw")</f>
        <v>ju1*****ail.edu.tw</v>
      </c>
      <c r="E1860" s="17" t="str">
        <f>IFERROR(__xludf.DUMMYFUNCTION("""COMPUTED_VALUE"""),"苗栗縣立新港國民中小學國小部")</f>
        <v>苗栗縣立新港國民中小學國小部</v>
      </c>
      <c r="F1860" s="14" t="str">
        <f>IFERROR(__xludf.DUMMYFUNCTION("""COMPUTED_VALUE"""),"四年級")</f>
        <v>四年級</v>
      </c>
      <c r="G1860" s="14" t="str">
        <f>IFERROR(__xludf.DUMMYFUNCTION("""COMPUTED_VALUE"""),"獎狀")</f>
        <v>獎狀</v>
      </c>
      <c r="H1860" s="8"/>
    </row>
    <row r="1861">
      <c r="A1861" s="18"/>
      <c r="B1861" s="14">
        <f>IFERROR(__xludf.DUMMYFUNCTION("""COMPUTED_VALUE"""),532859.0)</f>
        <v>532859</v>
      </c>
      <c r="C1861" s="14" t="str">
        <f>IFERROR(__xludf.DUMMYFUNCTION("""COMPUTED_VALUE"""),"彭妍熹")</f>
        <v>彭妍熹</v>
      </c>
      <c r="D1861" s="16" t="str">
        <f>IFERROR(__xludf.DUMMYFUNCTION("""COMPUTED_VALUE"""),"yen*****60@mail.edu.tw")</f>
        <v>yen*****60@mail.edu.tw</v>
      </c>
      <c r="E1861" s="17" t="str">
        <f>IFERROR(__xludf.DUMMYFUNCTION("""COMPUTED_VALUE"""),"苗栗縣立新港國民中小學國小部")</f>
        <v>苗栗縣立新港國民中小學國小部</v>
      </c>
      <c r="F1861" s="14" t="str">
        <f>IFERROR(__xludf.DUMMYFUNCTION("""COMPUTED_VALUE"""),"五年級")</f>
        <v>五年級</v>
      </c>
      <c r="G1861" s="14" t="str">
        <f>IFERROR(__xludf.DUMMYFUNCTION("""COMPUTED_VALUE"""),"獎狀")</f>
        <v>獎狀</v>
      </c>
      <c r="H1861" s="8"/>
    </row>
    <row r="1862">
      <c r="A1862" s="18"/>
      <c r="B1862" s="14">
        <f>IFERROR(__xludf.DUMMYFUNCTION("""COMPUTED_VALUE"""),514010.0)</f>
        <v>514010</v>
      </c>
      <c r="C1862" s="14" t="str">
        <f>IFERROR(__xludf.DUMMYFUNCTION("""COMPUTED_VALUE"""),"謝雨軒")</f>
        <v>謝雨軒</v>
      </c>
      <c r="D1862" s="16" t="str">
        <f>IFERROR(__xludf.DUMMYFUNCTION("""COMPUTED_VALUE"""),"sar*****arah@mail.edu.tw")</f>
        <v>sar*****arah@mail.edu.tw</v>
      </c>
      <c r="E1862" s="17" t="str">
        <f>IFERROR(__xludf.DUMMYFUNCTION("""COMPUTED_VALUE"""),"苗栗縣立新港國民中小學國小部")</f>
        <v>苗栗縣立新港國民中小學國小部</v>
      </c>
      <c r="F1862" s="14" t="str">
        <f>IFERROR(__xludf.DUMMYFUNCTION("""COMPUTED_VALUE"""),"五年級")</f>
        <v>五年級</v>
      </c>
      <c r="G1862" s="14" t="str">
        <f>IFERROR(__xludf.DUMMYFUNCTION("""COMPUTED_VALUE"""),"獎狀")</f>
        <v>獎狀</v>
      </c>
      <c r="H1862" s="8"/>
    </row>
    <row r="1863">
      <c r="A1863" s="18"/>
      <c r="B1863" s="14">
        <f>IFERROR(__xludf.DUMMYFUNCTION("""COMPUTED_VALUE"""),516367.0)</f>
        <v>516367</v>
      </c>
      <c r="C1863" s="14" t="str">
        <f>IFERROR(__xludf.DUMMYFUNCTION("""COMPUTED_VALUE"""),"張皓誌")</f>
        <v>張皓誌</v>
      </c>
      <c r="D1863" s="16" t="str">
        <f>IFERROR(__xludf.DUMMYFUNCTION("""COMPUTED_VALUE"""),"s10*****mail.edu.tw")</f>
        <v>s10*****mail.edu.tw</v>
      </c>
      <c r="E1863" s="17" t="str">
        <f>IFERROR(__xludf.DUMMYFUNCTION("""COMPUTED_VALUE"""),"苗栗縣立新港國民中小學國小部")</f>
        <v>苗栗縣立新港國民中小學國小部</v>
      </c>
      <c r="F1863" s="14" t="str">
        <f>IFERROR(__xludf.DUMMYFUNCTION("""COMPUTED_VALUE"""),"五年級")</f>
        <v>五年級</v>
      </c>
      <c r="G1863" s="14" t="str">
        <f>IFERROR(__xludf.DUMMYFUNCTION("""COMPUTED_VALUE"""),"●小禮物")</f>
        <v>●小禮物</v>
      </c>
      <c r="H1863" s="8"/>
    </row>
    <row r="1864">
      <c r="A1864" s="18"/>
      <c r="B1864" s="14">
        <f>IFERROR(__xludf.DUMMYFUNCTION("""COMPUTED_VALUE"""),513923.0)</f>
        <v>513923</v>
      </c>
      <c r="C1864" s="14" t="str">
        <f>IFERROR(__xludf.DUMMYFUNCTION("""COMPUTED_VALUE"""),"陳孝昕")</f>
        <v>陳孝昕</v>
      </c>
      <c r="D1864" s="16" t="str">
        <f>IFERROR(__xludf.DUMMYFUNCTION("""COMPUTED_VALUE"""),"tim*****11@mail.edu.tw")</f>
        <v>tim*****11@mail.edu.tw</v>
      </c>
      <c r="E1864" s="17" t="str">
        <f>IFERROR(__xludf.DUMMYFUNCTION("""COMPUTED_VALUE"""),"苗栗縣立新港國民中小學國小部")</f>
        <v>苗栗縣立新港國民中小學國小部</v>
      </c>
      <c r="F1864" s="14" t="str">
        <f>IFERROR(__xludf.DUMMYFUNCTION("""COMPUTED_VALUE"""),"五年級")</f>
        <v>五年級</v>
      </c>
      <c r="G1864" s="14" t="str">
        <f>IFERROR(__xludf.DUMMYFUNCTION("""COMPUTED_VALUE"""),"●小禮物")</f>
        <v>●小禮物</v>
      </c>
      <c r="H1864" s="8"/>
    </row>
    <row r="1865">
      <c r="A1865" s="18"/>
      <c r="B1865" s="14">
        <f>IFERROR(__xludf.DUMMYFUNCTION("""COMPUTED_VALUE"""),514051.0)</f>
        <v>514051</v>
      </c>
      <c r="C1865" s="14" t="str">
        <f>IFERROR(__xludf.DUMMYFUNCTION("""COMPUTED_VALUE"""),"曾湘蓉")</f>
        <v>曾湘蓉</v>
      </c>
      <c r="D1865" s="16" t="str">
        <f>IFERROR(__xludf.DUMMYFUNCTION("""COMPUTED_VALUE"""),"s10*****@mail.edu.tw")</f>
        <v>s10*****@mail.edu.tw</v>
      </c>
      <c r="E1865" s="17" t="str">
        <f>IFERROR(__xludf.DUMMYFUNCTION("""COMPUTED_VALUE"""),"苗栗縣立新港國民中小學國小部")</f>
        <v>苗栗縣立新港國民中小學國小部</v>
      </c>
      <c r="F1865" s="14" t="str">
        <f>IFERROR(__xludf.DUMMYFUNCTION("""COMPUTED_VALUE"""),"五年級")</f>
        <v>五年級</v>
      </c>
      <c r="G1865" s="14" t="str">
        <f>IFERROR(__xludf.DUMMYFUNCTION("""COMPUTED_VALUE"""),"●小禮物")</f>
        <v>●小禮物</v>
      </c>
      <c r="H1865" s="8"/>
    </row>
    <row r="1866">
      <c r="A1866" s="18"/>
      <c r="B1866" s="14">
        <f>IFERROR(__xludf.DUMMYFUNCTION("""COMPUTED_VALUE"""),513967.0)</f>
        <v>513967</v>
      </c>
      <c r="C1866" s="14" t="str">
        <f>IFERROR(__xludf.DUMMYFUNCTION("""COMPUTED_VALUE"""),"黃聖銓")</f>
        <v>黃聖銓</v>
      </c>
      <c r="D1866" s="16" t="str">
        <f>IFERROR(__xludf.DUMMYFUNCTION("""COMPUTED_VALUE"""),"ton*****r010019@mail.edu.tw")</f>
        <v>ton*****r010019@mail.edu.tw</v>
      </c>
      <c r="E1866" s="17" t="str">
        <f>IFERROR(__xludf.DUMMYFUNCTION("""COMPUTED_VALUE"""),"苗栗縣立新港國民中小學國小部")</f>
        <v>苗栗縣立新港國民中小學國小部</v>
      </c>
      <c r="F1866" s="14" t="str">
        <f>IFERROR(__xludf.DUMMYFUNCTION("""COMPUTED_VALUE"""),"五年級")</f>
        <v>五年級</v>
      </c>
      <c r="G1866" s="14" t="str">
        <f>IFERROR(__xludf.DUMMYFUNCTION("""COMPUTED_VALUE"""),"●小禮物")</f>
        <v>●小禮物</v>
      </c>
      <c r="H1866" s="8"/>
    </row>
    <row r="1867">
      <c r="A1867" s="18"/>
      <c r="B1867" s="14">
        <f>IFERROR(__xludf.DUMMYFUNCTION("""COMPUTED_VALUE"""),510827.0)</f>
        <v>510827</v>
      </c>
      <c r="C1867" s="14" t="str">
        <f>IFERROR(__xludf.DUMMYFUNCTION("""COMPUTED_VALUE"""),"劉浩毅")</f>
        <v>劉浩毅</v>
      </c>
      <c r="D1867" s="16" t="str">
        <f>IFERROR(__xludf.DUMMYFUNCTION("""COMPUTED_VALUE"""),"rob*****t1217@mail.edu.tw")</f>
        <v>rob*****t1217@mail.edu.tw</v>
      </c>
      <c r="E1867" s="17" t="str">
        <f>IFERROR(__xludf.DUMMYFUNCTION("""COMPUTED_VALUE"""),"苗栗縣立新港國民中小學國小部")</f>
        <v>苗栗縣立新港國民中小學國小部</v>
      </c>
      <c r="F1867" s="14" t="str">
        <f>IFERROR(__xludf.DUMMYFUNCTION("""COMPUTED_VALUE"""),"五年級")</f>
        <v>五年級</v>
      </c>
      <c r="G1867" s="14" t="str">
        <f>IFERROR(__xludf.DUMMYFUNCTION("""COMPUTED_VALUE"""),"●小禮物")</f>
        <v>●小禮物</v>
      </c>
      <c r="H1867" s="8"/>
    </row>
    <row r="1868">
      <c r="A1868" s="18"/>
      <c r="B1868" s="14">
        <f>IFERROR(__xludf.DUMMYFUNCTION("""COMPUTED_VALUE"""),488671.0)</f>
        <v>488671</v>
      </c>
      <c r="C1868" s="14" t="str">
        <f>IFERROR(__xludf.DUMMYFUNCTION("""COMPUTED_VALUE"""),"蘇睿哲")</f>
        <v>蘇睿哲</v>
      </c>
      <c r="D1868" s="16" t="str">
        <f>IFERROR(__xludf.DUMMYFUNCTION("""COMPUTED_VALUE"""),"mlc*****8107070@mail.edu.tw")</f>
        <v>mlc*****8107070@mail.edu.tw</v>
      </c>
      <c r="E1868" s="17" t="str">
        <f>IFERROR(__xludf.DUMMYFUNCTION("""COMPUTED_VALUE"""),"苗栗縣立新港國民中小學國小部")</f>
        <v>苗栗縣立新港國民中小學國小部</v>
      </c>
      <c r="F1868" s="14" t="str">
        <f>IFERROR(__xludf.DUMMYFUNCTION("""COMPUTED_VALUE"""),"五年級")</f>
        <v>五年級</v>
      </c>
      <c r="G1868" s="14" t="str">
        <f>IFERROR(__xludf.DUMMYFUNCTION("""COMPUTED_VALUE"""),"●小禮物")</f>
        <v>●小禮物</v>
      </c>
      <c r="H1868" s="8"/>
    </row>
    <row r="1869">
      <c r="A1869" s="18"/>
      <c r="B1869" s="14">
        <f>IFERROR(__xludf.DUMMYFUNCTION("""COMPUTED_VALUE"""),514126.0)</f>
        <v>514126</v>
      </c>
      <c r="C1869" s="14" t="str">
        <f>IFERROR(__xludf.DUMMYFUNCTION("""COMPUTED_VALUE"""),"江子誠")</f>
        <v>江子誠</v>
      </c>
      <c r="D1869" s="16" t="str">
        <f>IFERROR(__xludf.DUMMYFUNCTION("""COMPUTED_VALUE"""),"fis*****mail.edu.tw")</f>
        <v>fis*****mail.edu.tw</v>
      </c>
      <c r="E1869" s="17" t="str">
        <f>IFERROR(__xludf.DUMMYFUNCTION("""COMPUTED_VALUE"""),"苗栗縣立新港國民中小學國小部")</f>
        <v>苗栗縣立新港國民中小學國小部</v>
      </c>
      <c r="F1869" s="14" t="str">
        <f>IFERROR(__xludf.DUMMYFUNCTION("""COMPUTED_VALUE"""),"五年級")</f>
        <v>五年級</v>
      </c>
      <c r="G1869" s="14" t="str">
        <f>IFERROR(__xludf.DUMMYFUNCTION("""COMPUTED_VALUE"""),"獎狀")</f>
        <v>獎狀</v>
      </c>
      <c r="H1869" s="8"/>
    </row>
    <row r="1870">
      <c r="A1870" s="18"/>
      <c r="B1870" s="14">
        <f>IFERROR(__xludf.DUMMYFUNCTION("""COMPUTED_VALUE"""),514123.0)</f>
        <v>514123</v>
      </c>
      <c r="C1870" s="14" t="str">
        <f>IFERROR(__xludf.DUMMYFUNCTION("""COMPUTED_VALUE"""),"周芳羽")</f>
        <v>周芳羽</v>
      </c>
      <c r="D1870" s="16" t="str">
        <f>IFERROR(__xludf.DUMMYFUNCTION("""COMPUTED_VALUE"""),"oli*****29@mail.edu.tw")</f>
        <v>oli*****29@mail.edu.tw</v>
      </c>
      <c r="E1870" s="17" t="str">
        <f>IFERROR(__xludf.DUMMYFUNCTION("""COMPUTED_VALUE"""),"苗栗縣立新港國民中小學國小部")</f>
        <v>苗栗縣立新港國民中小學國小部</v>
      </c>
      <c r="F1870" s="14" t="str">
        <f>IFERROR(__xludf.DUMMYFUNCTION("""COMPUTED_VALUE"""),"五年級")</f>
        <v>五年級</v>
      </c>
      <c r="G1870" s="14" t="str">
        <f>IFERROR(__xludf.DUMMYFUNCTION("""COMPUTED_VALUE"""),"獎狀")</f>
        <v>獎狀</v>
      </c>
      <c r="H1870" s="8"/>
    </row>
    <row r="1871">
      <c r="A1871" s="18"/>
      <c r="B1871" s="14">
        <f>IFERROR(__xludf.DUMMYFUNCTION("""COMPUTED_VALUE"""),514135.0)</f>
        <v>514135</v>
      </c>
      <c r="C1871" s="14" t="str">
        <f>IFERROR(__xludf.DUMMYFUNCTION("""COMPUTED_VALUE"""),"周惠裙")</f>
        <v>周惠裙</v>
      </c>
      <c r="D1871" s="16" t="str">
        <f>IFERROR(__xludf.DUMMYFUNCTION("""COMPUTED_VALUE"""),"amy*****829@mail.edu.tw")</f>
        <v>amy*****829@mail.edu.tw</v>
      </c>
      <c r="E1871" s="17" t="str">
        <f>IFERROR(__xludf.DUMMYFUNCTION("""COMPUTED_VALUE"""),"苗栗縣立新港國民中小學國小部")</f>
        <v>苗栗縣立新港國民中小學國小部</v>
      </c>
      <c r="F1871" s="14" t="str">
        <f>IFERROR(__xludf.DUMMYFUNCTION("""COMPUTED_VALUE"""),"五年級")</f>
        <v>五年級</v>
      </c>
      <c r="G1871" s="14" t="str">
        <f>IFERROR(__xludf.DUMMYFUNCTION("""COMPUTED_VALUE"""),"獎狀")</f>
        <v>獎狀</v>
      </c>
      <c r="H1871" s="8"/>
    </row>
    <row r="1872">
      <c r="A1872" s="18"/>
      <c r="B1872" s="14">
        <f>IFERROR(__xludf.DUMMYFUNCTION("""COMPUTED_VALUE"""),514130.0)</f>
        <v>514130</v>
      </c>
      <c r="C1872" s="14" t="str">
        <f>IFERROR(__xludf.DUMMYFUNCTION("""COMPUTED_VALUE"""),"林采薇")</f>
        <v>林采薇</v>
      </c>
      <c r="D1872" s="16" t="str">
        <f>IFERROR(__xludf.DUMMYFUNCTION("""COMPUTED_VALUE"""),"win*****5@mail.edu.tw")</f>
        <v>win*****5@mail.edu.tw</v>
      </c>
      <c r="E1872" s="17" t="str">
        <f>IFERROR(__xludf.DUMMYFUNCTION("""COMPUTED_VALUE"""),"苗栗縣立新港國民中小學國小部")</f>
        <v>苗栗縣立新港國民中小學國小部</v>
      </c>
      <c r="F1872" s="14" t="str">
        <f>IFERROR(__xludf.DUMMYFUNCTION("""COMPUTED_VALUE"""),"五年級")</f>
        <v>五年級</v>
      </c>
      <c r="G1872" s="14" t="str">
        <f>IFERROR(__xludf.DUMMYFUNCTION("""COMPUTED_VALUE"""),"獎狀")</f>
        <v>獎狀</v>
      </c>
      <c r="H1872" s="8"/>
    </row>
    <row r="1873">
      <c r="A1873" s="18"/>
      <c r="B1873" s="14">
        <f>IFERROR(__xludf.DUMMYFUNCTION("""COMPUTED_VALUE"""),513948.0)</f>
        <v>513948</v>
      </c>
      <c r="C1873" s="14" t="str">
        <f>IFERROR(__xludf.DUMMYFUNCTION("""COMPUTED_VALUE"""),"林姿妤")</f>
        <v>林姿妤</v>
      </c>
      <c r="D1873" s="16" t="str">
        <f>IFERROR(__xludf.DUMMYFUNCTION("""COMPUTED_VALUE"""),"dor*****17@mail.edu.tw")</f>
        <v>dor*****17@mail.edu.tw</v>
      </c>
      <c r="E1873" s="17" t="str">
        <f>IFERROR(__xludf.DUMMYFUNCTION("""COMPUTED_VALUE"""),"苗栗縣立新港國民中小學國小部")</f>
        <v>苗栗縣立新港國民中小學國小部</v>
      </c>
      <c r="F1873" s="14" t="str">
        <f>IFERROR(__xludf.DUMMYFUNCTION("""COMPUTED_VALUE"""),"五年級")</f>
        <v>五年級</v>
      </c>
      <c r="G1873" s="14" t="str">
        <f>IFERROR(__xludf.DUMMYFUNCTION("""COMPUTED_VALUE"""),"獎狀")</f>
        <v>獎狀</v>
      </c>
      <c r="H1873" s="8"/>
    </row>
    <row r="1874">
      <c r="A1874" s="18"/>
      <c r="B1874" s="14">
        <f>IFERROR(__xludf.DUMMYFUNCTION("""COMPUTED_VALUE"""),513930.0)</f>
        <v>513930</v>
      </c>
      <c r="C1874" s="14" t="str">
        <f>IFERROR(__xludf.DUMMYFUNCTION("""COMPUTED_VALUE"""),"張翔捷")</f>
        <v>張翔捷</v>
      </c>
      <c r="D1874" s="16" t="str">
        <f>IFERROR(__xludf.DUMMYFUNCTION("""COMPUTED_VALUE"""),"ben*****28@mail.edu.tw")</f>
        <v>ben*****28@mail.edu.tw</v>
      </c>
      <c r="E1874" s="17" t="str">
        <f>IFERROR(__xludf.DUMMYFUNCTION("""COMPUTED_VALUE"""),"苗栗縣立新港國民中小學國小部")</f>
        <v>苗栗縣立新港國民中小學國小部</v>
      </c>
      <c r="F1874" s="14" t="str">
        <f>IFERROR(__xludf.DUMMYFUNCTION("""COMPUTED_VALUE"""),"五年級")</f>
        <v>五年級</v>
      </c>
      <c r="G1874" s="14" t="str">
        <f>IFERROR(__xludf.DUMMYFUNCTION("""COMPUTED_VALUE"""),"獎狀")</f>
        <v>獎狀</v>
      </c>
      <c r="H1874" s="8"/>
    </row>
    <row r="1875">
      <c r="A1875" s="18"/>
      <c r="B1875" s="14">
        <f>IFERROR(__xludf.DUMMYFUNCTION("""COMPUTED_VALUE"""),1182978.0)</f>
        <v>1182978</v>
      </c>
      <c r="C1875" s="14" t="str">
        <f>IFERROR(__xludf.DUMMYFUNCTION("""COMPUTED_VALUE"""),"陳昕廣")</f>
        <v>陳昕廣</v>
      </c>
      <c r="D1875" s="16" t="str">
        <f>IFERROR(__xludf.DUMMYFUNCTION("""COMPUTED_VALUE"""),"jas*****30523@mail.edu.tw")</f>
        <v>jas*****30523@mail.edu.tw</v>
      </c>
      <c r="E1875" s="17" t="str">
        <f>IFERROR(__xludf.DUMMYFUNCTION("""COMPUTED_VALUE"""),"苗栗縣立新港國民中小學國小部")</f>
        <v>苗栗縣立新港國民中小學國小部</v>
      </c>
      <c r="F1875" s="14" t="str">
        <f>IFERROR(__xludf.DUMMYFUNCTION("""COMPUTED_VALUE"""),"五年級")</f>
        <v>五年級</v>
      </c>
      <c r="G1875" s="14" t="str">
        <f>IFERROR(__xludf.DUMMYFUNCTION("""COMPUTED_VALUE"""),"獎狀")</f>
        <v>獎狀</v>
      </c>
      <c r="H1875" s="8"/>
    </row>
    <row r="1876">
      <c r="A1876" s="18"/>
      <c r="B1876" s="14">
        <f>IFERROR(__xludf.DUMMYFUNCTION("""COMPUTED_VALUE"""),517875.0)</f>
        <v>517875</v>
      </c>
      <c r="C1876" s="14" t="str">
        <f>IFERROR(__xludf.DUMMYFUNCTION("""COMPUTED_VALUE"""),"陳嘉儀")</f>
        <v>陳嘉儀</v>
      </c>
      <c r="D1876" s="16" t="str">
        <f>IFERROR(__xludf.DUMMYFUNCTION("""COMPUTED_VALUE"""),"ali*****k@mail.edu.tw")</f>
        <v>ali*****k@mail.edu.tw</v>
      </c>
      <c r="E1876" s="17" t="str">
        <f>IFERROR(__xludf.DUMMYFUNCTION("""COMPUTED_VALUE"""),"苗栗縣立新港國民中小學國小部")</f>
        <v>苗栗縣立新港國民中小學國小部</v>
      </c>
      <c r="F1876" s="14" t="str">
        <f>IFERROR(__xludf.DUMMYFUNCTION("""COMPUTED_VALUE"""),"五年級")</f>
        <v>五年級</v>
      </c>
      <c r="G1876" s="14" t="str">
        <f>IFERROR(__xludf.DUMMYFUNCTION("""COMPUTED_VALUE"""),"獎狀")</f>
        <v>獎狀</v>
      </c>
      <c r="H1876" s="8"/>
    </row>
    <row r="1877">
      <c r="A1877" s="18"/>
      <c r="B1877" s="14">
        <f>IFERROR(__xludf.DUMMYFUNCTION("""COMPUTED_VALUE"""),594017.0)</f>
        <v>594017</v>
      </c>
      <c r="C1877" s="14" t="str">
        <f>IFERROR(__xludf.DUMMYFUNCTION("""COMPUTED_VALUE"""),"劉洧呈")</f>
        <v>劉洧呈</v>
      </c>
      <c r="D1877" s="16" t="str">
        <f>IFERROR(__xludf.DUMMYFUNCTION("""COMPUTED_VALUE"""),"cod*****@mail.edu.tw")</f>
        <v>cod*****@mail.edu.tw</v>
      </c>
      <c r="E1877" s="17" t="str">
        <f>IFERROR(__xludf.DUMMYFUNCTION("""COMPUTED_VALUE"""),"苗栗縣立新港國民中小學國小部")</f>
        <v>苗栗縣立新港國民中小學國小部</v>
      </c>
      <c r="F1877" s="14" t="str">
        <f>IFERROR(__xludf.DUMMYFUNCTION("""COMPUTED_VALUE"""),"五年級")</f>
        <v>五年級</v>
      </c>
      <c r="G1877" s="14" t="str">
        <f>IFERROR(__xludf.DUMMYFUNCTION("""COMPUTED_VALUE"""),"獎狀")</f>
        <v>獎狀</v>
      </c>
      <c r="H1877" s="8"/>
    </row>
    <row r="1878">
      <c r="A1878" s="18"/>
      <c r="B1878" s="14">
        <f>IFERROR(__xludf.DUMMYFUNCTION("""COMPUTED_VALUE"""),513929.0)</f>
        <v>513929</v>
      </c>
      <c r="C1878" s="14" t="str">
        <f>IFERROR(__xludf.DUMMYFUNCTION("""COMPUTED_VALUE"""),"蕭汝淨")</f>
        <v>蕭汝淨</v>
      </c>
      <c r="D1878" s="16" t="str">
        <f>IFERROR(__xludf.DUMMYFUNCTION("""COMPUTED_VALUE"""),"rai*****22@mail.edu.tw")</f>
        <v>rai*****22@mail.edu.tw</v>
      </c>
      <c r="E1878" s="17" t="str">
        <f>IFERROR(__xludf.DUMMYFUNCTION("""COMPUTED_VALUE"""),"苗栗縣立新港國民中小學國小部")</f>
        <v>苗栗縣立新港國民中小學國小部</v>
      </c>
      <c r="F1878" s="14" t="str">
        <f>IFERROR(__xludf.DUMMYFUNCTION("""COMPUTED_VALUE"""),"五年級")</f>
        <v>五年級</v>
      </c>
      <c r="G1878" s="14" t="str">
        <f>IFERROR(__xludf.DUMMYFUNCTION("""COMPUTED_VALUE"""),"獎狀")</f>
        <v>獎狀</v>
      </c>
      <c r="H1878" s="8"/>
    </row>
    <row r="1879">
      <c r="A1879" s="18"/>
      <c r="B1879" s="14">
        <f>IFERROR(__xludf.DUMMYFUNCTION("""COMPUTED_VALUE"""),865194.0)</f>
        <v>865194</v>
      </c>
      <c r="C1879" s="14" t="str">
        <f>IFERROR(__xludf.DUMMYFUNCTION("""COMPUTED_VALUE"""),"賴泳廷")</f>
        <v>賴泳廷</v>
      </c>
      <c r="D1879" s="16" t="str">
        <f>IFERROR(__xludf.DUMMYFUNCTION("""COMPUTED_VALUE"""),"jus*****13@mail.edu.tw")</f>
        <v>jus*****13@mail.edu.tw</v>
      </c>
      <c r="E1879" s="17" t="str">
        <f>IFERROR(__xludf.DUMMYFUNCTION("""COMPUTED_VALUE"""),"苗栗縣立新港國民中小學國小部")</f>
        <v>苗栗縣立新港國民中小學國小部</v>
      </c>
      <c r="F1879" s="14" t="str">
        <f>IFERROR(__xludf.DUMMYFUNCTION("""COMPUTED_VALUE"""),"五年級")</f>
        <v>五年級</v>
      </c>
      <c r="G1879" s="14" t="str">
        <f>IFERROR(__xludf.DUMMYFUNCTION("""COMPUTED_VALUE"""),"獎狀")</f>
        <v>獎狀</v>
      </c>
      <c r="H1879" s="8"/>
    </row>
    <row r="1880">
      <c r="A1880" s="18"/>
      <c r="B1880" s="14">
        <f>IFERROR(__xludf.DUMMYFUNCTION("""COMPUTED_VALUE"""),514005.0)</f>
        <v>514005</v>
      </c>
      <c r="C1880" s="14" t="str">
        <f>IFERROR(__xludf.DUMMYFUNCTION("""COMPUTED_VALUE"""),"謝薰慧")</f>
        <v>謝薰慧</v>
      </c>
      <c r="D1880" s="16" t="str">
        <f>IFERROR(__xludf.DUMMYFUNCTION("""COMPUTED_VALUE"""),"han*****bit@mail.edu.tw")</f>
        <v>han*****bit@mail.edu.tw</v>
      </c>
      <c r="E1880" s="17" t="str">
        <f>IFERROR(__xludf.DUMMYFUNCTION("""COMPUTED_VALUE"""),"苗栗縣立新港國民中小學國小部")</f>
        <v>苗栗縣立新港國民中小學國小部</v>
      </c>
      <c r="F1880" s="14" t="str">
        <f>IFERROR(__xludf.DUMMYFUNCTION("""COMPUTED_VALUE"""),"五年級")</f>
        <v>五年級</v>
      </c>
      <c r="G1880" s="14" t="str">
        <f>IFERROR(__xludf.DUMMYFUNCTION("""COMPUTED_VALUE"""),"獎狀")</f>
        <v>獎狀</v>
      </c>
      <c r="H1880" s="8"/>
    </row>
    <row r="1881">
      <c r="A1881" s="18"/>
      <c r="B1881" s="14">
        <f>IFERROR(__xludf.DUMMYFUNCTION("""COMPUTED_VALUE"""),513933.0)</f>
        <v>513933</v>
      </c>
      <c r="C1881" s="14" t="str">
        <f>IFERROR(__xludf.DUMMYFUNCTION("""COMPUTED_VALUE"""),"蔣莘柔")</f>
        <v>蔣莘柔</v>
      </c>
      <c r="D1881" s="16" t="str">
        <f>IFERROR(__xludf.DUMMYFUNCTION("""COMPUTED_VALUE"""),"aaa*****70085@mail.edu.tw")</f>
        <v>aaa*****70085@mail.edu.tw</v>
      </c>
      <c r="E1881" s="17" t="str">
        <f>IFERROR(__xludf.DUMMYFUNCTION("""COMPUTED_VALUE"""),"苗栗縣立新港國民中小學國小部")</f>
        <v>苗栗縣立新港國民中小學國小部</v>
      </c>
      <c r="F1881" s="14" t="str">
        <f>IFERROR(__xludf.DUMMYFUNCTION("""COMPUTED_VALUE"""),"五年級")</f>
        <v>五年級</v>
      </c>
      <c r="G1881" s="14" t="str">
        <f>IFERROR(__xludf.DUMMYFUNCTION("""COMPUTED_VALUE"""),"獎狀")</f>
        <v>獎狀</v>
      </c>
      <c r="H1881" s="8"/>
    </row>
    <row r="1882">
      <c r="A1882" s="18"/>
      <c r="B1882" s="14">
        <f>IFERROR(__xludf.DUMMYFUNCTION("""COMPUTED_VALUE"""),513938.0)</f>
        <v>513938</v>
      </c>
      <c r="C1882" s="14" t="str">
        <f>IFERROR(__xludf.DUMMYFUNCTION("""COMPUTED_VALUE"""),"張凱涵")</f>
        <v>張凱涵</v>
      </c>
      <c r="D1882" s="16" t="str">
        <f>IFERROR(__xludf.DUMMYFUNCTION("""COMPUTED_VALUE"""),"yoy*****@mail.edu.tw")</f>
        <v>yoy*****@mail.edu.tw</v>
      </c>
      <c r="E1882" s="17" t="str">
        <f>IFERROR(__xludf.DUMMYFUNCTION("""COMPUTED_VALUE"""),"苗栗縣立新港國民中小學國小部")</f>
        <v>苗栗縣立新港國民中小學國小部</v>
      </c>
      <c r="F1882" s="14" t="str">
        <f>IFERROR(__xludf.DUMMYFUNCTION("""COMPUTED_VALUE"""),"五年級")</f>
        <v>五年級</v>
      </c>
      <c r="G1882" s="14" t="str">
        <f>IFERROR(__xludf.DUMMYFUNCTION("""COMPUTED_VALUE"""),"●小禮物")</f>
        <v>●小禮物</v>
      </c>
      <c r="H1882" s="8"/>
    </row>
    <row r="1883">
      <c r="A1883" s="18"/>
      <c r="B1883" s="14">
        <f>IFERROR(__xludf.DUMMYFUNCTION("""COMPUTED_VALUE"""),513972.0)</f>
        <v>513972</v>
      </c>
      <c r="C1883" s="14" t="str">
        <f>IFERROR(__xludf.DUMMYFUNCTION("""COMPUTED_VALUE"""),"陳芯卉")</f>
        <v>陳芯卉</v>
      </c>
      <c r="D1883" s="16" t="str">
        <f>IFERROR(__xludf.DUMMYFUNCTION("""COMPUTED_VALUE"""),"dol*****ly0823@mail.edu.tw")</f>
        <v>dol*****ly0823@mail.edu.tw</v>
      </c>
      <c r="E1883" s="17" t="str">
        <f>IFERROR(__xludf.DUMMYFUNCTION("""COMPUTED_VALUE"""),"苗栗縣立新港國民中小學國小部")</f>
        <v>苗栗縣立新港國民中小學國小部</v>
      </c>
      <c r="F1883" s="14" t="str">
        <f>IFERROR(__xludf.DUMMYFUNCTION("""COMPUTED_VALUE"""),"五年級")</f>
        <v>五年級</v>
      </c>
      <c r="G1883" s="14" t="str">
        <f>IFERROR(__xludf.DUMMYFUNCTION("""COMPUTED_VALUE"""),"●小禮物")</f>
        <v>●小禮物</v>
      </c>
      <c r="H1883" s="8"/>
    </row>
    <row r="1884">
      <c r="A1884" s="18"/>
      <c r="B1884" s="14">
        <f>IFERROR(__xludf.DUMMYFUNCTION("""COMPUTED_VALUE"""),513939.0)</f>
        <v>513939</v>
      </c>
      <c r="C1884" s="14" t="str">
        <f>IFERROR(__xludf.DUMMYFUNCTION("""COMPUTED_VALUE"""),"黃子倫")</f>
        <v>黃子倫</v>
      </c>
      <c r="D1884" s="16" t="str">
        <f>IFERROR(__xludf.DUMMYFUNCTION("""COMPUTED_VALUE"""),"all*****4@mail.edu.tw")</f>
        <v>all*****4@mail.edu.tw</v>
      </c>
      <c r="E1884" s="17" t="str">
        <f>IFERROR(__xludf.DUMMYFUNCTION("""COMPUTED_VALUE"""),"苗栗縣立新港國民中小學國小部")</f>
        <v>苗栗縣立新港國民中小學國小部</v>
      </c>
      <c r="F1884" s="14" t="str">
        <f>IFERROR(__xludf.DUMMYFUNCTION("""COMPUTED_VALUE"""),"五年級")</f>
        <v>五年級</v>
      </c>
      <c r="G1884" s="14" t="str">
        <f>IFERROR(__xludf.DUMMYFUNCTION("""COMPUTED_VALUE"""),"●小禮物")</f>
        <v>●小禮物</v>
      </c>
      <c r="H1884" s="8"/>
    </row>
    <row r="1885">
      <c r="A1885" s="18"/>
      <c r="B1885" s="14">
        <f>IFERROR(__xludf.DUMMYFUNCTION("""COMPUTED_VALUE"""),514155.0)</f>
        <v>514155</v>
      </c>
      <c r="C1885" s="14" t="str">
        <f>IFERROR(__xludf.DUMMYFUNCTION("""COMPUTED_VALUE"""),"劉韋辰")</f>
        <v>劉韋辰</v>
      </c>
      <c r="D1885" s="16" t="str">
        <f>IFERROR(__xludf.DUMMYFUNCTION("""COMPUTED_VALUE"""),"tig*****1@mail.edu.tw")</f>
        <v>tig*****1@mail.edu.tw</v>
      </c>
      <c r="E1885" s="17" t="str">
        <f>IFERROR(__xludf.DUMMYFUNCTION("""COMPUTED_VALUE"""),"苗栗縣立新港國民中小學國小部")</f>
        <v>苗栗縣立新港國民中小學國小部</v>
      </c>
      <c r="F1885" s="14" t="str">
        <f>IFERROR(__xludf.DUMMYFUNCTION("""COMPUTED_VALUE"""),"五年級")</f>
        <v>五年級</v>
      </c>
      <c r="G1885" s="14" t="str">
        <f>IFERROR(__xludf.DUMMYFUNCTION("""COMPUTED_VALUE"""),"●小禮物")</f>
        <v>●小禮物</v>
      </c>
      <c r="H1885" s="8"/>
    </row>
    <row r="1886">
      <c r="A1886" s="18"/>
      <c r="B1886" s="14">
        <f>IFERROR(__xludf.DUMMYFUNCTION("""COMPUTED_VALUE"""),510818.0)</f>
        <v>510818</v>
      </c>
      <c r="C1886" s="14" t="str">
        <f>IFERROR(__xludf.DUMMYFUNCTION("""COMPUTED_VALUE"""),"陳湘羽")</f>
        <v>陳湘羽</v>
      </c>
      <c r="D1886" s="16" t="str">
        <f>IFERROR(__xludf.DUMMYFUNCTION("""COMPUTED_VALUE"""),"san*****0119@mail.edu.tw")</f>
        <v>san*****0119@mail.edu.tw</v>
      </c>
      <c r="E1886" s="17" t="str">
        <f>IFERROR(__xludf.DUMMYFUNCTION("""COMPUTED_VALUE"""),"苗栗縣立新港國民中小學國小部")</f>
        <v>苗栗縣立新港國民中小學國小部</v>
      </c>
      <c r="F1886" s="14" t="str">
        <f>IFERROR(__xludf.DUMMYFUNCTION("""COMPUTED_VALUE"""),"五年級")</f>
        <v>五年級</v>
      </c>
      <c r="G1886" s="14" t="str">
        <f>IFERROR(__xludf.DUMMYFUNCTION("""COMPUTED_VALUE"""),"★禮券$200")</f>
        <v>★禮券$200</v>
      </c>
      <c r="H1886" s="8"/>
    </row>
    <row r="1887">
      <c r="A1887" s="18"/>
      <c r="B1887" s="14">
        <f>IFERROR(__xludf.DUMMYFUNCTION("""COMPUTED_VALUE"""),510826.0)</f>
        <v>510826</v>
      </c>
      <c r="C1887" s="14" t="str">
        <f>IFERROR(__xludf.DUMMYFUNCTION("""COMPUTED_VALUE"""),"王心雅")</f>
        <v>王心雅</v>
      </c>
      <c r="D1887" s="16" t="str">
        <f>IFERROR(__xludf.DUMMYFUNCTION("""COMPUTED_VALUE"""),"jes*****abbi1228@mail.edu.tw")</f>
        <v>jes*****abbi1228@mail.edu.tw</v>
      </c>
      <c r="E1887" s="17" t="str">
        <f>IFERROR(__xludf.DUMMYFUNCTION("""COMPUTED_VALUE"""),"苗栗縣立新港國民中小學國小部")</f>
        <v>苗栗縣立新港國民中小學國小部</v>
      </c>
      <c r="F1887" s="14" t="str">
        <f>IFERROR(__xludf.DUMMYFUNCTION("""COMPUTED_VALUE"""),"五年級")</f>
        <v>五年級</v>
      </c>
      <c r="G1887" s="14" t="str">
        <f>IFERROR(__xludf.DUMMYFUNCTION("""COMPUTED_VALUE"""),"獎狀")</f>
        <v>獎狀</v>
      </c>
      <c r="H1887" s="8"/>
    </row>
    <row r="1888">
      <c r="A1888" s="18"/>
      <c r="B1888" s="14">
        <f>IFERROR(__xludf.DUMMYFUNCTION("""COMPUTED_VALUE"""),513937.0)</f>
        <v>513937</v>
      </c>
      <c r="C1888" s="14" t="str">
        <f>IFERROR(__xludf.DUMMYFUNCTION("""COMPUTED_VALUE"""),"余仲信")</f>
        <v>余仲信</v>
      </c>
      <c r="D1888" s="16" t="str">
        <f>IFERROR(__xludf.DUMMYFUNCTION("""COMPUTED_VALUE"""),"sae*****@mail.edu.tw")</f>
        <v>sae*****@mail.edu.tw</v>
      </c>
      <c r="E1888" s="17" t="str">
        <f>IFERROR(__xludf.DUMMYFUNCTION("""COMPUTED_VALUE"""),"苗栗縣立新港國民中小學國小部")</f>
        <v>苗栗縣立新港國民中小學國小部</v>
      </c>
      <c r="F1888" s="14" t="str">
        <f>IFERROR(__xludf.DUMMYFUNCTION("""COMPUTED_VALUE"""),"五年級")</f>
        <v>五年級</v>
      </c>
      <c r="G1888" s="14" t="str">
        <f>IFERROR(__xludf.DUMMYFUNCTION("""COMPUTED_VALUE"""),"獎狀")</f>
        <v>獎狀</v>
      </c>
      <c r="H1888" s="8"/>
    </row>
    <row r="1889">
      <c r="A1889" s="18"/>
      <c r="B1889" s="14">
        <f>IFERROR(__xludf.DUMMYFUNCTION("""COMPUTED_VALUE"""),513971.0)</f>
        <v>513971</v>
      </c>
      <c r="C1889" s="14" t="str">
        <f>IFERROR(__xludf.DUMMYFUNCTION("""COMPUTED_VALUE"""),"呂幸妃")</f>
        <v>呂幸妃</v>
      </c>
      <c r="D1889" s="16" t="str">
        <f>IFERROR(__xludf.DUMMYFUNCTION("""COMPUTED_VALUE"""),"s10*****@mail.edu.tw")</f>
        <v>s10*****@mail.edu.tw</v>
      </c>
      <c r="E1889" s="17" t="str">
        <f>IFERROR(__xludf.DUMMYFUNCTION("""COMPUTED_VALUE"""),"苗栗縣立新港國民中小學國小部")</f>
        <v>苗栗縣立新港國民中小學國小部</v>
      </c>
      <c r="F1889" s="14" t="str">
        <f>IFERROR(__xludf.DUMMYFUNCTION("""COMPUTED_VALUE"""),"五年級")</f>
        <v>五年級</v>
      </c>
      <c r="G1889" s="14" t="str">
        <f>IFERROR(__xludf.DUMMYFUNCTION("""COMPUTED_VALUE"""),"獎狀")</f>
        <v>獎狀</v>
      </c>
      <c r="H1889" s="8"/>
    </row>
    <row r="1890">
      <c r="A1890" s="18"/>
      <c r="B1890" s="14">
        <f>IFERROR(__xludf.DUMMYFUNCTION("""COMPUTED_VALUE"""),514131.0)</f>
        <v>514131</v>
      </c>
      <c r="C1890" s="14" t="str">
        <f>IFERROR(__xludf.DUMMYFUNCTION("""COMPUTED_VALUE"""),"李承彧")</f>
        <v>李承彧</v>
      </c>
      <c r="D1890" s="16" t="str">
        <f>IFERROR(__xludf.DUMMYFUNCTION("""COMPUTED_VALUE"""),"h10*****@mail.edu.tw")</f>
        <v>h10*****@mail.edu.tw</v>
      </c>
      <c r="E1890" s="17" t="str">
        <f>IFERROR(__xludf.DUMMYFUNCTION("""COMPUTED_VALUE"""),"苗栗縣立新港國民中小學國小部")</f>
        <v>苗栗縣立新港國民中小學國小部</v>
      </c>
      <c r="F1890" s="14" t="str">
        <f>IFERROR(__xludf.DUMMYFUNCTION("""COMPUTED_VALUE"""),"五年級")</f>
        <v>五年級</v>
      </c>
      <c r="G1890" s="14" t="str">
        <f>IFERROR(__xludf.DUMMYFUNCTION("""COMPUTED_VALUE"""),"獎狀")</f>
        <v>獎狀</v>
      </c>
      <c r="H1890" s="8"/>
    </row>
    <row r="1891">
      <c r="A1891" s="18"/>
      <c r="B1891" s="14">
        <f>IFERROR(__xludf.DUMMYFUNCTION("""COMPUTED_VALUE"""),514004.0)</f>
        <v>514004</v>
      </c>
      <c r="C1891" s="14" t="str">
        <f>IFERROR(__xludf.DUMMYFUNCTION("""COMPUTED_VALUE"""),"張萌甄")</f>
        <v>張萌甄</v>
      </c>
      <c r="D1891" s="16" t="str">
        <f>IFERROR(__xludf.DUMMYFUNCTION("""COMPUTED_VALUE"""),"gln*****1002@mail.edu.tw")</f>
        <v>gln*****1002@mail.edu.tw</v>
      </c>
      <c r="E1891" s="17" t="str">
        <f>IFERROR(__xludf.DUMMYFUNCTION("""COMPUTED_VALUE"""),"苗栗縣立新港國民中小學國小部")</f>
        <v>苗栗縣立新港國民中小學國小部</v>
      </c>
      <c r="F1891" s="14" t="str">
        <f>IFERROR(__xludf.DUMMYFUNCTION("""COMPUTED_VALUE"""),"五年級")</f>
        <v>五年級</v>
      </c>
      <c r="G1891" s="14" t="str">
        <f>IFERROR(__xludf.DUMMYFUNCTION("""COMPUTED_VALUE"""),"獎狀")</f>
        <v>獎狀</v>
      </c>
      <c r="H1891" s="8"/>
    </row>
    <row r="1892">
      <c r="A1892" s="18"/>
      <c r="B1892" s="14">
        <f>IFERROR(__xludf.DUMMYFUNCTION("""COMPUTED_VALUE"""),584907.0)</f>
        <v>584907</v>
      </c>
      <c r="C1892" s="14" t="str">
        <f>IFERROR(__xludf.DUMMYFUNCTION("""COMPUTED_VALUE"""),"張瑩瑜")</f>
        <v>張瑩瑜</v>
      </c>
      <c r="D1892" s="16" t="str">
        <f>IFERROR(__xludf.DUMMYFUNCTION("""COMPUTED_VALUE"""),"dor*****0610@mail.edu.tw")</f>
        <v>dor*****0610@mail.edu.tw</v>
      </c>
      <c r="E1892" s="17" t="str">
        <f>IFERROR(__xludf.DUMMYFUNCTION("""COMPUTED_VALUE"""),"苗栗縣立新港國民中小學國小部")</f>
        <v>苗栗縣立新港國民中小學國小部</v>
      </c>
      <c r="F1892" s="14" t="str">
        <f>IFERROR(__xludf.DUMMYFUNCTION("""COMPUTED_VALUE"""),"五年級")</f>
        <v>五年級</v>
      </c>
      <c r="G1892" s="14" t="str">
        <f>IFERROR(__xludf.DUMMYFUNCTION("""COMPUTED_VALUE"""),"獎狀")</f>
        <v>獎狀</v>
      </c>
      <c r="H1892" s="8"/>
    </row>
    <row r="1893">
      <c r="A1893" s="18"/>
      <c r="B1893" s="14">
        <f>IFERROR(__xludf.DUMMYFUNCTION("""COMPUTED_VALUE"""),510824.0)</f>
        <v>510824</v>
      </c>
      <c r="C1893" s="14" t="str">
        <f>IFERROR(__xludf.DUMMYFUNCTION("""COMPUTED_VALUE"""),"陳洋晨")</f>
        <v>陳洋晨</v>
      </c>
      <c r="D1893" s="16" t="str">
        <f>IFERROR(__xludf.DUMMYFUNCTION("""COMPUTED_VALUE"""),"kev*****0620@mail.edu.tw")</f>
        <v>kev*****0620@mail.edu.tw</v>
      </c>
      <c r="E1893" s="17" t="str">
        <f>IFERROR(__xludf.DUMMYFUNCTION("""COMPUTED_VALUE"""),"苗栗縣立新港國民中小學國小部")</f>
        <v>苗栗縣立新港國民中小學國小部</v>
      </c>
      <c r="F1893" s="14" t="str">
        <f>IFERROR(__xludf.DUMMYFUNCTION("""COMPUTED_VALUE"""),"五年級")</f>
        <v>五年級</v>
      </c>
      <c r="G1893" s="14" t="str">
        <f>IFERROR(__xludf.DUMMYFUNCTION("""COMPUTED_VALUE"""),"獎狀")</f>
        <v>獎狀</v>
      </c>
      <c r="H1893" s="8"/>
    </row>
    <row r="1894">
      <c r="A1894" s="18"/>
      <c r="B1894" s="14">
        <f>IFERROR(__xludf.DUMMYFUNCTION("""COMPUTED_VALUE"""),514129.0)</f>
        <v>514129</v>
      </c>
      <c r="C1894" s="14" t="str">
        <f>IFERROR(__xludf.DUMMYFUNCTION("""COMPUTED_VALUE"""),"黃若芹")</f>
        <v>黃若芹</v>
      </c>
      <c r="D1894" s="16" t="str">
        <f>IFERROR(__xludf.DUMMYFUNCTION("""COMPUTED_VALUE"""),"z10*****@mail.edu.tw")</f>
        <v>z10*****@mail.edu.tw</v>
      </c>
      <c r="E1894" s="17" t="str">
        <f>IFERROR(__xludf.DUMMYFUNCTION("""COMPUTED_VALUE"""),"苗栗縣立新港國民中小學國小部")</f>
        <v>苗栗縣立新港國民中小學國小部</v>
      </c>
      <c r="F1894" s="14" t="str">
        <f>IFERROR(__xludf.DUMMYFUNCTION("""COMPUTED_VALUE"""),"五年級")</f>
        <v>五年級</v>
      </c>
      <c r="G1894" s="14" t="str">
        <f>IFERROR(__xludf.DUMMYFUNCTION("""COMPUTED_VALUE"""),"獎狀")</f>
        <v>獎狀</v>
      </c>
      <c r="H1894" s="8"/>
    </row>
    <row r="1895">
      <c r="A1895" s="18"/>
      <c r="B1895" s="14">
        <f>IFERROR(__xludf.DUMMYFUNCTION("""COMPUTED_VALUE"""),513968.0)</f>
        <v>513968</v>
      </c>
      <c r="C1895" s="14" t="str">
        <f>IFERROR(__xludf.DUMMYFUNCTION("""COMPUTED_VALUE"""),"劉哲嘉")</f>
        <v>劉哲嘉</v>
      </c>
      <c r="D1895" s="16" t="str">
        <f>IFERROR(__xludf.DUMMYFUNCTION("""COMPUTED_VALUE"""),"ala*****@mail.edu.tw")</f>
        <v>ala*****@mail.edu.tw</v>
      </c>
      <c r="E1895" s="17" t="str">
        <f>IFERROR(__xludf.DUMMYFUNCTION("""COMPUTED_VALUE"""),"苗栗縣立新港國民中小學國小部")</f>
        <v>苗栗縣立新港國民中小學國小部</v>
      </c>
      <c r="F1895" s="14" t="str">
        <f>IFERROR(__xludf.DUMMYFUNCTION("""COMPUTED_VALUE"""),"五年級")</f>
        <v>五年級</v>
      </c>
      <c r="G1895" s="14" t="str">
        <f>IFERROR(__xludf.DUMMYFUNCTION("""COMPUTED_VALUE"""),"獎狀")</f>
        <v>獎狀</v>
      </c>
      <c r="H1895" s="8"/>
    </row>
    <row r="1896">
      <c r="A1896" s="18"/>
      <c r="B1896" s="14">
        <f>IFERROR(__xludf.DUMMYFUNCTION("""COMPUTED_VALUE"""),514132.0)</f>
        <v>514132</v>
      </c>
      <c r="C1896" s="14" t="str">
        <f>IFERROR(__xludf.DUMMYFUNCTION("""COMPUTED_VALUE"""),"魏子喬")</f>
        <v>魏子喬</v>
      </c>
      <c r="D1896" s="16" t="str">
        <f>IFERROR(__xludf.DUMMYFUNCTION("""COMPUTED_VALUE"""),"joy*****105@mail.edu.tw")</f>
        <v>joy*****105@mail.edu.tw</v>
      </c>
      <c r="E1896" s="17" t="str">
        <f>IFERROR(__xludf.DUMMYFUNCTION("""COMPUTED_VALUE"""),"苗栗縣立新港國民中小學國小部")</f>
        <v>苗栗縣立新港國民中小學國小部</v>
      </c>
      <c r="F1896" s="14" t="str">
        <f>IFERROR(__xludf.DUMMYFUNCTION("""COMPUTED_VALUE"""),"五年級")</f>
        <v>五年級</v>
      </c>
      <c r="G1896" s="14" t="str">
        <f>IFERROR(__xludf.DUMMYFUNCTION("""COMPUTED_VALUE"""),"獎狀")</f>
        <v>獎狀</v>
      </c>
      <c r="H1896" s="8"/>
    </row>
    <row r="1897">
      <c r="A1897" s="18"/>
      <c r="B1897" s="14">
        <f>IFERROR(__xludf.DUMMYFUNCTION("""COMPUTED_VALUE"""),513936.0)</f>
        <v>513936</v>
      </c>
      <c r="C1897" s="14" t="str">
        <f>IFERROR(__xludf.DUMMYFUNCTION("""COMPUTED_VALUE"""),"王聖學")</f>
        <v>王聖學</v>
      </c>
      <c r="D1897" s="16" t="str">
        <f>IFERROR(__xludf.DUMMYFUNCTION("""COMPUTED_VALUE"""),"opu*****3414@mail.edu.tw")</f>
        <v>opu*****3414@mail.edu.tw</v>
      </c>
      <c r="E1897" s="17" t="str">
        <f>IFERROR(__xludf.DUMMYFUNCTION("""COMPUTED_VALUE"""),"苗栗縣立新港國民中小學國小部")</f>
        <v>苗栗縣立新港國民中小學國小部</v>
      </c>
      <c r="F1897" s="14" t="str">
        <f>IFERROR(__xludf.DUMMYFUNCTION("""COMPUTED_VALUE"""),"五年級")</f>
        <v>五年級</v>
      </c>
      <c r="G1897" s="14" t="str">
        <f>IFERROR(__xludf.DUMMYFUNCTION("""COMPUTED_VALUE"""),"●小禮物")</f>
        <v>●小禮物</v>
      </c>
      <c r="H1897" s="8"/>
    </row>
    <row r="1898">
      <c r="A1898" s="18"/>
      <c r="B1898" s="14">
        <f>IFERROR(__xludf.DUMMYFUNCTION("""COMPUTED_VALUE"""),513931.0)</f>
        <v>513931</v>
      </c>
      <c r="C1898" s="14" t="str">
        <f>IFERROR(__xludf.DUMMYFUNCTION("""COMPUTED_VALUE"""),"張書瑋")</f>
        <v>張書瑋</v>
      </c>
      <c r="D1898" s="16" t="str">
        <f>IFERROR(__xludf.DUMMYFUNCTION("""COMPUTED_VALUE"""),"hjk*****3123@mail.edu.tw")</f>
        <v>hjk*****3123@mail.edu.tw</v>
      </c>
      <c r="E1898" s="17" t="str">
        <f>IFERROR(__xludf.DUMMYFUNCTION("""COMPUTED_VALUE"""),"苗栗縣立新港國民中小學國小部")</f>
        <v>苗栗縣立新港國民中小學國小部</v>
      </c>
      <c r="F1898" s="14" t="str">
        <f>IFERROR(__xludf.DUMMYFUNCTION("""COMPUTED_VALUE"""),"五年級")</f>
        <v>五年級</v>
      </c>
      <c r="G1898" s="14" t="str">
        <f>IFERROR(__xludf.DUMMYFUNCTION("""COMPUTED_VALUE"""),"●小禮物")</f>
        <v>●小禮物</v>
      </c>
      <c r="H1898" s="8"/>
    </row>
    <row r="1899">
      <c r="A1899" s="18"/>
      <c r="B1899" s="14">
        <f>IFERROR(__xludf.DUMMYFUNCTION("""COMPUTED_VALUE"""),513934.0)</f>
        <v>513934</v>
      </c>
      <c r="C1899" s="14" t="str">
        <f>IFERROR(__xludf.DUMMYFUNCTION("""COMPUTED_VALUE"""),"張締陞")</f>
        <v>張締陞</v>
      </c>
      <c r="D1899" s="16" t="str">
        <f>IFERROR(__xludf.DUMMYFUNCTION("""COMPUTED_VALUE"""),"v44*****mail.edu.tw")</f>
        <v>v44*****mail.edu.tw</v>
      </c>
      <c r="E1899" s="17" t="str">
        <f>IFERROR(__xludf.DUMMYFUNCTION("""COMPUTED_VALUE"""),"苗栗縣立新港國民中小學國小部")</f>
        <v>苗栗縣立新港國民中小學國小部</v>
      </c>
      <c r="F1899" s="14" t="str">
        <f>IFERROR(__xludf.DUMMYFUNCTION("""COMPUTED_VALUE"""),"五年級")</f>
        <v>五年級</v>
      </c>
      <c r="G1899" s="14" t="str">
        <f>IFERROR(__xludf.DUMMYFUNCTION("""COMPUTED_VALUE"""),"●小禮物")</f>
        <v>●小禮物</v>
      </c>
      <c r="H1899" s="8"/>
    </row>
    <row r="1900">
      <c r="A1900" s="18"/>
      <c r="B1900" s="14">
        <f>IFERROR(__xludf.DUMMYFUNCTION("""COMPUTED_VALUE"""),513994.0)</f>
        <v>513994</v>
      </c>
      <c r="C1900" s="14" t="str">
        <f>IFERROR(__xludf.DUMMYFUNCTION("""COMPUTED_VALUE"""),"郭俊佑")</f>
        <v>郭俊佑</v>
      </c>
      <c r="D1900" s="16" t="str">
        <f>IFERROR(__xludf.DUMMYFUNCTION("""COMPUTED_VALUE"""),"s10*****mail.edu.tw")</f>
        <v>s10*****mail.edu.tw</v>
      </c>
      <c r="E1900" s="17" t="str">
        <f>IFERROR(__xludf.DUMMYFUNCTION("""COMPUTED_VALUE"""),"苗栗縣立新港國民中小學國小部")</f>
        <v>苗栗縣立新港國民中小學國小部</v>
      </c>
      <c r="F1900" s="14" t="str">
        <f>IFERROR(__xludf.DUMMYFUNCTION("""COMPUTED_VALUE"""),"五年級")</f>
        <v>五年級</v>
      </c>
      <c r="G1900" s="14" t="str">
        <f>IFERROR(__xludf.DUMMYFUNCTION("""COMPUTED_VALUE"""),"●小禮物")</f>
        <v>●小禮物</v>
      </c>
      <c r="H1900" s="8"/>
    </row>
    <row r="1901">
      <c r="A1901" s="18"/>
      <c r="B1901" s="14">
        <f>IFERROR(__xludf.DUMMYFUNCTION("""COMPUTED_VALUE"""),513924.0)</f>
        <v>513924</v>
      </c>
      <c r="C1901" s="14" t="str">
        <f>IFERROR(__xludf.DUMMYFUNCTION("""COMPUTED_VALUE"""),"黃子齊")</f>
        <v>黃子齊</v>
      </c>
      <c r="D1901" s="16" t="str">
        <f>IFERROR(__xludf.DUMMYFUNCTION("""COMPUTED_VALUE"""),"bae*****mail.edu.tw")</f>
        <v>bae*****mail.edu.tw</v>
      </c>
      <c r="E1901" s="17" t="str">
        <f>IFERROR(__xludf.DUMMYFUNCTION("""COMPUTED_VALUE"""),"苗栗縣立新港國民中小學國小部")</f>
        <v>苗栗縣立新港國民中小學國小部</v>
      </c>
      <c r="F1901" s="14" t="str">
        <f>IFERROR(__xludf.DUMMYFUNCTION("""COMPUTED_VALUE"""),"五年級")</f>
        <v>五年級</v>
      </c>
      <c r="G1901" s="14" t="str">
        <f>IFERROR(__xludf.DUMMYFUNCTION("""COMPUTED_VALUE"""),"●小禮物")</f>
        <v>●小禮物</v>
      </c>
      <c r="H1901" s="8"/>
    </row>
    <row r="1902">
      <c r="A1902" s="18"/>
      <c r="B1902" s="14">
        <f>IFERROR(__xludf.DUMMYFUNCTION("""COMPUTED_VALUE"""),513935.0)</f>
        <v>513935</v>
      </c>
      <c r="C1902" s="14" t="str">
        <f>IFERROR(__xludf.DUMMYFUNCTION("""COMPUTED_VALUE"""),"劉芊毓")</f>
        <v>劉芊毓</v>
      </c>
      <c r="D1902" s="16" t="str">
        <f>IFERROR(__xludf.DUMMYFUNCTION("""COMPUTED_VALUE"""),"jes*****0@mail.edu.tw")</f>
        <v>jes*****0@mail.edu.tw</v>
      </c>
      <c r="E1902" s="17" t="str">
        <f>IFERROR(__xludf.DUMMYFUNCTION("""COMPUTED_VALUE"""),"苗栗縣立新港國民中小學國小部")</f>
        <v>苗栗縣立新港國民中小學國小部</v>
      </c>
      <c r="F1902" s="14" t="str">
        <f>IFERROR(__xludf.DUMMYFUNCTION("""COMPUTED_VALUE"""),"五年級")</f>
        <v>五年級</v>
      </c>
      <c r="G1902" s="14" t="str">
        <f>IFERROR(__xludf.DUMMYFUNCTION("""COMPUTED_VALUE"""),"●小禮物")</f>
        <v>●小禮物</v>
      </c>
      <c r="H1902" s="8"/>
    </row>
    <row r="1903">
      <c r="A1903" s="18"/>
      <c r="B1903" s="14">
        <f>IFERROR(__xludf.DUMMYFUNCTION("""COMPUTED_VALUE"""),510814.0)</f>
        <v>510814</v>
      </c>
      <c r="C1903" s="14" t="str">
        <f>IFERROR(__xludf.DUMMYFUNCTION("""COMPUTED_VALUE"""),"鄭又蓁")</f>
        <v>鄭又蓁</v>
      </c>
      <c r="D1903" s="16" t="str">
        <f>IFERROR(__xludf.DUMMYFUNCTION("""COMPUTED_VALUE"""),"jan*****160216@mail.edu.tw")</f>
        <v>jan*****160216@mail.edu.tw</v>
      </c>
      <c r="E1903" s="17" t="str">
        <f>IFERROR(__xludf.DUMMYFUNCTION("""COMPUTED_VALUE"""),"苗栗縣立新港國民中小學國小部")</f>
        <v>苗栗縣立新港國民中小學國小部</v>
      </c>
      <c r="F1903" s="14" t="str">
        <f>IFERROR(__xludf.DUMMYFUNCTION("""COMPUTED_VALUE"""),"五年級")</f>
        <v>五年級</v>
      </c>
      <c r="G1903" s="14" t="str">
        <f>IFERROR(__xludf.DUMMYFUNCTION("""COMPUTED_VALUE"""),"●小禮物")</f>
        <v>●小禮物</v>
      </c>
      <c r="H1903" s="8"/>
    </row>
    <row r="1904">
      <c r="A1904" s="18"/>
      <c r="B1904" s="14">
        <f>IFERROR(__xludf.DUMMYFUNCTION("""COMPUTED_VALUE"""),510812.0)</f>
        <v>510812</v>
      </c>
      <c r="C1904" s="14" t="str">
        <f>IFERROR(__xludf.DUMMYFUNCTION("""COMPUTED_VALUE"""),"簡弘恩")</f>
        <v>簡弘恩</v>
      </c>
      <c r="D1904" s="16" t="str">
        <f>IFERROR(__xludf.DUMMYFUNCTION("""COMPUTED_VALUE"""),"ken*****ail.edu.tw")</f>
        <v>ken*****ail.edu.tw</v>
      </c>
      <c r="E1904" s="17" t="str">
        <f>IFERROR(__xludf.DUMMYFUNCTION("""COMPUTED_VALUE"""),"苗栗縣立新港國民中小學國小部")</f>
        <v>苗栗縣立新港國民中小學國小部</v>
      </c>
      <c r="F1904" s="14" t="str">
        <f>IFERROR(__xludf.DUMMYFUNCTION("""COMPUTED_VALUE"""),"五年級")</f>
        <v>五年級</v>
      </c>
      <c r="G1904" s="14" t="str">
        <f>IFERROR(__xludf.DUMMYFUNCTION("""COMPUTED_VALUE"""),"●小禮物")</f>
        <v>●小禮物</v>
      </c>
      <c r="H1904" s="8"/>
    </row>
    <row r="1905">
      <c r="A1905" s="18"/>
      <c r="B1905" s="14">
        <f>IFERROR(__xludf.DUMMYFUNCTION("""COMPUTED_VALUE"""),514136.0)</f>
        <v>514136</v>
      </c>
      <c r="C1905" s="14" t="str">
        <f>IFERROR(__xludf.DUMMYFUNCTION("""COMPUTED_VALUE"""),"陳芯彤")</f>
        <v>陳芯彤</v>
      </c>
      <c r="D1905" s="16" t="str">
        <f>IFERROR(__xludf.DUMMYFUNCTION("""COMPUTED_VALUE"""),"cin*****80718@mail.edu.tw")</f>
        <v>cin*****80718@mail.edu.tw</v>
      </c>
      <c r="E1905" s="17" t="str">
        <f>IFERROR(__xludf.DUMMYFUNCTION("""COMPUTED_VALUE"""),"苗栗縣立新港國民中小學國小部")</f>
        <v>苗栗縣立新港國民中小學國小部</v>
      </c>
      <c r="F1905" s="14" t="str">
        <f>IFERROR(__xludf.DUMMYFUNCTION("""COMPUTED_VALUE"""),"五年級")</f>
        <v>五年級</v>
      </c>
      <c r="G1905" s="14" t="str">
        <f>IFERROR(__xludf.DUMMYFUNCTION("""COMPUTED_VALUE"""),"★禮券$200")</f>
        <v>★禮券$200</v>
      </c>
      <c r="H1905" s="8"/>
    </row>
    <row r="1906">
      <c r="A1906" s="18"/>
      <c r="B1906" s="14">
        <f>IFERROR(__xludf.DUMMYFUNCTION("""COMPUTED_VALUE"""),513947.0)</f>
        <v>513947</v>
      </c>
      <c r="C1906" s="14" t="str">
        <f>IFERROR(__xludf.DUMMYFUNCTION("""COMPUTED_VALUE"""),"杜杰縢")</f>
        <v>杜杰縢</v>
      </c>
      <c r="D1906" s="16" t="str">
        <f>IFERROR(__xludf.DUMMYFUNCTION("""COMPUTED_VALUE"""),"thr*****06@mail.edu.tw")</f>
        <v>thr*****06@mail.edu.tw</v>
      </c>
      <c r="E1906" s="17" t="str">
        <f>IFERROR(__xludf.DUMMYFUNCTION("""COMPUTED_VALUE"""),"苗栗縣立新港國民中小學國小部")</f>
        <v>苗栗縣立新港國民中小學國小部</v>
      </c>
      <c r="F1906" s="14" t="str">
        <f>IFERROR(__xludf.DUMMYFUNCTION("""COMPUTED_VALUE"""),"五年級")</f>
        <v>五年級</v>
      </c>
      <c r="G1906" s="14" t="str">
        <f>IFERROR(__xludf.DUMMYFUNCTION("""COMPUTED_VALUE"""),"獎狀")</f>
        <v>獎狀</v>
      </c>
      <c r="H1906" s="8"/>
    </row>
    <row r="1907">
      <c r="A1907" s="18"/>
      <c r="B1907" s="14">
        <f>IFERROR(__xludf.DUMMYFUNCTION("""COMPUTED_VALUE"""),510809.0)</f>
        <v>510809</v>
      </c>
      <c r="C1907" s="14" t="str">
        <f>IFERROR(__xludf.DUMMYFUNCTION("""COMPUTED_VALUE"""),"徐以安")</f>
        <v>徐以安</v>
      </c>
      <c r="D1907" s="16" t="str">
        <f>IFERROR(__xludf.DUMMYFUNCTION("""COMPUTED_VALUE"""),"ali*****0119@mail.edu.tw")</f>
        <v>ali*****0119@mail.edu.tw</v>
      </c>
      <c r="E1907" s="17" t="str">
        <f>IFERROR(__xludf.DUMMYFUNCTION("""COMPUTED_VALUE"""),"苗栗縣立新港國民中小學國小部")</f>
        <v>苗栗縣立新港國民中小學國小部</v>
      </c>
      <c r="F1907" s="14" t="str">
        <f>IFERROR(__xludf.DUMMYFUNCTION("""COMPUTED_VALUE"""),"五年級")</f>
        <v>五年級</v>
      </c>
      <c r="G1907" s="14" t="str">
        <f>IFERROR(__xludf.DUMMYFUNCTION("""COMPUTED_VALUE"""),"獎狀")</f>
        <v>獎狀</v>
      </c>
      <c r="H1907" s="8"/>
    </row>
    <row r="1908">
      <c r="A1908" s="18"/>
      <c r="B1908" s="14">
        <f>IFERROR(__xludf.DUMMYFUNCTION("""COMPUTED_VALUE"""),510817.0)</f>
        <v>510817</v>
      </c>
      <c r="C1908" s="14" t="str">
        <f>IFERROR(__xludf.DUMMYFUNCTION("""COMPUTED_VALUE"""),"涂嘉讌")</f>
        <v>涂嘉讌</v>
      </c>
      <c r="D1908" s="16" t="str">
        <f>IFERROR(__xludf.DUMMYFUNCTION("""COMPUTED_VALUE"""),"yen*****@mail.edu.tw")</f>
        <v>yen*****@mail.edu.tw</v>
      </c>
      <c r="E1908" s="17" t="str">
        <f>IFERROR(__xludf.DUMMYFUNCTION("""COMPUTED_VALUE"""),"苗栗縣立新港國民中小學國小部")</f>
        <v>苗栗縣立新港國民中小學國小部</v>
      </c>
      <c r="F1908" s="14" t="str">
        <f>IFERROR(__xludf.DUMMYFUNCTION("""COMPUTED_VALUE"""),"五年級")</f>
        <v>五年級</v>
      </c>
      <c r="G1908" s="14" t="str">
        <f>IFERROR(__xludf.DUMMYFUNCTION("""COMPUTED_VALUE"""),"獎狀")</f>
        <v>獎狀</v>
      </c>
      <c r="H1908" s="8"/>
    </row>
    <row r="1909">
      <c r="A1909" s="18"/>
      <c r="B1909" s="14">
        <f>IFERROR(__xludf.DUMMYFUNCTION("""COMPUTED_VALUE"""),513977.0)</f>
        <v>513977</v>
      </c>
      <c r="C1909" s="14" t="str">
        <f>IFERROR(__xludf.DUMMYFUNCTION("""COMPUTED_VALUE"""),"梁喬凱")</f>
        <v>梁喬凱</v>
      </c>
      <c r="D1909" s="16" t="str">
        <f>IFERROR(__xludf.DUMMYFUNCTION("""COMPUTED_VALUE"""),"ken*****02020@mail.edu.tw")</f>
        <v>ken*****02020@mail.edu.tw</v>
      </c>
      <c r="E1909" s="17" t="str">
        <f>IFERROR(__xludf.DUMMYFUNCTION("""COMPUTED_VALUE"""),"苗栗縣立新港國民中小學國小部")</f>
        <v>苗栗縣立新港國民中小學國小部</v>
      </c>
      <c r="F1909" s="14" t="str">
        <f>IFERROR(__xludf.DUMMYFUNCTION("""COMPUTED_VALUE"""),"五年級")</f>
        <v>五年級</v>
      </c>
      <c r="G1909" s="14" t="str">
        <f>IFERROR(__xludf.DUMMYFUNCTION("""COMPUTED_VALUE"""),"獎狀")</f>
        <v>獎狀</v>
      </c>
      <c r="H1909" s="8"/>
    </row>
    <row r="1910">
      <c r="A1910" s="18"/>
      <c r="B1910" s="14">
        <f>IFERROR(__xludf.DUMMYFUNCTION("""COMPUTED_VALUE"""),594389.0)</f>
        <v>594389</v>
      </c>
      <c r="C1910" s="14" t="str">
        <f>IFERROR(__xludf.DUMMYFUNCTION("""COMPUTED_VALUE"""),"彭禹諾")</f>
        <v>彭禹諾</v>
      </c>
      <c r="D1910" s="16" t="str">
        <f>IFERROR(__xludf.DUMMYFUNCTION("""COMPUTED_VALUE"""),"ssj*****5@mail.edu.tw")</f>
        <v>ssj*****5@mail.edu.tw</v>
      </c>
      <c r="E1910" s="17" t="str">
        <f>IFERROR(__xludf.DUMMYFUNCTION("""COMPUTED_VALUE"""),"苗栗縣立新港國民中小學國小部")</f>
        <v>苗栗縣立新港國民中小學國小部</v>
      </c>
      <c r="F1910" s="14" t="str">
        <f>IFERROR(__xludf.DUMMYFUNCTION("""COMPUTED_VALUE"""),"五年級")</f>
        <v>五年級</v>
      </c>
      <c r="G1910" s="14" t="str">
        <f>IFERROR(__xludf.DUMMYFUNCTION("""COMPUTED_VALUE"""),"獎狀")</f>
        <v>獎狀</v>
      </c>
      <c r="H1910" s="8"/>
    </row>
    <row r="1911">
      <c r="A1911" s="18"/>
      <c r="B1911" s="14">
        <f>IFERROR(__xludf.DUMMYFUNCTION("""COMPUTED_VALUE"""),514133.0)</f>
        <v>514133</v>
      </c>
      <c r="C1911" s="14" t="str">
        <f>IFERROR(__xludf.DUMMYFUNCTION("""COMPUTED_VALUE"""),"劉芊杏")</f>
        <v>劉芊杏</v>
      </c>
      <c r="D1911" s="16" t="str">
        <f>IFERROR(__xludf.DUMMYFUNCTION("""COMPUTED_VALUE"""),"mol*****4@mail.edu.tw")</f>
        <v>mol*****4@mail.edu.tw</v>
      </c>
      <c r="E1911" s="17" t="str">
        <f>IFERROR(__xludf.DUMMYFUNCTION("""COMPUTED_VALUE"""),"苗栗縣立新港國民中小學國小部")</f>
        <v>苗栗縣立新港國民中小學國小部</v>
      </c>
      <c r="F1911" s="14" t="str">
        <f>IFERROR(__xludf.DUMMYFUNCTION("""COMPUTED_VALUE"""),"五年級")</f>
        <v>五年級</v>
      </c>
      <c r="G1911" s="14" t="str">
        <f>IFERROR(__xludf.DUMMYFUNCTION("""COMPUTED_VALUE"""),"獎狀")</f>
        <v>獎狀</v>
      </c>
      <c r="H1911" s="8"/>
    </row>
    <row r="1912">
      <c r="A1912" s="18"/>
      <c r="B1912" s="14">
        <f>IFERROR(__xludf.DUMMYFUNCTION("""COMPUTED_VALUE"""),510819.0)</f>
        <v>510819</v>
      </c>
      <c r="C1912" s="14" t="str">
        <f>IFERROR(__xludf.DUMMYFUNCTION("""COMPUTED_VALUE"""),"劉奕圻")</f>
        <v>劉奕圻</v>
      </c>
      <c r="D1912" s="16" t="str">
        <f>IFERROR(__xludf.DUMMYFUNCTION("""COMPUTED_VALUE"""),"aut*****8@mail.edu.tw")</f>
        <v>aut*****8@mail.edu.tw</v>
      </c>
      <c r="E1912" s="17" t="str">
        <f>IFERROR(__xludf.DUMMYFUNCTION("""COMPUTED_VALUE"""),"苗栗縣立新港國民中小學國小部")</f>
        <v>苗栗縣立新港國民中小學國小部</v>
      </c>
      <c r="F1912" s="14" t="str">
        <f>IFERROR(__xludf.DUMMYFUNCTION("""COMPUTED_VALUE"""),"五年級")</f>
        <v>五年級</v>
      </c>
      <c r="G1912" s="14" t="str">
        <f>IFERROR(__xludf.DUMMYFUNCTION("""COMPUTED_VALUE"""),"獎狀")</f>
        <v>獎狀</v>
      </c>
      <c r="H1912" s="8"/>
    </row>
    <row r="1913">
      <c r="A1913" s="18"/>
      <c r="B1913" s="14">
        <f>IFERROR(__xludf.DUMMYFUNCTION("""COMPUTED_VALUE"""),517880.0)</f>
        <v>517880</v>
      </c>
      <c r="C1913" s="14" t="str">
        <f>IFERROR(__xludf.DUMMYFUNCTION("""COMPUTED_VALUE"""),"鄭凱謙")</f>
        <v>鄭凱謙</v>
      </c>
      <c r="D1913" s="16" t="str">
        <f>IFERROR(__xludf.DUMMYFUNCTION("""COMPUTED_VALUE"""),"mes*****9@mail.edu.tw")</f>
        <v>mes*****9@mail.edu.tw</v>
      </c>
      <c r="E1913" s="17" t="str">
        <f>IFERROR(__xludf.DUMMYFUNCTION("""COMPUTED_VALUE"""),"苗栗縣立新港國民中小學國小部")</f>
        <v>苗栗縣立新港國民中小學國小部</v>
      </c>
      <c r="F1913" s="14" t="str">
        <f>IFERROR(__xludf.DUMMYFUNCTION("""COMPUTED_VALUE"""),"五年級")</f>
        <v>五年級</v>
      </c>
      <c r="G1913" s="14" t="str">
        <f>IFERROR(__xludf.DUMMYFUNCTION("""COMPUTED_VALUE"""),"獎狀")</f>
        <v>獎狀</v>
      </c>
      <c r="H1913" s="8"/>
    </row>
    <row r="1914">
      <c r="A1914" s="18"/>
      <c r="B1914" s="14">
        <f>IFERROR(__xludf.DUMMYFUNCTION("""COMPUTED_VALUE"""),513927.0)</f>
        <v>513927</v>
      </c>
      <c r="C1914" s="14" t="str">
        <f>IFERROR(__xludf.DUMMYFUNCTION("""COMPUTED_VALUE"""),"謝雨恩")</f>
        <v>謝雨恩</v>
      </c>
      <c r="D1914" s="16" t="str">
        <f>IFERROR(__xludf.DUMMYFUNCTION("""COMPUTED_VALUE"""),"ann*****ie1010@mail.edu.tw")</f>
        <v>ann*****ie1010@mail.edu.tw</v>
      </c>
      <c r="E1914" s="17" t="str">
        <f>IFERROR(__xludf.DUMMYFUNCTION("""COMPUTED_VALUE"""),"苗栗縣立新港國民中小學國小部")</f>
        <v>苗栗縣立新港國民中小學國小部</v>
      </c>
      <c r="F1914" s="14" t="str">
        <f>IFERROR(__xludf.DUMMYFUNCTION("""COMPUTED_VALUE"""),"五年級")</f>
        <v>五年級</v>
      </c>
      <c r="G1914" s="14" t="str">
        <f>IFERROR(__xludf.DUMMYFUNCTION("""COMPUTED_VALUE"""),"獎狀")</f>
        <v>獎狀</v>
      </c>
      <c r="H1914" s="8"/>
    </row>
    <row r="1915">
      <c r="A1915" s="18"/>
      <c r="B1915" s="14">
        <f>IFERROR(__xludf.DUMMYFUNCTION("""COMPUTED_VALUE"""),514162.0)</f>
        <v>514162</v>
      </c>
      <c r="C1915" s="14" t="str">
        <f>IFERROR(__xludf.DUMMYFUNCTION("""COMPUTED_VALUE"""),"謝婉茹")</f>
        <v>謝婉茹</v>
      </c>
      <c r="D1915" s="16" t="str">
        <f>IFERROR(__xludf.DUMMYFUNCTION("""COMPUTED_VALUE"""),"cin*****70127@mail.edu.tw")</f>
        <v>cin*****70127@mail.edu.tw</v>
      </c>
      <c r="E1915" s="17" t="str">
        <f>IFERROR(__xludf.DUMMYFUNCTION("""COMPUTED_VALUE"""),"苗栗縣立新港國民中小學國小部")</f>
        <v>苗栗縣立新港國民中小學國小部</v>
      </c>
      <c r="F1915" s="14" t="str">
        <f>IFERROR(__xludf.DUMMYFUNCTION("""COMPUTED_VALUE"""),"五年級")</f>
        <v>五年級</v>
      </c>
      <c r="G1915" s="14" t="str">
        <f>IFERROR(__xludf.DUMMYFUNCTION("""COMPUTED_VALUE"""),"獎狀")</f>
        <v>獎狀</v>
      </c>
      <c r="H1915" s="8"/>
    </row>
    <row r="1916">
      <c r="A1916" s="18"/>
      <c r="B1916" s="14">
        <f>IFERROR(__xludf.DUMMYFUNCTION("""COMPUTED_VALUE"""),510828.0)</f>
        <v>510828</v>
      </c>
      <c r="C1916" s="14" t="str">
        <f>IFERROR(__xludf.DUMMYFUNCTION("""COMPUTED_VALUE"""),"曾程")</f>
        <v>曾程</v>
      </c>
      <c r="D1916" s="16" t="str">
        <f>IFERROR(__xludf.DUMMYFUNCTION("""COMPUTED_VALUE"""),"sco*****03@mail.edu.tw")</f>
        <v>sco*****03@mail.edu.tw</v>
      </c>
      <c r="E1916" s="17" t="str">
        <f>IFERROR(__xludf.DUMMYFUNCTION("""COMPUTED_VALUE"""),"苗栗縣立新港國民中小學國小部")</f>
        <v>苗栗縣立新港國民中小學國小部</v>
      </c>
      <c r="F1916" s="14" t="str">
        <f>IFERROR(__xludf.DUMMYFUNCTION("""COMPUTED_VALUE"""),"五年級")</f>
        <v>五年級</v>
      </c>
      <c r="G1916" s="14" t="str">
        <f>IFERROR(__xludf.DUMMYFUNCTION("""COMPUTED_VALUE"""),"●小禮物")</f>
        <v>●小禮物</v>
      </c>
      <c r="H1916" s="8"/>
    </row>
    <row r="1917">
      <c r="A1917" s="18"/>
      <c r="B1917" s="14">
        <f>IFERROR(__xludf.DUMMYFUNCTION("""COMPUTED_VALUE"""),513925.0)</f>
        <v>513925</v>
      </c>
      <c r="C1917" s="14" t="str">
        <f>IFERROR(__xludf.DUMMYFUNCTION("""COMPUTED_VALUE"""),"胡涵晰")</f>
        <v>胡涵晰</v>
      </c>
      <c r="D1917" s="16" t="str">
        <f>IFERROR(__xludf.DUMMYFUNCTION("""COMPUTED_VALUE"""),"rit*****0510@mail.edu.tw")</f>
        <v>rit*****0510@mail.edu.tw</v>
      </c>
      <c r="E1917" s="17" t="str">
        <f>IFERROR(__xludf.DUMMYFUNCTION("""COMPUTED_VALUE"""),"苗栗縣立新港國民中小學國小部")</f>
        <v>苗栗縣立新港國民中小學國小部</v>
      </c>
      <c r="F1917" s="14" t="str">
        <f>IFERROR(__xludf.DUMMYFUNCTION("""COMPUTED_VALUE"""),"五年級")</f>
        <v>五年級</v>
      </c>
      <c r="G1917" s="14" t="str">
        <f>IFERROR(__xludf.DUMMYFUNCTION("""COMPUTED_VALUE"""),"★禮券$200")</f>
        <v>★禮券$200</v>
      </c>
      <c r="H1917" s="8"/>
    </row>
    <row r="1918">
      <c r="A1918" s="18"/>
      <c r="B1918" s="14">
        <f>IFERROR(__xludf.DUMMYFUNCTION("""COMPUTED_VALUE"""),510815.0)</f>
        <v>510815</v>
      </c>
      <c r="C1918" s="14" t="str">
        <f>IFERROR(__xludf.DUMMYFUNCTION("""COMPUTED_VALUE"""),"方絜潁")</f>
        <v>方絜潁</v>
      </c>
      <c r="D1918" s="16" t="str">
        <f>IFERROR(__xludf.DUMMYFUNCTION("""COMPUTED_VALUE"""),"je4*****@mail.edu.tw")</f>
        <v>je4*****@mail.edu.tw</v>
      </c>
      <c r="E1918" s="17" t="str">
        <f>IFERROR(__xludf.DUMMYFUNCTION("""COMPUTED_VALUE"""),"苗栗縣立新港國民中小學國小部")</f>
        <v>苗栗縣立新港國民中小學國小部</v>
      </c>
      <c r="F1918" s="14" t="str">
        <f>IFERROR(__xludf.DUMMYFUNCTION("""COMPUTED_VALUE"""),"五年級")</f>
        <v>五年級</v>
      </c>
      <c r="G1918" s="14" t="str">
        <f>IFERROR(__xludf.DUMMYFUNCTION("""COMPUTED_VALUE"""),"獎狀")</f>
        <v>獎狀</v>
      </c>
      <c r="H1918" s="8"/>
    </row>
    <row r="1919">
      <c r="A1919" s="18"/>
      <c r="B1919" s="14">
        <f>IFERROR(__xludf.DUMMYFUNCTION("""COMPUTED_VALUE"""),513988.0)</f>
        <v>513988</v>
      </c>
      <c r="C1919" s="14" t="str">
        <f>IFERROR(__xludf.DUMMYFUNCTION("""COMPUTED_VALUE"""),"林晏樟")</f>
        <v>林晏樟</v>
      </c>
      <c r="D1919" s="16" t="str">
        <f>IFERROR(__xludf.DUMMYFUNCTION("""COMPUTED_VALUE"""),"jim*****h1126@mail.edu.tw")</f>
        <v>jim*****h1126@mail.edu.tw</v>
      </c>
      <c r="E1919" s="17" t="str">
        <f>IFERROR(__xludf.DUMMYFUNCTION("""COMPUTED_VALUE"""),"苗栗縣立新港國民中小學國小部")</f>
        <v>苗栗縣立新港國民中小學國小部</v>
      </c>
      <c r="F1919" s="14" t="str">
        <f>IFERROR(__xludf.DUMMYFUNCTION("""COMPUTED_VALUE"""),"五年級")</f>
        <v>五年級</v>
      </c>
      <c r="G1919" s="14" t="str">
        <f>IFERROR(__xludf.DUMMYFUNCTION("""COMPUTED_VALUE"""),"獎狀")</f>
        <v>獎狀</v>
      </c>
      <c r="H1919" s="8"/>
    </row>
    <row r="1920">
      <c r="A1920" s="18"/>
      <c r="B1920" s="14">
        <f>IFERROR(__xludf.DUMMYFUNCTION("""COMPUTED_VALUE"""),514122.0)</f>
        <v>514122</v>
      </c>
      <c r="C1920" s="14" t="str">
        <f>IFERROR(__xludf.DUMMYFUNCTION("""COMPUTED_VALUE"""),"彭禹翔")</f>
        <v>彭禹翔</v>
      </c>
      <c r="D1920" s="16" t="str">
        <f>IFERROR(__xludf.DUMMYFUNCTION("""COMPUTED_VALUE"""),"owe*****@mail.edu.tw")</f>
        <v>owe*****@mail.edu.tw</v>
      </c>
      <c r="E1920" s="17" t="str">
        <f>IFERROR(__xludf.DUMMYFUNCTION("""COMPUTED_VALUE"""),"苗栗縣立新港國民中小學國小部")</f>
        <v>苗栗縣立新港國民中小學國小部</v>
      </c>
      <c r="F1920" s="14" t="str">
        <f>IFERROR(__xludf.DUMMYFUNCTION("""COMPUTED_VALUE"""),"五年級")</f>
        <v>五年級</v>
      </c>
      <c r="G1920" s="14" t="str">
        <f>IFERROR(__xludf.DUMMYFUNCTION("""COMPUTED_VALUE"""),"獎狀")</f>
        <v>獎狀</v>
      </c>
      <c r="H1920" s="8"/>
    </row>
    <row r="1921">
      <c r="A1921" s="18"/>
      <c r="B1921" s="14">
        <f>IFERROR(__xludf.DUMMYFUNCTION("""COMPUTED_VALUE"""),510820.0)</f>
        <v>510820</v>
      </c>
      <c r="C1921" s="14" t="str">
        <f>IFERROR(__xludf.DUMMYFUNCTION("""COMPUTED_VALUE"""),"鄭品嘉")</f>
        <v>鄭品嘉</v>
      </c>
      <c r="D1921" s="16" t="str">
        <f>IFERROR(__xludf.DUMMYFUNCTION("""COMPUTED_VALUE"""),"jos*****@mail.edu.tw")</f>
        <v>jos*****@mail.edu.tw</v>
      </c>
      <c r="E1921" s="17" t="str">
        <f>IFERROR(__xludf.DUMMYFUNCTION("""COMPUTED_VALUE"""),"苗栗縣立新港國民中小學國小部")</f>
        <v>苗栗縣立新港國民中小學國小部</v>
      </c>
      <c r="F1921" s="14" t="str">
        <f>IFERROR(__xludf.DUMMYFUNCTION("""COMPUTED_VALUE"""),"五年級")</f>
        <v>五年級</v>
      </c>
      <c r="G1921" s="14" t="str">
        <f>IFERROR(__xludf.DUMMYFUNCTION("""COMPUTED_VALUE"""),"獎狀")</f>
        <v>獎狀</v>
      </c>
      <c r="H1921" s="8"/>
    </row>
    <row r="1922">
      <c r="A1922" s="18"/>
      <c r="B1922" s="14">
        <f>IFERROR(__xludf.DUMMYFUNCTION("""COMPUTED_VALUE"""),490214.0)</f>
        <v>490214</v>
      </c>
      <c r="C1922" s="14" t="str">
        <f>IFERROR(__xludf.DUMMYFUNCTION("""COMPUTED_VALUE"""),"江睿哲")</f>
        <v>江睿哲</v>
      </c>
      <c r="D1922" s="16" t="str">
        <f>IFERROR(__xludf.DUMMYFUNCTION("""COMPUTED_VALUE"""),"ttf*****5678910@mail.edu.tw")</f>
        <v>ttf*****5678910@mail.edu.tw</v>
      </c>
      <c r="E1922" s="17" t="str">
        <f>IFERROR(__xludf.DUMMYFUNCTION("""COMPUTED_VALUE"""),"苗栗縣立新港國民中小學國小部")</f>
        <v>苗栗縣立新港國民中小學國小部</v>
      </c>
      <c r="F1922" s="14" t="str">
        <f>IFERROR(__xludf.DUMMYFUNCTION("""COMPUTED_VALUE"""),"六年級")</f>
        <v>六年級</v>
      </c>
      <c r="G1922" s="14" t="str">
        <f>IFERROR(__xludf.DUMMYFUNCTION("""COMPUTED_VALUE"""),"●小禮物")</f>
        <v>●小禮物</v>
      </c>
      <c r="H1922" s="8"/>
    </row>
    <row r="1923">
      <c r="A1923" s="18"/>
      <c r="B1923" s="14">
        <f>IFERROR(__xludf.DUMMYFUNCTION("""COMPUTED_VALUE"""),501224.0)</f>
        <v>501224</v>
      </c>
      <c r="C1923" s="14" t="str">
        <f>IFERROR(__xludf.DUMMYFUNCTION("""COMPUTED_VALUE"""),"汪御擷")</f>
        <v>汪御擷</v>
      </c>
      <c r="D1923" s="16" t="str">
        <f>IFERROR(__xludf.DUMMYFUNCTION("""COMPUTED_VALUE"""),"jac*****624@mail.edu.tw")</f>
        <v>jac*****624@mail.edu.tw</v>
      </c>
      <c r="E1923" s="17" t="str">
        <f>IFERROR(__xludf.DUMMYFUNCTION("""COMPUTED_VALUE"""),"苗栗縣立新港國民中小學國小部")</f>
        <v>苗栗縣立新港國民中小學國小部</v>
      </c>
      <c r="F1923" s="14" t="str">
        <f>IFERROR(__xludf.DUMMYFUNCTION("""COMPUTED_VALUE"""),"六年級")</f>
        <v>六年級</v>
      </c>
      <c r="G1923" s="14" t="str">
        <f>IFERROR(__xludf.DUMMYFUNCTION("""COMPUTED_VALUE"""),"●小禮物")</f>
        <v>●小禮物</v>
      </c>
      <c r="H1923" s="8"/>
    </row>
    <row r="1924">
      <c r="A1924" s="18"/>
      <c r="B1924" s="14">
        <f>IFERROR(__xludf.DUMMYFUNCTION("""COMPUTED_VALUE"""),491194.0)</f>
        <v>491194</v>
      </c>
      <c r="C1924" s="14" t="str">
        <f>IFERROR(__xludf.DUMMYFUNCTION("""COMPUTED_VALUE"""),"郭芸君")</f>
        <v>郭芸君</v>
      </c>
      <c r="D1924" s="16" t="str">
        <f>IFERROR(__xludf.DUMMYFUNCTION("""COMPUTED_VALUE"""),"nih*****29@mail.edu.tw")</f>
        <v>nih*****29@mail.edu.tw</v>
      </c>
      <c r="E1924" s="17" t="str">
        <f>IFERROR(__xludf.DUMMYFUNCTION("""COMPUTED_VALUE"""),"苗栗縣立新港國民中小學國小部")</f>
        <v>苗栗縣立新港國民中小學國小部</v>
      </c>
      <c r="F1924" s="14" t="str">
        <f>IFERROR(__xludf.DUMMYFUNCTION("""COMPUTED_VALUE"""),"六年級")</f>
        <v>六年級</v>
      </c>
      <c r="G1924" s="14" t="str">
        <f>IFERROR(__xludf.DUMMYFUNCTION("""COMPUTED_VALUE"""),"●小禮物")</f>
        <v>●小禮物</v>
      </c>
      <c r="H1924" s="8"/>
    </row>
    <row r="1925">
      <c r="A1925" s="18"/>
      <c r="B1925" s="14">
        <f>IFERROR(__xludf.DUMMYFUNCTION("""COMPUTED_VALUE"""),491203.0)</f>
        <v>491203</v>
      </c>
      <c r="C1925" s="14" t="str">
        <f>IFERROR(__xludf.DUMMYFUNCTION("""COMPUTED_VALUE"""),"廖桐宣")</f>
        <v>廖桐宣</v>
      </c>
      <c r="D1925" s="16" t="str">
        <f>IFERROR(__xludf.DUMMYFUNCTION("""COMPUTED_VALUE"""),"dor*****07@mail.edu.tw")</f>
        <v>dor*****07@mail.edu.tw</v>
      </c>
      <c r="E1925" s="17" t="str">
        <f>IFERROR(__xludf.DUMMYFUNCTION("""COMPUTED_VALUE"""),"苗栗縣立新港國民中小學國小部")</f>
        <v>苗栗縣立新港國民中小學國小部</v>
      </c>
      <c r="F1925" s="14" t="str">
        <f>IFERROR(__xludf.DUMMYFUNCTION("""COMPUTED_VALUE"""),"六年級")</f>
        <v>六年級</v>
      </c>
      <c r="G1925" s="14" t="str">
        <f>IFERROR(__xludf.DUMMYFUNCTION("""COMPUTED_VALUE"""),"●小禮物")</f>
        <v>●小禮物</v>
      </c>
      <c r="H1925" s="8"/>
    </row>
    <row r="1926">
      <c r="A1926" s="18"/>
      <c r="B1926" s="14">
        <f>IFERROR(__xludf.DUMMYFUNCTION("""COMPUTED_VALUE"""),490230.0)</f>
        <v>490230</v>
      </c>
      <c r="C1926" s="14" t="str">
        <f>IFERROR(__xludf.DUMMYFUNCTION("""COMPUTED_VALUE"""),"趙彩妘")</f>
        <v>趙彩妘</v>
      </c>
      <c r="D1926" s="16" t="str">
        <f>IFERROR(__xludf.DUMMYFUNCTION("""COMPUTED_VALUE"""),"tri*****04245@mail.edu.tw")</f>
        <v>tri*****04245@mail.edu.tw</v>
      </c>
      <c r="E1926" s="17" t="str">
        <f>IFERROR(__xludf.DUMMYFUNCTION("""COMPUTED_VALUE"""),"苗栗縣立新港國民中小學國小部")</f>
        <v>苗栗縣立新港國民中小學國小部</v>
      </c>
      <c r="F1926" s="14" t="str">
        <f>IFERROR(__xludf.DUMMYFUNCTION("""COMPUTED_VALUE"""),"六年級")</f>
        <v>六年級</v>
      </c>
      <c r="G1926" s="14" t="str">
        <f>IFERROR(__xludf.DUMMYFUNCTION("""COMPUTED_VALUE"""),"●小禮物")</f>
        <v>●小禮物</v>
      </c>
      <c r="H1926" s="8"/>
    </row>
    <row r="1927">
      <c r="A1927" s="18"/>
      <c r="B1927" s="14">
        <f>IFERROR(__xludf.DUMMYFUNCTION("""COMPUTED_VALUE"""),490239.0)</f>
        <v>490239</v>
      </c>
      <c r="C1927" s="14" t="str">
        <f>IFERROR(__xludf.DUMMYFUNCTION("""COMPUTED_VALUE"""),"劉容嘉")</f>
        <v>劉容嘉</v>
      </c>
      <c r="D1927" s="16" t="str">
        <f>IFERROR(__xludf.DUMMYFUNCTION("""COMPUTED_VALUE"""),"gag*****330@mail.edu.tw")</f>
        <v>gag*****330@mail.edu.tw</v>
      </c>
      <c r="E1927" s="17" t="str">
        <f>IFERROR(__xludf.DUMMYFUNCTION("""COMPUTED_VALUE"""),"苗栗縣立新港國民中小學國小部")</f>
        <v>苗栗縣立新港國民中小學國小部</v>
      </c>
      <c r="F1927" s="14" t="str">
        <f>IFERROR(__xludf.DUMMYFUNCTION("""COMPUTED_VALUE"""),"六年級")</f>
        <v>六年級</v>
      </c>
      <c r="G1927" s="14" t="str">
        <f>IFERROR(__xludf.DUMMYFUNCTION("""COMPUTED_VALUE"""),"●小禮物")</f>
        <v>●小禮物</v>
      </c>
      <c r="H1927" s="8"/>
    </row>
    <row r="1928">
      <c r="A1928" s="18"/>
      <c r="B1928" s="14">
        <f>IFERROR(__xludf.DUMMYFUNCTION("""COMPUTED_VALUE"""),501216.0)</f>
        <v>501216</v>
      </c>
      <c r="C1928" s="14" t="str">
        <f>IFERROR(__xludf.DUMMYFUNCTION("""COMPUTED_VALUE"""),"蘇品云")</f>
        <v>蘇品云</v>
      </c>
      <c r="D1928" s="16" t="str">
        <f>IFERROR(__xludf.DUMMYFUNCTION("""COMPUTED_VALUE"""),"ali*****814@mail.edu.tw")</f>
        <v>ali*****814@mail.edu.tw</v>
      </c>
      <c r="E1928" s="17" t="str">
        <f>IFERROR(__xludf.DUMMYFUNCTION("""COMPUTED_VALUE"""),"苗栗縣立新港國民中小學國小部")</f>
        <v>苗栗縣立新港國民中小學國小部</v>
      </c>
      <c r="F1928" s="14" t="str">
        <f>IFERROR(__xludf.DUMMYFUNCTION("""COMPUTED_VALUE"""),"六年級")</f>
        <v>六年級</v>
      </c>
      <c r="G1928" s="14" t="str">
        <f>IFERROR(__xludf.DUMMYFUNCTION("""COMPUTED_VALUE"""),"●小禮物")</f>
        <v>●小禮物</v>
      </c>
      <c r="H1928" s="8"/>
    </row>
    <row r="1929">
      <c r="A1929" s="18"/>
      <c r="B1929" s="14">
        <f>IFERROR(__xludf.DUMMYFUNCTION("""COMPUTED_VALUE"""),491198.0)</f>
        <v>491198</v>
      </c>
      <c r="C1929" s="14" t="str">
        <f>IFERROR(__xludf.DUMMYFUNCTION("""COMPUTED_VALUE"""),"周諆恩")</f>
        <v>周諆恩</v>
      </c>
      <c r="D1929" s="16" t="str">
        <f>IFERROR(__xludf.DUMMYFUNCTION("""COMPUTED_VALUE"""),"ant*****@mail.edu.tw")</f>
        <v>ant*****@mail.edu.tw</v>
      </c>
      <c r="E1929" s="17" t="str">
        <f>IFERROR(__xludf.DUMMYFUNCTION("""COMPUTED_VALUE"""),"苗栗縣立新港國民中小學國小部")</f>
        <v>苗栗縣立新港國民中小學國小部</v>
      </c>
      <c r="F1929" s="14" t="str">
        <f>IFERROR(__xludf.DUMMYFUNCTION("""COMPUTED_VALUE"""),"六年級")</f>
        <v>六年級</v>
      </c>
      <c r="G1929" s="14" t="str">
        <f>IFERROR(__xludf.DUMMYFUNCTION("""COMPUTED_VALUE"""),"獎狀")</f>
        <v>獎狀</v>
      </c>
      <c r="H1929" s="8"/>
    </row>
    <row r="1930">
      <c r="A1930" s="18"/>
      <c r="B1930" s="14">
        <f>IFERROR(__xludf.DUMMYFUNCTION("""COMPUTED_VALUE"""),586353.0)</f>
        <v>586353</v>
      </c>
      <c r="C1930" s="14" t="str">
        <f>IFERROR(__xludf.DUMMYFUNCTION("""COMPUTED_VALUE"""),"陳芊彤")</f>
        <v>陳芊彤</v>
      </c>
      <c r="D1930" s="16" t="str">
        <f>IFERROR(__xludf.DUMMYFUNCTION("""COMPUTED_VALUE"""),"bar*****15@mail.edu.tw")</f>
        <v>bar*****15@mail.edu.tw</v>
      </c>
      <c r="E1930" s="17" t="str">
        <f>IFERROR(__xludf.DUMMYFUNCTION("""COMPUTED_VALUE"""),"苗栗縣立新港國民中小學國小部")</f>
        <v>苗栗縣立新港國民中小學國小部</v>
      </c>
      <c r="F1930" s="14" t="str">
        <f>IFERROR(__xludf.DUMMYFUNCTION("""COMPUTED_VALUE"""),"六年級")</f>
        <v>六年級</v>
      </c>
      <c r="G1930" s="14" t="str">
        <f>IFERROR(__xludf.DUMMYFUNCTION("""COMPUTED_VALUE"""),"獎狀")</f>
        <v>獎狀</v>
      </c>
      <c r="H1930" s="8"/>
    </row>
    <row r="1931">
      <c r="A1931" s="18"/>
      <c r="B1931" s="14">
        <f>IFERROR(__xludf.DUMMYFUNCTION("""COMPUTED_VALUE"""),968576.0)</f>
        <v>968576</v>
      </c>
      <c r="C1931" s="14" t="str">
        <f>IFERROR(__xludf.DUMMYFUNCTION("""COMPUTED_VALUE"""),"彭冠勳")</f>
        <v>彭冠勳</v>
      </c>
      <c r="D1931" s="16" t="str">
        <f>IFERROR(__xludf.DUMMYFUNCTION("""COMPUTED_VALUE"""),"tc.*****0295@mail.edu.tw")</f>
        <v>tc.*****0295@mail.edu.tw</v>
      </c>
      <c r="E1931" s="17" t="str">
        <f>IFERROR(__xludf.DUMMYFUNCTION("""COMPUTED_VALUE"""),"苗栗縣立新港國民中小學國小部")</f>
        <v>苗栗縣立新港國民中小學國小部</v>
      </c>
      <c r="F1931" s="14" t="str">
        <f>IFERROR(__xludf.DUMMYFUNCTION("""COMPUTED_VALUE"""),"六年級")</f>
        <v>六年級</v>
      </c>
      <c r="G1931" s="14" t="str">
        <f>IFERROR(__xludf.DUMMYFUNCTION("""COMPUTED_VALUE"""),"獎狀")</f>
        <v>獎狀</v>
      </c>
      <c r="H1931" s="8"/>
    </row>
    <row r="1932">
      <c r="A1932" s="18"/>
      <c r="B1932" s="14">
        <f>IFERROR(__xludf.DUMMYFUNCTION("""COMPUTED_VALUE"""),491193.0)</f>
        <v>491193</v>
      </c>
      <c r="C1932" s="14" t="str">
        <f>IFERROR(__xludf.DUMMYFUNCTION("""COMPUTED_VALUE"""),"彭柏予")</f>
        <v>彭柏予</v>
      </c>
      <c r="D1932" s="16" t="str">
        <f>IFERROR(__xludf.DUMMYFUNCTION("""COMPUTED_VALUE"""),"boy*****456789@mail.edu.tw")</f>
        <v>boy*****456789@mail.edu.tw</v>
      </c>
      <c r="E1932" s="17" t="str">
        <f>IFERROR(__xludf.DUMMYFUNCTION("""COMPUTED_VALUE"""),"苗栗縣立新港國民中小學國小部")</f>
        <v>苗栗縣立新港國民中小學國小部</v>
      </c>
      <c r="F1932" s="14" t="str">
        <f>IFERROR(__xludf.DUMMYFUNCTION("""COMPUTED_VALUE"""),"六年級")</f>
        <v>六年級</v>
      </c>
      <c r="G1932" s="14" t="str">
        <f>IFERROR(__xludf.DUMMYFUNCTION("""COMPUTED_VALUE"""),"獎狀")</f>
        <v>獎狀</v>
      </c>
      <c r="H1932" s="8"/>
    </row>
    <row r="1933">
      <c r="A1933" s="18"/>
      <c r="B1933" s="14">
        <f>IFERROR(__xludf.DUMMYFUNCTION("""COMPUTED_VALUE"""),491192.0)</f>
        <v>491192</v>
      </c>
      <c r="C1933" s="14" t="str">
        <f>IFERROR(__xludf.DUMMYFUNCTION("""COMPUTED_VALUE"""),"曾嶸")</f>
        <v>曾嶸</v>
      </c>
      <c r="D1933" s="16" t="str">
        <f>IFERROR(__xludf.DUMMYFUNCTION("""COMPUTED_VALUE"""),"jer*****1011@mail.edu.tw")</f>
        <v>jer*****1011@mail.edu.tw</v>
      </c>
      <c r="E1933" s="17" t="str">
        <f>IFERROR(__xludf.DUMMYFUNCTION("""COMPUTED_VALUE"""),"苗栗縣立新港國民中小學國小部")</f>
        <v>苗栗縣立新港國民中小學國小部</v>
      </c>
      <c r="F1933" s="14" t="str">
        <f>IFERROR(__xludf.DUMMYFUNCTION("""COMPUTED_VALUE"""),"六年級")</f>
        <v>六年級</v>
      </c>
      <c r="G1933" s="14" t="str">
        <f>IFERROR(__xludf.DUMMYFUNCTION("""COMPUTED_VALUE"""),"獎狀")</f>
        <v>獎狀</v>
      </c>
      <c r="H1933" s="8"/>
    </row>
    <row r="1934">
      <c r="A1934" s="18"/>
      <c r="B1934" s="14">
        <f>IFERROR(__xludf.DUMMYFUNCTION("""COMPUTED_VALUE"""),501227.0)</f>
        <v>501227</v>
      </c>
      <c r="C1934" s="14" t="str">
        <f>IFERROR(__xludf.DUMMYFUNCTION("""COMPUTED_VALUE"""),"劉栯瑄")</f>
        <v>劉栯瑄</v>
      </c>
      <c r="D1934" s="16" t="str">
        <f>IFERROR(__xludf.DUMMYFUNCTION("""COMPUTED_VALUE"""),"e12*****7@mail.edu.tw")</f>
        <v>e12*****7@mail.edu.tw</v>
      </c>
      <c r="E1934" s="17" t="str">
        <f>IFERROR(__xludf.DUMMYFUNCTION("""COMPUTED_VALUE"""),"苗栗縣立新港國民中小學國小部")</f>
        <v>苗栗縣立新港國民中小學國小部</v>
      </c>
      <c r="F1934" s="14" t="str">
        <f>IFERROR(__xludf.DUMMYFUNCTION("""COMPUTED_VALUE"""),"六年級")</f>
        <v>六年級</v>
      </c>
      <c r="G1934" s="14" t="str">
        <f>IFERROR(__xludf.DUMMYFUNCTION("""COMPUTED_VALUE"""),"獎狀")</f>
        <v>獎狀</v>
      </c>
      <c r="H1934" s="8"/>
    </row>
    <row r="1935">
      <c r="A1935" s="18"/>
      <c r="B1935" s="14">
        <f>IFERROR(__xludf.DUMMYFUNCTION("""COMPUTED_VALUE"""),491215.0)</f>
        <v>491215</v>
      </c>
      <c r="C1935" s="14" t="str">
        <f>IFERROR(__xludf.DUMMYFUNCTION("""COMPUTED_VALUE"""),"謝佳何")</f>
        <v>謝佳何</v>
      </c>
      <c r="D1935" s="16" t="str">
        <f>IFERROR(__xludf.DUMMYFUNCTION("""COMPUTED_VALUE"""),"har*****221@mail.edu.tw")</f>
        <v>har*****221@mail.edu.tw</v>
      </c>
      <c r="E1935" s="17" t="str">
        <f>IFERROR(__xludf.DUMMYFUNCTION("""COMPUTED_VALUE"""),"苗栗縣立新港國民中小學國小部")</f>
        <v>苗栗縣立新港國民中小學國小部</v>
      </c>
      <c r="F1935" s="14" t="str">
        <f>IFERROR(__xludf.DUMMYFUNCTION("""COMPUTED_VALUE"""),"六年級")</f>
        <v>六年級</v>
      </c>
      <c r="G1935" s="14" t="str">
        <f>IFERROR(__xludf.DUMMYFUNCTION("""COMPUTED_VALUE"""),"獎狀")</f>
        <v>獎狀</v>
      </c>
      <c r="H1935" s="8"/>
    </row>
    <row r="1936">
      <c r="A1936" s="18"/>
      <c r="B1936" s="14">
        <f>IFERROR(__xludf.DUMMYFUNCTION("""COMPUTED_VALUE"""),491207.0)</f>
        <v>491207</v>
      </c>
      <c r="C1936" s="14" t="str">
        <f>IFERROR(__xludf.DUMMYFUNCTION("""COMPUTED_VALUE"""),"鍾韋竹")</f>
        <v>鍾韋竹</v>
      </c>
      <c r="D1936" s="16" t="str">
        <f>IFERROR(__xludf.DUMMYFUNCTION("""COMPUTED_VALUE"""),"wen*****018@mail.edu.tw")</f>
        <v>wen*****018@mail.edu.tw</v>
      </c>
      <c r="E1936" s="17" t="str">
        <f>IFERROR(__xludf.DUMMYFUNCTION("""COMPUTED_VALUE"""),"苗栗縣立新港國民中小學國小部")</f>
        <v>苗栗縣立新港國民中小學國小部</v>
      </c>
      <c r="F1936" s="14" t="str">
        <f>IFERROR(__xludf.DUMMYFUNCTION("""COMPUTED_VALUE"""),"六年級")</f>
        <v>六年級</v>
      </c>
      <c r="G1936" s="14" t="str">
        <f>IFERROR(__xludf.DUMMYFUNCTION("""COMPUTED_VALUE"""),"獎狀")</f>
        <v>獎狀</v>
      </c>
      <c r="H1936" s="8"/>
    </row>
    <row r="1937">
      <c r="A1937" s="18"/>
      <c r="B1937" s="14">
        <f>IFERROR(__xludf.DUMMYFUNCTION("""COMPUTED_VALUE"""),490234.0)</f>
        <v>490234</v>
      </c>
      <c r="C1937" s="14" t="str">
        <f>IFERROR(__xludf.DUMMYFUNCTION("""COMPUTED_VALUE"""),"陳鴻儀")</f>
        <v>陳鴻儀</v>
      </c>
      <c r="D1937" s="16" t="str">
        <f>IFERROR(__xludf.DUMMYFUNCTION("""COMPUTED_VALUE"""),"loo*****5678910@mail.edu.tw")</f>
        <v>loo*****5678910@mail.edu.tw</v>
      </c>
      <c r="E1937" s="17" t="str">
        <f>IFERROR(__xludf.DUMMYFUNCTION("""COMPUTED_VALUE"""),"苗栗縣立新港國民中小學國小部")</f>
        <v>苗栗縣立新港國民中小學國小部</v>
      </c>
      <c r="F1937" s="14" t="str">
        <f>IFERROR(__xludf.DUMMYFUNCTION("""COMPUTED_VALUE"""),"六年級")</f>
        <v>六年級</v>
      </c>
      <c r="G1937" s="14" t="str">
        <f>IFERROR(__xludf.DUMMYFUNCTION("""COMPUTED_VALUE"""),"●小禮物")</f>
        <v>●小禮物</v>
      </c>
      <c r="H1937" s="8"/>
    </row>
    <row r="1938">
      <c r="A1938" s="18"/>
      <c r="B1938" s="14">
        <f>IFERROR(__xludf.DUMMYFUNCTION("""COMPUTED_VALUE"""),490233.0)</f>
        <v>490233</v>
      </c>
      <c r="C1938" s="14" t="str">
        <f>IFERROR(__xludf.DUMMYFUNCTION("""COMPUTED_VALUE"""),"葉語真")</f>
        <v>葉語真</v>
      </c>
      <c r="D1938" s="16" t="str">
        <f>IFERROR(__xludf.DUMMYFUNCTION("""COMPUTED_VALUE"""),"ami*****513@mail.edu.tw")</f>
        <v>ami*****513@mail.edu.tw</v>
      </c>
      <c r="E1938" s="17" t="str">
        <f>IFERROR(__xludf.DUMMYFUNCTION("""COMPUTED_VALUE"""),"苗栗縣立新港國民中小學國小部")</f>
        <v>苗栗縣立新港國民中小學國小部</v>
      </c>
      <c r="F1938" s="14" t="str">
        <f>IFERROR(__xludf.DUMMYFUNCTION("""COMPUTED_VALUE"""),"六年級")</f>
        <v>六年級</v>
      </c>
      <c r="G1938" s="14" t="str">
        <f>IFERROR(__xludf.DUMMYFUNCTION("""COMPUTED_VALUE"""),"●小禮物")</f>
        <v>●小禮物</v>
      </c>
      <c r="H1938" s="8"/>
    </row>
    <row r="1939">
      <c r="A1939" s="18"/>
      <c r="B1939" s="14">
        <f>IFERROR(__xludf.DUMMYFUNCTION("""COMPUTED_VALUE"""),501218.0)</f>
        <v>501218</v>
      </c>
      <c r="C1939" s="14" t="str">
        <f>IFERROR(__xludf.DUMMYFUNCTION("""COMPUTED_VALUE"""),"劉璟君")</f>
        <v>劉璟君</v>
      </c>
      <c r="D1939" s="16" t="str">
        <f>IFERROR(__xludf.DUMMYFUNCTION("""COMPUTED_VALUE"""),"jer*****mail.edu.tw")</f>
        <v>jer*****mail.edu.tw</v>
      </c>
      <c r="E1939" s="17" t="str">
        <f>IFERROR(__xludf.DUMMYFUNCTION("""COMPUTED_VALUE"""),"苗栗縣立新港國民中小學國小部")</f>
        <v>苗栗縣立新港國民中小學國小部</v>
      </c>
      <c r="F1939" s="14" t="str">
        <f>IFERROR(__xludf.DUMMYFUNCTION("""COMPUTED_VALUE"""),"六年級")</f>
        <v>六年級</v>
      </c>
      <c r="G1939" s="14" t="str">
        <f>IFERROR(__xludf.DUMMYFUNCTION("""COMPUTED_VALUE"""),"●小禮物")</f>
        <v>●小禮物</v>
      </c>
      <c r="H1939" s="8"/>
    </row>
    <row r="1940">
      <c r="A1940" s="18"/>
      <c r="B1940" s="14">
        <f>IFERROR(__xludf.DUMMYFUNCTION("""COMPUTED_VALUE"""),491211.0)</f>
        <v>491211</v>
      </c>
      <c r="C1940" s="14" t="str">
        <f>IFERROR(__xludf.DUMMYFUNCTION("""COMPUTED_VALUE"""),"黎宥岑")</f>
        <v>黎宥岑</v>
      </c>
      <c r="D1940" s="16" t="str">
        <f>IFERROR(__xludf.DUMMYFUNCTION("""COMPUTED_VALUE"""),"jan*****069@mail.edu.tw")</f>
        <v>jan*****069@mail.edu.tw</v>
      </c>
      <c r="E1940" s="17" t="str">
        <f>IFERROR(__xludf.DUMMYFUNCTION("""COMPUTED_VALUE"""),"苗栗縣立新港國民中小學國小部")</f>
        <v>苗栗縣立新港國民中小學國小部</v>
      </c>
      <c r="F1940" s="14" t="str">
        <f>IFERROR(__xludf.DUMMYFUNCTION("""COMPUTED_VALUE"""),"六年級")</f>
        <v>六年級</v>
      </c>
      <c r="G1940" s="14" t="str">
        <f>IFERROR(__xludf.DUMMYFUNCTION("""COMPUTED_VALUE"""),"●小禮物")</f>
        <v>●小禮物</v>
      </c>
      <c r="H1940" s="8"/>
    </row>
    <row r="1941">
      <c r="A1941" s="18"/>
      <c r="B1941" s="14">
        <f>IFERROR(__xludf.DUMMYFUNCTION("""COMPUTED_VALUE"""),501229.0)</f>
        <v>501229</v>
      </c>
      <c r="C1941" s="14" t="str">
        <f>IFERROR(__xludf.DUMMYFUNCTION("""COMPUTED_VALUE"""),"賴旻莛")</f>
        <v>賴旻莛</v>
      </c>
      <c r="D1941" s="16" t="str">
        <f>IFERROR(__xludf.DUMMYFUNCTION("""COMPUTED_VALUE"""),"emi*****0224@mail.edu.tw")</f>
        <v>emi*****0224@mail.edu.tw</v>
      </c>
      <c r="E1941" s="17" t="str">
        <f>IFERROR(__xludf.DUMMYFUNCTION("""COMPUTED_VALUE"""),"苗栗縣立新港國民中小學國小部")</f>
        <v>苗栗縣立新港國民中小學國小部</v>
      </c>
      <c r="F1941" s="14" t="str">
        <f>IFERROR(__xludf.DUMMYFUNCTION("""COMPUTED_VALUE"""),"六年級")</f>
        <v>六年級</v>
      </c>
      <c r="G1941" s="14" t="str">
        <f>IFERROR(__xludf.DUMMYFUNCTION("""COMPUTED_VALUE"""),"●小禮物")</f>
        <v>●小禮物</v>
      </c>
      <c r="H1941" s="8"/>
    </row>
    <row r="1942">
      <c r="A1942" s="18"/>
      <c r="B1942" s="14">
        <f>IFERROR(__xludf.DUMMYFUNCTION("""COMPUTED_VALUE"""),501225.0)</f>
        <v>501225</v>
      </c>
      <c r="C1942" s="14" t="str">
        <f>IFERROR(__xludf.DUMMYFUNCTION("""COMPUTED_VALUE"""),"邱子玲")</f>
        <v>邱子玲</v>
      </c>
      <c r="D1942" s="16" t="str">
        <f>IFERROR(__xludf.DUMMYFUNCTION("""COMPUTED_VALUE"""),"mic*****00126@mail.edu.tw")</f>
        <v>mic*****00126@mail.edu.tw</v>
      </c>
      <c r="E1942" s="17" t="str">
        <f>IFERROR(__xludf.DUMMYFUNCTION("""COMPUTED_VALUE"""),"苗栗縣立新港國民中小學國小部")</f>
        <v>苗栗縣立新港國民中小學國小部</v>
      </c>
      <c r="F1942" s="14" t="str">
        <f>IFERROR(__xludf.DUMMYFUNCTION("""COMPUTED_VALUE"""),"六年級")</f>
        <v>六年級</v>
      </c>
      <c r="G1942" s="14" t="str">
        <f>IFERROR(__xludf.DUMMYFUNCTION("""COMPUTED_VALUE"""),"獎狀")</f>
        <v>獎狀</v>
      </c>
      <c r="H1942" s="8"/>
    </row>
    <row r="1943">
      <c r="A1943" s="18"/>
      <c r="B1943" s="14">
        <f>IFERROR(__xludf.DUMMYFUNCTION("""COMPUTED_VALUE"""),490227.0)</f>
        <v>490227</v>
      </c>
      <c r="C1943" s="14" t="str">
        <f>IFERROR(__xludf.DUMMYFUNCTION("""COMPUTED_VALUE"""),"張鈞堯")</f>
        <v>張鈞堯</v>
      </c>
      <c r="D1943" s="16" t="str">
        <f>IFERROR(__xludf.DUMMYFUNCTION("""COMPUTED_VALUE"""),"jim*****3@mail.edu.tw")</f>
        <v>jim*****3@mail.edu.tw</v>
      </c>
      <c r="E1943" s="17" t="str">
        <f>IFERROR(__xludf.DUMMYFUNCTION("""COMPUTED_VALUE"""),"苗栗縣立新港國民中小學國小部")</f>
        <v>苗栗縣立新港國民中小學國小部</v>
      </c>
      <c r="F1943" s="14" t="str">
        <f>IFERROR(__xludf.DUMMYFUNCTION("""COMPUTED_VALUE"""),"六年級")</f>
        <v>六年級</v>
      </c>
      <c r="G1943" s="14" t="str">
        <f>IFERROR(__xludf.DUMMYFUNCTION("""COMPUTED_VALUE"""),"獎狀")</f>
        <v>獎狀</v>
      </c>
      <c r="H1943" s="8"/>
    </row>
    <row r="1944">
      <c r="A1944" s="18"/>
      <c r="B1944" s="14">
        <f>IFERROR(__xludf.DUMMYFUNCTION("""COMPUTED_VALUE"""),501226.0)</f>
        <v>501226</v>
      </c>
      <c r="C1944" s="14" t="str">
        <f>IFERROR(__xludf.DUMMYFUNCTION("""COMPUTED_VALUE"""),"陳延宏浚")</f>
        <v>陳延宏浚</v>
      </c>
      <c r="D1944" s="16" t="str">
        <f>IFERROR(__xludf.DUMMYFUNCTION("""COMPUTED_VALUE"""),"owe*****5678@mail.edu.tw")</f>
        <v>owe*****5678@mail.edu.tw</v>
      </c>
      <c r="E1944" s="17" t="str">
        <f>IFERROR(__xludf.DUMMYFUNCTION("""COMPUTED_VALUE"""),"苗栗縣立新港國民中小學國小部")</f>
        <v>苗栗縣立新港國民中小學國小部</v>
      </c>
      <c r="F1944" s="14" t="str">
        <f>IFERROR(__xludf.DUMMYFUNCTION("""COMPUTED_VALUE"""),"六年級")</f>
        <v>六年級</v>
      </c>
      <c r="G1944" s="14" t="str">
        <f>IFERROR(__xludf.DUMMYFUNCTION("""COMPUTED_VALUE"""),"獎狀")</f>
        <v>獎狀</v>
      </c>
      <c r="H1944" s="8"/>
    </row>
    <row r="1945">
      <c r="A1945" s="18"/>
      <c r="B1945" s="14">
        <f>IFERROR(__xludf.DUMMYFUNCTION("""COMPUTED_VALUE"""),501232.0)</f>
        <v>501232</v>
      </c>
      <c r="C1945" s="14" t="str">
        <f>IFERROR(__xludf.DUMMYFUNCTION("""COMPUTED_VALUE"""),"陳延宏真")</f>
        <v>陳延宏真</v>
      </c>
      <c r="D1945" s="16" t="str">
        <f>IFERROR(__xludf.DUMMYFUNCTION("""COMPUTED_VALUE"""),"abc*****@mail.edu.tw")</f>
        <v>abc*****@mail.edu.tw</v>
      </c>
      <c r="E1945" s="17" t="str">
        <f>IFERROR(__xludf.DUMMYFUNCTION("""COMPUTED_VALUE"""),"苗栗縣立新港國民中小學國小部")</f>
        <v>苗栗縣立新港國民中小學國小部</v>
      </c>
      <c r="F1945" s="14" t="str">
        <f>IFERROR(__xludf.DUMMYFUNCTION("""COMPUTED_VALUE"""),"六年級")</f>
        <v>六年級</v>
      </c>
      <c r="G1945" s="14" t="str">
        <f>IFERROR(__xludf.DUMMYFUNCTION("""COMPUTED_VALUE"""),"獎狀")</f>
        <v>獎狀</v>
      </c>
      <c r="H1945" s="8"/>
    </row>
    <row r="1946">
      <c r="A1946" s="18"/>
      <c r="B1946" s="14">
        <f>IFERROR(__xludf.DUMMYFUNCTION("""COMPUTED_VALUE"""),501231.0)</f>
        <v>501231</v>
      </c>
      <c r="C1946" s="14" t="str">
        <f>IFERROR(__xludf.DUMMYFUNCTION("""COMPUTED_VALUE"""),"陳芷沂")</f>
        <v>陳芷沂</v>
      </c>
      <c r="D1946" s="16" t="str">
        <f>IFERROR(__xludf.DUMMYFUNCTION("""COMPUTED_VALUE"""),"amy*****0@mail.edu.tw")</f>
        <v>amy*****0@mail.edu.tw</v>
      </c>
      <c r="E1946" s="17" t="str">
        <f>IFERROR(__xludf.DUMMYFUNCTION("""COMPUTED_VALUE"""),"苗栗縣立新港國民中小學國小部")</f>
        <v>苗栗縣立新港國民中小學國小部</v>
      </c>
      <c r="F1946" s="14" t="str">
        <f>IFERROR(__xludf.DUMMYFUNCTION("""COMPUTED_VALUE"""),"六年級")</f>
        <v>六年級</v>
      </c>
      <c r="G1946" s="14" t="str">
        <f>IFERROR(__xludf.DUMMYFUNCTION("""COMPUTED_VALUE"""),"獎狀")</f>
        <v>獎狀</v>
      </c>
      <c r="H1946" s="8"/>
    </row>
    <row r="1947">
      <c r="A1947" s="18"/>
      <c r="B1947" s="14">
        <f>IFERROR(__xludf.DUMMYFUNCTION("""COMPUTED_VALUE"""),490232.0)</f>
        <v>490232</v>
      </c>
      <c r="C1947" s="14" t="str">
        <f>IFERROR(__xludf.DUMMYFUNCTION("""COMPUTED_VALUE"""),"游士玄")</f>
        <v>游士玄</v>
      </c>
      <c r="D1947" s="16" t="str">
        <f>IFERROR(__xludf.DUMMYFUNCTION("""COMPUTED_VALUE"""),"mlc*****888888@mail.edu.tw")</f>
        <v>mlc*****888888@mail.edu.tw</v>
      </c>
      <c r="E1947" s="17" t="str">
        <f>IFERROR(__xludf.DUMMYFUNCTION("""COMPUTED_VALUE"""),"苗栗縣立新港國民中小學國小部")</f>
        <v>苗栗縣立新港國民中小學國小部</v>
      </c>
      <c r="F1947" s="14" t="str">
        <f>IFERROR(__xludf.DUMMYFUNCTION("""COMPUTED_VALUE"""),"六年級")</f>
        <v>六年級</v>
      </c>
      <c r="G1947" s="14" t="str">
        <f>IFERROR(__xludf.DUMMYFUNCTION("""COMPUTED_VALUE"""),"獎狀")</f>
        <v>獎狀</v>
      </c>
      <c r="H1947" s="8"/>
    </row>
    <row r="1948">
      <c r="A1948" s="18"/>
      <c r="B1948" s="14">
        <f>IFERROR(__xludf.DUMMYFUNCTION("""COMPUTED_VALUE"""),491208.0)</f>
        <v>491208</v>
      </c>
      <c r="C1948" s="14" t="str">
        <f>IFERROR(__xludf.DUMMYFUNCTION("""COMPUTED_VALUE"""),"黃紹軒")</f>
        <v>黃紹軒</v>
      </c>
      <c r="D1948" s="16" t="str">
        <f>IFERROR(__xludf.DUMMYFUNCTION("""COMPUTED_VALUE"""),"and*****814@mail.edu.tw")</f>
        <v>and*****814@mail.edu.tw</v>
      </c>
      <c r="E1948" s="17" t="str">
        <f>IFERROR(__xludf.DUMMYFUNCTION("""COMPUTED_VALUE"""),"苗栗縣立新港國民中小學國小部")</f>
        <v>苗栗縣立新港國民中小學國小部</v>
      </c>
      <c r="F1948" s="14" t="str">
        <f>IFERROR(__xludf.DUMMYFUNCTION("""COMPUTED_VALUE"""),"六年級")</f>
        <v>六年級</v>
      </c>
      <c r="G1948" s="14" t="str">
        <f>IFERROR(__xludf.DUMMYFUNCTION("""COMPUTED_VALUE"""),"獎狀")</f>
        <v>獎狀</v>
      </c>
      <c r="H1948" s="8"/>
    </row>
    <row r="1949">
      <c r="A1949" s="18"/>
      <c r="B1949" s="14">
        <f>IFERROR(__xludf.DUMMYFUNCTION("""COMPUTED_VALUE"""),490226.0)</f>
        <v>490226</v>
      </c>
      <c r="C1949" s="14" t="str">
        <f>IFERROR(__xludf.DUMMYFUNCTION("""COMPUTED_VALUE"""),"劉紜妃")</f>
        <v>劉紜妃</v>
      </c>
      <c r="D1949" s="16" t="str">
        <f>IFERROR(__xludf.DUMMYFUNCTION("""COMPUTED_VALUE"""),"fan*****77@mail.edu.tw")</f>
        <v>fan*****77@mail.edu.tw</v>
      </c>
      <c r="E1949" s="17" t="str">
        <f>IFERROR(__xludf.DUMMYFUNCTION("""COMPUTED_VALUE"""),"苗栗縣立新港國民中小學國小部")</f>
        <v>苗栗縣立新港國民中小學國小部</v>
      </c>
      <c r="F1949" s="14" t="str">
        <f>IFERROR(__xludf.DUMMYFUNCTION("""COMPUTED_VALUE"""),"六年級")</f>
        <v>六年級</v>
      </c>
      <c r="G1949" s="14" t="str">
        <f>IFERROR(__xludf.DUMMYFUNCTION("""COMPUTED_VALUE"""),"獎狀")</f>
        <v>獎狀</v>
      </c>
      <c r="H1949" s="8"/>
    </row>
    <row r="1950">
      <c r="A1950" s="18"/>
      <c r="B1950" s="14">
        <f>IFERROR(__xludf.DUMMYFUNCTION("""COMPUTED_VALUE"""),490229.0)</f>
        <v>490229</v>
      </c>
      <c r="C1950" s="14" t="str">
        <f>IFERROR(__xludf.DUMMYFUNCTION("""COMPUTED_VALUE"""),"蕭宥承")</f>
        <v>蕭宥承</v>
      </c>
      <c r="D1950" s="16" t="str">
        <f>IFERROR(__xludf.DUMMYFUNCTION("""COMPUTED_VALUE"""),"sam*****8@mail.edu.tw")</f>
        <v>sam*****8@mail.edu.tw</v>
      </c>
      <c r="E1950" s="17" t="str">
        <f>IFERROR(__xludf.DUMMYFUNCTION("""COMPUTED_VALUE"""),"苗栗縣立新港國民中小學國小部")</f>
        <v>苗栗縣立新港國民中小學國小部</v>
      </c>
      <c r="F1950" s="14" t="str">
        <f>IFERROR(__xludf.DUMMYFUNCTION("""COMPUTED_VALUE"""),"六年級")</f>
        <v>六年級</v>
      </c>
      <c r="G1950" s="14" t="str">
        <f>IFERROR(__xludf.DUMMYFUNCTION("""COMPUTED_VALUE"""),"獎狀")</f>
        <v>獎狀</v>
      </c>
      <c r="H1950" s="8"/>
    </row>
    <row r="1951">
      <c r="A1951" s="18"/>
      <c r="B1951" s="14">
        <f>IFERROR(__xludf.DUMMYFUNCTION("""COMPUTED_VALUE"""),490240.0)</f>
        <v>490240</v>
      </c>
      <c r="C1951" s="14" t="str">
        <f>IFERROR(__xludf.DUMMYFUNCTION("""COMPUTED_VALUE"""),"羅子昀")</f>
        <v>羅子昀</v>
      </c>
      <c r="D1951" s="16" t="str">
        <f>IFERROR(__xludf.DUMMYFUNCTION("""COMPUTED_VALUE"""),"lyd*****0415@mail.edu.tw")</f>
        <v>lyd*****0415@mail.edu.tw</v>
      </c>
      <c r="E1951" s="17" t="str">
        <f>IFERROR(__xludf.DUMMYFUNCTION("""COMPUTED_VALUE"""),"苗栗縣立新港國民中小學國小部")</f>
        <v>苗栗縣立新港國民中小學國小部</v>
      </c>
      <c r="F1951" s="14" t="str">
        <f>IFERROR(__xludf.DUMMYFUNCTION("""COMPUTED_VALUE"""),"六年級")</f>
        <v>六年級</v>
      </c>
      <c r="G1951" s="14" t="str">
        <f>IFERROR(__xludf.DUMMYFUNCTION("""COMPUTED_VALUE"""),"獎狀")</f>
        <v>獎狀</v>
      </c>
      <c r="H1951" s="8"/>
    </row>
    <row r="1952">
      <c r="A1952" s="18"/>
      <c r="B1952" s="14">
        <f>IFERROR(__xludf.DUMMYFUNCTION("""COMPUTED_VALUE"""),818317.0)</f>
        <v>818317</v>
      </c>
      <c r="C1952" s="14" t="str">
        <f>IFERROR(__xludf.DUMMYFUNCTION("""COMPUTED_VALUE"""),"許耘崧")</f>
        <v>許耘崧</v>
      </c>
      <c r="D1952" s="16" t="str">
        <f>IFERROR(__xludf.DUMMYFUNCTION("""COMPUTED_VALUE"""),"ted*****mail.edu.tw")</f>
        <v>ted*****mail.edu.tw</v>
      </c>
      <c r="E1952" s="17" t="str">
        <f>IFERROR(__xludf.DUMMYFUNCTION("""COMPUTED_VALUE"""),"苗栗縣立新港國民中小學國小部")</f>
        <v>苗栗縣立新港國民中小學國小部</v>
      </c>
      <c r="F1952" s="14" t="str">
        <f>IFERROR(__xludf.DUMMYFUNCTION("""COMPUTED_VALUE"""),"六年級")</f>
        <v>六年級</v>
      </c>
      <c r="G1952" s="14" t="str">
        <f>IFERROR(__xludf.DUMMYFUNCTION("""COMPUTED_VALUE"""),"●小禮物")</f>
        <v>●小禮物</v>
      </c>
      <c r="H1952" s="8"/>
    </row>
    <row r="1953">
      <c r="A1953" s="18"/>
      <c r="B1953" s="14">
        <f>IFERROR(__xludf.DUMMYFUNCTION("""COMPUTED_VALUE"""),491313.0)</f>
        <v>491313</v>
      </c>
      <c r="C1953" s="14" t="str">
        <f>IFERROR(__xludf.DUMMYFUNCTION("""COMPUTED_VALUE"""),"陳汯暘")</f>
        <v>陳汯暘</v>
      </c>
      <c r="D1953" s="16" t="str">
        <f>IFERROR(__xludf.DUMMYFUNCTION("""COMPUTED_VALUE"""),"yor*****mail.edu.tw")</f>
        <v>yor*****mail.edu.tw</v>
      </c>
      <c r="E1953" s="17" t="str">
        <f>IFERROR(__xludf.DUMMYFUNCTION("""COMPUTED_VALUE"""),"苗栗縣立新港國民中小學國小部")</f>
        <v>苗栗縣立新港國民中小學國小部</v>
      </c>
      <c r="F1953" s="14" t="str">
        <f>IFERROR(__xludf.DUMMYFUNCTION("""COMPUTED_VALUE"""),"六年級")</f>
        <v>六年級</v>
      </c>
      <c r="G1953" s="14" t="str">
        <f>IFERROR(__xludf.DUMMYFUNCTION("""COMPUTED_VALUE"""),"●小禮物")</f>
        <v>●小禮物</v>
      </c>
      <c r="H1953" s="8"/>
    </row>
    <row r="1954">
      <c r="A1954" s="18"/>
      <c r="B1954" s="14">
        <f>IFERROR(__xludf.DUMMYFUNCTION("""COMPUTED_VALUE"""),491213.0)</f>
        <v>491213</v>
      </c>
      <c r="C1954" s="14" t="str">
        <f>IFERROR(__xludf.DUMMYFUNCTION("""COMPUTED_VALUE"""),"陳思伃")</f>
        <v>陳思伃</v>
      </c>
      <c r="D1954" s="16" t="str">
        <f>IFERROR(__xludf.DUMMYFUNCTION("""COMPUTED_VALUE"""),"sai*****81@mail.edu.tw")</f>
        <v>sai*****81@mail.edu.tw</v>
      </c>
      <c r="E1954" s="17" t="str">
        <f>IFERROR(__xludf.DUMMYFUNCTION("""COMPUTED_VALUE"""),"苗栗縣立新港國民中小學國小部")</f>
        <v>苗栗縣立新港國民中小學國小部</v>
      </c>
      <c r="F1954" s="14" t="str">
        <f>IFERROR(__xludf.DUMMYFUNCTION("""COMPUTED_VALUE"""),"六年級")</f>
        <v>六年級</v>
      </c>
      <c r="G1954" s="14" t="str">
        <f>IFERROR(__xludf.DUMMYFUNCTION("""COMPUTED_VALUE"""),"●小禮物")</f>
        <v>●小禮物</v>
      </c>
      <c r="H1954" s="8"/>
    </row>
    <row r="1955">
      <c r="A1955" s="18"/>
      <c r="B1955" s="14">
        <f>IFERROR(__xludf.DUMMYFUNCTION("""COMPUTED_VALUE"""),491195.0)</f>
        <v>491195</v>
      </c>
      <c r="C1955" s="14" t="str">
        <f>IFERROR(__xludf.DUMMYFUNCTION("""COMPUTED_VALUE"""),"彭子承")</f>
        <v>彭子承</v>
      </c>
      <c r="D1955" s="16" t="str">
        <f>IFERROR(__xludf.DUMMYFUNCTION("""COMPUTED_VALUE"""),"l99*****90921@mail.edu.tw")</f>
        <v>l99*****90921@mail.edu.tw</v>
      </c>
      <c r="E1955" s="17" t="str">
        <f>IFERROR(__xludf.DUMMYFUNCTION("""COMPUTED_VALUE"""),"苗栗縣立新港國民中小學國小部")</f>
        <v>苗栗縣立新港國民中小學國小部</v>
      </c>
      <c r="F1955" s="14" t="str">
        <f>IFERROR(__xludf.DUMMYFUNCTION("""COMPUTED_VALUE"""),"六年級")</f>
        <v>六年級</v>
      </c>
      <c r="G1955" s="14" t="str">
        <f>IFERROR(__xludf.DUMMYFUNCTION("""COMPUTED_VALUE"""),"●小禮物")</f>
        <v>●小禮物</v>
      </c>
      <c r="H1955" s="8"/>
    </row>
    <row r="1956">
      <c r="A1956" s="18"/>
      <c r="B1956" s="14">
        <f>IFERROR(__xludf.DUMMYFUNCTION("""COMPUTED_VALUE"""),491204.0)</f>
        <v>491204</v>
      </c>
      <c r="C1956" s="14" t="str">
        <f>IFERROR(__xludf.DUMMYFUNCTION("""COMPUTED_VALUE"""),"曾薇然")</f>
        <v>曾薇然</v>
      </c>
      <c r="D1956" s="16" t="str">
        <f>IFERROR(__xludf.DUMMYFUNCTION("""COMPUTED_VALUE"""),"ros*****811@mail.edu.tw")</f>
        <v>ros*****811@mail.edu.tw</v>
      </c>
      <c r="E1956" s="17" t="str">
        <f>IFERROR(__xludf.DUMMYFUNCTION("""COMPUTED_VALUE"""),"苗栗縣立新港國民中小學國小部")</f>
        <v>苗栗縣立新港國民中小學國小部</v>
      </c>
      <c r="F1956" s="14" t="str">
        <f>IFERROR(__xludf.DUMMYFUNCTION("""COMPUTED_VALUE"""),"六年級")</f>
        <v>六年級</v>
      </c>
      <c r="G1956" s="14" t="str">
        <f>IFERROR(__xludf.DUMMYFUNCTION("""COMPUTED_VALUE"""),"●小禮物")</f>
        <v>●小禮物</v>
      </c>
      <c r="H1956" s="8"/>
    </row>
    <row r="1957">
      <c r="A1957" s="18"/>
      <c r="B1957" s="14">
        <f>IFERROR(__xludf.DUMMYFUNCTION("""COMPUTED_VALUE"""),501228.0)</f>
        <v>501228</v>
      </c>
      <c r="C1957" s="14" t="str">
        <f>IFERROR(__xludf.DUMMYFUNCTION("""COMPUTED_VALUE"""),"劉謹瑋")</f>
        <v>劉謹瑋</v>
      </c>
      <c r="D1957" s="16" t="str">
        <f>IFERROR(__xludf.DUMMYFUNCTION("""COMPUTED_VALUE"""),"wil*****56@mail.edu.tw")</f>
        <v>wil*****56@mail.edu.tw</v>
      </c>
      <c r="E1957" s="17" t="str">
        <f>IFERROR(__xludf.DUMMYFUNCTION("""COMPUTED_VALUE"""),"苗栗縣立新港國民中小學國小部")</f>
        <v>苗栗縣立新港國民中小學國小部</v>
      </c>
      <c r="F1957" s="14" t="str">
        <f>IFERROR(__xludf.DUMMYFUNCTION("""COMPUTED_VALUE"""),"六年級")</f>
        <v>六年級</v>
      </c>
      <c r="G1957" s="14" t="str">
        <f>IFERROR(__xludf.DUMMYFUNCTION("""COMPUTED_VALUE"""),"●小禮物")</f>
        <v>●小禮物</v>
      </c>
      <c r="H1957" s="8"/>
    </row>
    <row r="1958">
      <c r="A1958" s="18"/>
      <c r="B1958" s="14">
        <f>IFERROR(__xludf.DUMMYFUNCTION("""COMPUTED_VALUE"""),490237.0)</f>
        <v>490237</v>
      </c>
      <c r="C1958" s="14" t="str">
        <f>IFERROR(__xludf.DUMMYFUNCTION("""COMPUTED_VALUE"""),"賴怡霏")</f>
        <v>賴怡霏</v>
      </c>
      <c r="D1958" s="16" t="str">
        <f>IFERROR(__xludf.DUMMYFUNCTION("""COMPUTED_VALUE"""),"fif*****08@mail.edu.tw")</f>
        <v>fif*****08@mail.edu.tw</v>
      </c>
      <c r="E1958" s="17" t="str">
        <f>IFERROR(__xludf.DUMMYFUNCTION("""COMPUTED_VALUE"""),"苗栗縣立新港國民中小學國小部")</f>
        <v>苗栗縣立新港國民中小學國小部</v>
      </c>
      <c r="F1958" s="14" t="str">
        <f>IFERROR(__xludf.DUMMYFUNCTION("""COMPUTED_VALUE"""),"六年級")</f>
        <v>六年級</v>
      </c>
      <c r="G1958" s="14" t="str">
        <f>IFERROR(__xludf.DUMMYFUNCTION("""COMPUTED_VALUE"""),"●小禮物")</f>
        <v>●小禮物</v>
      </c>
      <c r="H1958" s="8"/>
    </row>
    <row r="1959">
      <c r="A1959" s="18"/>
      <c r="B1959" s="14">
        <f>IFERROR(__xludf.DUMMYFUNCTION("""COMPUTED_VALUE"""),490222.0)</f>
        <v>490222</v>
      </c>
      <c r="C1959" s="14" t="str">
        <f>IFERROR(__xludf.DUMMYFUNCTION("""COMPUTED_VALUE"""),"何佳芃")</f>
        <v>何佳芃</v>
      </c>
      <c r="D1959" s="16" t="str">
        <f>IFERROR(__xludf.DUMMYFUNCTION("""COMPUTED_VALUE"""),"zar*****11@mail.edu.tw")</f>
        <v>zar*****11@mail.edu.tw</v>
      </c>
      <c r="E1959" s="17" t="str">
        <f>IFERROR(__xludf.DUMMYFUNCTION("""COMPUTED_VALUE"""),"苗栗縣立新港國民中小學國小部")</f>
        <v>苗栗縣立新港國民中小學國小部</v>
      </c>
      <c r="F1959" s="14" t="str">
        <f>IFERROR(__xludf.DUMMYFUNCTION("""COMPUTED_VALUE"""),"六年級")</f>
        <v>六年級</v>
      </c>
      <c r="G1959" s="14" t="str">
        <f>IFERROR(__xludf.DUMMYFUNCTION("""COMPUTED_VALUE"""),"★禮券$1000")</f>
        <v>★禮券$1000</v>
      </c>
      <c r="H1959" s="8"/>
    </row>
    <row r="1960">
      <c r="A1960" s="18"/>
      <c r="B1960" s="14">
        <f>IFERROR(__xludf.DUMMYFUNCTION("""COMPUTED_VALUE"""),501222.0)</f>
        <v>501222</v>
      </c>
      <c r="C1960" s="14" t="str">
        <f>IFERROR(__xludf.DUMMYFUNCTION("""COMPUTED_VALUE"""),"江晉葦")</f>
        <v>江晉葦</v>
      </c>
      <c r="D1960" s="16" t="str">
        <f>IFERROR(__xludf.DUMMYFUNCTION("""COMPUTED_VALUE"""),"tom*****6@mail.edu.tw")</f>
        <v>tom*****6@mail.edu.tw</v>
      </c>
      <c r="E1960" s="17" t="str">
        <f>IFERROR(__xludf.DUMMYFUNCTION("""COMPUTED_VALUE"""),"苗栗縣立新港國民中小學國小部")</f>
        <v>苗栗縣立新港國民中小學國小部</v>
      </c>
      <c r="F1960" s="14" t="str">
        <f>IFERROR(__xludf.DUMMYFUNCTION("""COMPUTED_VALUE"""),"六年級")</f>
        <v>六年級</v>
      </c>
      <c r="G1960" s="14" t="str">
        <f>IFERROR(__xludf.DUMMYFUNCTION("""COMPUTED_VALUE"""),"★禮券$200")</f>
        <v>★禮券$200</v>
      </c>
      <c r="H1960" s="8"/>
    </row>
    <row r="1961">
      <c r="A1961" s="18"/>
      <c r="B1961" s="14">
        <f>IFERROR(__xludf.DUMMYFUNCTION("""COMPUTED_VALUE"""),490228.0)</f>
        <v>490228</v>
      </c>
      <c r="C1961" s="14" t="str">
        <f>IFERROR(__xludf.DUMMYFUNCTION("""COMPUTED_VALUE"""),"余育吉")</f>
        <v>余育吉</v>
      </c>
      <c r="D1961" s="16" t="str">
        <f>IFERROR(__xludf.DUMMYFUNCTION("""COMPUTED_VALUE"""),"k01*****678@mail.edu.tw")</f>
        <v>k01*****678@mail.edu.tw</v>
      </c>
      <c r="E1961" s="17" t="str">
        <f>IFERROR(__xludf.DUMMYFUNCTION("""COMPUTED_VALUE"""),"苗栗縣立新港國民中小學國小部")</f>
        <v>苗栗縣立新港國民中小學國小部</v>
      </c>
      <c r="F1961" s="14" t="str">
        <f>IFERROR(__xludf.DUMMYFUNCTION("""COMPUTED_VALUE"""),"六年級")</f>
        <v>六年級</v>
      </c>
      <c r="G1961" s="14" t="str">
        <f>IFERROR(__xludf.DUMMYFUNCTION("""COMPUTED_VALUE"""),"獎狀")</f>
        <v>獎狀</v>
      </c>
      <c r="H1961" s="8"/>
    </row>
    <row r="1962">
      <c r="A1962" s="18"/>
      <c r="B1962" s="14">
        <f>IFERROR(__xludf.DUMMYFUNCTION("""COMPUTED_VALUE"""),491206.0)</f>
        <v>491206</v>
      </c>
      <c r="C1962" s="14" t="str">
        <f>IFERROR(__xludf.DUMMYFUNCTION("""COMPUTED_VALUE"""),"李凌奾")</f>
        <v>李凌奾</v>
      </c>
      <c r="D1962" s="16" t="str">
        <f>IFERROR(__xludf.DUMMYFUNCTION("""COMPUTED_VALUE"""),"a12*****8991129@mail.edu.tw")</f>
        <v>a12*****8991129@mail.edu.tw</v>
      </c>
      <c r="E1962" s="17" t="str">
        <f>IFERROR(__xludf.DUMMYFUNCTION("""COMPUTED_VALUE"""),"苗栗縣立新港國民中小學國小部")</f>
        <v>苗栗縣立新港國民中小學國小部</v>
      </c>
      <c r="F1962" s="14" t="str">
        <f>IFERROR(__xludf.DUMMYFUNCTION("""COMPUTED_VALUE"""),"六年級")</f>
        <v>六年級</v>
      </c>
      <c r="G1962" s="14" t="str">
        <f>IFERROR(__xludf.DUMMYFUNCTION("""COMPUTED_VALUE"""),"獎狀")</f>
        <v>獎狀</v>
      </c>
      <c r="H1962" s="8"/>
    </row>
    <row r="1963">
      <c r="A1963" s="18"/>
      <c r="B1963" s="14">
        <f>IFERROR(__xludf.DUMMYFUNCTION("""COMPUTED_VALUE"""),490231.0)</f>
        <v>490231</v>
      </c>
      <c r="C1963" s="14" t="str">
        <f>IFERROR(__xludf.DUMMYFUNCTION("""COMPUTED_VALUE"""),"洪晨恩")</f>
        <v>洪晨恩</v>
      </c>
      <c r="D1963" s="16" t="str">
        <f>IFERROR(__xludf.DUMMYFUNCTION("""COMPUTED_VALUE"""),"cam*****0902@mail.edu.tw")</f>
        <v>cam*****0902@mail.edu.tw</v>
      </c>
      <c r="E1963" s="17" t="str">
        <f>IFERROR(__xludf.DUMMYFUNCTION("""COMPUTED_VALUE"""),"苗栗縣立新港國民中小學國小部")</f>
        <v>苗栗縣立新港國民中小學國小部</v>
      </c>
      <c r="F1963" s="14" t="str">
        <f>IFERROR(__xludf.DUMMYFUNCTION("""COMPUTED_VALUE"""),"六年級")</f>
        <v>六年級</v>
      </c>
      <c r="G1963" s="14" t="str">
        <f>IFERROR(__xludf.DUMMYFUNCTION("""COMPUTED_VALUE"""),"獎狀")</f>
        <v>獎狀</v>
      </c>
      <c r="H1963" s="8"/>
    </row>
    <row r="1964">
      <c r="A1964" s="18"/>
      <c r="B1964" s="14">
        <f>IFERROR(__xludf.DUMMYFUNCTION("""COMPUTED_VALUE"""),491202.0)</f>
        <v>491202</v>
      </c>
      <c r="C1964" s="14" t="str">
        <f>IFERROR(__xludf.DUMMYFUNCTION("""COMPUTED_VALUE"""),"陳品宏")</f>
        <v>陳品宏</v>
      </c>
      <c r="D1964" s="16" t="str">
        <f>IFERROR(__xludf.DUMMYFUNCTION("""COMPUTED_VALUE"""),"par*****mail.edu.tw")</f>
        <v>par*****mail.edu.tw</v>
      </c>
      <c r="E1964" s="17" t="str">
        <f>IFERROR(__xludf.DUMMYFUNCTION("""COMPUTED_VALUE"""),"苗栗縣立新港國民中小學國小部")</f>
        <v>苗栗縣立新港國民中小學國小部</v>
      </c>
      <c r="F1964" s="14" t="str">
        <f>IFERROR(__xludf.DUMMYFUNCTION("""COMPUTED_VALUE"""),"六年級")</f>
        <v>六年級</v>
      </c>
      <c r="G1964" s="14" t="str">
        <f>IFERROR(__xludf.DUMMYFUNCTION("""COMPUTED_VALUE"""),"獎狀")</f>
        <v>獎狀</v>
      </c>
      <c r="H1964" s="8"/>
    </row>
    <row r="1965">
      <c r="A1965" s="18"/>
      <c r="B1965" s="14">
        <f>IFERROR(__xludf.DUMMYFUNCTION("""COMPUTED_VALUE"""),501214.0)</f>
        <v>501214</v>
      </c>
      <c r="C1965" s="14" t="str">
        <f>IFERROR(__xludf.DUMMYFUNCTION("""COMPUTED_VALUE"""),"謝宗祐")</f>
        <v>謝宗祐</v>
      </c>
      <c r="D1965" s="16" t="str">
        <f>IFERROR(__xludf.DUMMYFUNCTION("""COMPUTED_VALUE"""),"fhy*****s@mail.edu.tw")</f>
        <v>fhy*****s@mail.edu.tw</v>
      </c>
      <c r="E1965" s="17" t="str">
        <f>IFERROR(__xludf.DUMMYFUNCTION("""COMPUTED_VALUE"""),"苗栗縣立新港國民中小學國小部")</f>
        <v>苗栗縣立新港國民中小學國小部</v>
      </c>
      <c r="F1965" s="14" t="str">
        <f>IFERROR(__xludf.DUMMYFUNCTION("""COMPUTED_VALUE"""),"六年級")</f>
        <v>六年級</v>
      </c>
      <c r="G1965" s="14" t="str">
        <f>IFERROR(__xludf.DUMMYFUNCTION("""COMPUTED_VALUE"""),"獎狀")</f>
        <v>獎狀</v>
      </c>
      <c r="H1965" s="8"/>
    </row>
    <row r="1966">
      <c r="A1966" s="18"/>
      <c r="B1966" s="14">
        <f>IFERROR(__xludf.DUMMYFUNCTION("""COMPUTED_VALUE"""),501230.0)</f>
        <v>501230</v>
      </c>
      <c r="C1966" s="14" t="str">
        <f>IFERROR(__xludf.DUMMYFUNCTION("""COMPUTED_VALUE"""),"魏心慈")</f>
        <v>魏心慈</v>
      </c>
      <c r="D1966" s="16" t="str">
        <f>IFERROR(__xludf.DUMMYFUNCTION("""COMPUTED_VALUE"""),"w99*****mail.edu.tw")</f>
        <v>w99*****mail.edu.tw</v>
      </c>
      <c r="E1966" s="17" t="str">
        <f>IFERROR(__xludf.DUMMYFUNCTION("""COMPUTED_VALUE"""),"苗栗縣立新港國民中小學國小部")</f>
        <v>苗栗縣立新港國民中小學國小部</v>
      </c>
      <c r="F1966" s="14" t="str">
        <f>IFERROR(__xludf.DUMMYFUNCTION("""COMPUTED_VALUE"""),"六年級")</f>
        <v>六年級</v>
      </c>
      <c r="G1966" s="14" t="str">
        <f>IFERROR(__xludf.DUMMYFUNCTION("""COMPUTED_VALUE"""),"獎狀")</f>
        <v>獎狀</v>
      </c>
      <c r="H1966" s="8"/>
    </row>
    <row r="1967">
      <c r="A1967" s="18"/>
      <c r="B1967" s="14">
        <f>IFERROR(__xludf.DUMMYFUNCTION("""COMPUTED_VALUE"""),183803.0)</f>
        <v>183803</v>
      </c>
      <c r="C1967" s="14" t="str">
        <f>IFERROR(__xludf.DUMMYFUNCTION("""COMPUTED_VALUE"""),"張佑成")</f>
        <v>張佑成</v>
      </c>
      <c r="D1967" s="16" t="str">
        <f>IFERROR(__xludf.DUMMYFUNCTION("""COMPUTED_VALUE"""),"hb1*****mail.edu.tw")</f>
        <v>hb1*****mail.edu.tw</v>
      </c>
      <c r="E1967" s="17" t="str">
        <f>IFERROR(__xludf.DUMMYFUNCTION("""COMPUTED_VALUE"""),"苗栗縣後龍鎮海寶國民小學")</f>
        <v>苗栗縣後龍鎮海寶國民小學</v>
      </c>
      <c r="F1967" s="14" t="str">
        <f>IFERROR(__xludf.DUMMYFUNCTION("""COMPUTED_VALUE"""),"六年級")</f>
        <v>六年級</v>
      </c>
      <c r="G1967" s="14" t="str">
        <f>IFERROR(__xludf.DUMMYFUNCTION("""COMPUTED_VALUE"""),"獎狀")</f>
        <v>獎狀</v>
      </c>
      <c r="H1967" s="8"/>
    </row>
    <row r="1968">
      <c r="A1968" s="18"/>
      <c r="B1968" s="14">
        <f>IFERROR(__xludf.DUMMYFUNCTION("""COMPUTED_VALUE"""),183804.0)</f>
        <v>183804</v>
      </c>
      <c r="C1968" s="14" t="str">
        <f>IFERROR(__xludf.DUMMYFUNCTION("""COMPUTED_VALUE"""),"陳炤安")</f>
        <v>陳炤安</v>
      </c>
      <c r="D1968" s="16" t="str">
        <f>IFERROR(__xludf.DUMMYFUNCTION("""COMPUTED_VALUE"""),"hb1*****mail.edu.tw")</f>
        <v>hb1*****mail.edu.tw</v>
      </c>
      <c r="E1968" s="17" t="str">
        <f>IFERROR(__xludf.DUMMYFUNCTION("""COMPUTED_VALUE"""),"苗栗縣後龍鎮海寶國民小學")</f>
        <v>苗栗縣後龍鎮海寶國民小學</v>
      </c>
      <c r="F1968" s="14" t="str">
        <f>IFERROR(__xludf.DUMMYFUNCTION("""COMPUTED_VALUE"""),"六年級")</f>
        <v>六年級</v>
      </c>
      <c r="G1968" s="14" t="str">
        <f>IFERROR(__xludf.DUMMYFUNCTION("""COMPUTED_VALUE"""),"獎狀")</f>
        <v>獎狀</v>
      </c>
      <c r="H1968" s="8"/>
    </row>
    <row r="1969">
      <c r="A1969" s="18"/>
      <c r="B1969" s="14">
        <f>IFERROR(__xludf.DUMMYFUNCTION("""COMPUTED_VALUE"""),812310.0)</f>
        <v>812310</v>
      </c>
      <c r="C1969" s="14" t="str">
        <f>IFERROR(__xludf.DUMMYFUNCTION("""COMPUTED_VALUE"""),"杜欣霓")</f>
        <v>杜欣霓</v>
      </c>
      <c r="D1969" s="16" t="str">
        <f>IFERROR(__xludf.DUMMYFUNCTION("""COMPUTED_VALUE"""),"108*****es.mlc.edu.tw")</f>
        <v>108*****es.mlc.edu.tw</v>
      </c>
      <c r="E1969" s="17" t="str">
        <f>IFERROR(__xludf.DUMMYFUNCTION("""COMPUTED_VALUE"""),"苗栗縣後龍鎮龍坑國民小學")</f>
        <v>苗栗縣後龍鎮龍坑國民小學</v>
      </c>
      <c r="F1969" s="14" t="str">
        <f>IFERROR(__xludf.DUMMYFUNCTION("""COMPUTED_VALUE"""),"四年級")</f>
        <v>四年級</v>
      </c>
      <c r="G1969" s="14" t="str">
        <f>IFERROR(__xludf.DUMMYFUNCTION("""COMPUTED_VALUE"""),"獎狀")</f>
        <v>獎狀</v>
      </c>
      <c r="H1969" s="8"/>
    </row>
    <row r="1970">
      <c r="A1970" s="18"/>
      <c r="B1970" s="14">
        <f>IFERROR(__xludf.DUMMYFUNCTION("""COMPUTED_VALUE"""),812292.0)</f>
        <v>812292</v>
      </c>
      <c r="C1970" s="14" t="str">
        <f>IFERROR(__xludf.DUMMYFUNCTION("""COMPUTED_VALUE"""),"李維晉")</f>
        <v>李維晉</v>
      </c>
      <c r="D1970" s="16" t="str">
        <f>IFERROR(__xludf.DUMMYFUNCTION("""COMPUTED_VALUE"""),"108*****es.mlc.edu.tw")</f>
        <v>108*****es.mlc.edu.tw</v>
      </c>
      <c r="E1970" s="17" t="str">
        <f>IFERROR(__xludf.DUMMYFUNCTION("""COMPUTED_VALUE"""),"苗栗縣後龍鎮龍坑國民小學")</f>
        <v>苗栗縣後龍鎮龍坑國民小學</v>
      </c>
      <c r="F1970" s="14" t="str">
        <f>IFERROR(__xludf.DUMMYFUNCTION("""COMPUTED_VALUE"""),"四年級")</f>
        <v>四年級</v>
      </c>
      <c r="G1970" s="14" t="str">
        <f>IFERROR(__xludf.DUMMYFUNCTION("""COMPUTED_VALUE"""),"●小禮物")</f>
        <v>●小禮物</v>
      </c>
      <c r="H1970" s="8"/>
    </row>
    <row r="1971">
      <c r="A1971" s="18"/>
      <c r="B1971" s="14">
        <f>IFERROR(__xludf.DUMMYFUNCTION("""COMPUTED_VALUE"""),812295.0)</f>
        <v>812295</v>
      </c>
      <c r="C1971" s="14" t="str">
        <f>IFERROR(__xludf.DUMMYFUNCTION("""COMPUTED_VALUE"""),"楊凱勛")</f>
        <v>楊凱勛</v>
      </c>
      <c r="D1971" s="16" t="str">
        <f>IFERROR(__xludf.DUMMYFUNCTION("""COMPUTED_VALUE"""),"108*****es.mlc.edu.tw")</f>
        <v>108*****es.mlc.edu.tw</v>
      </c>
      <c r="E1971" s="17" t="str">
        <f>IFERROR(__xludf.DUMMYFUNCTION("""COMPUTED_VALUE"""),"苗栗縣後龍鎮龍坑國民小學")</f>
        <v>苗栗縣後龍鎮龍坑國民小學</v>
      </c>
      <c r="F1971" s="14" t="str">
        <f>IFERROR(__xludf.DUMMYFUNCTION("""COMPUTED_VALUE"""),"四年級")</f>
        <v>四年級</v>
      </c>
      <c r="G1971" s="14" t="str">
        <f>IFERROR(__xludf.DUMMYFUNCTION("""COMPUTED_VALUE"""),"●小禮物")</f>
        <v>●小禮物</v>
      </c>
      <c r="H1971" s="8"/>
    </row>
    <row r="1972">
      <c r="A1972" s="18"/>
      <c r="B1972" s="14">
        <f>IFERROR(__xludf.DUMMYFUNCTION("""COMPUTED_VALUE"""),812302.0)</f>
        <v>812302</v>
      </c>
      <c r="C1972" s="14" t="str">
        <f>IFERROR(__xludf.DUMMYFUNCTION("""COMPUTED_VALUE"""),"黃翊緁")</f>
        <v>黃翊緁</v>
      </c>
      <c r="D1972" s="16" t="str">
        <f>IFERROR(__xludf.DUMMYFUNCTION("""COMPUTED_VALUE"""),"108*****es.mlc.edu.tw")</f>
        <v>108*****es.mlc.edu.tw</v>
      </c>
      <c r="E1972" s="17" t="str">
        <f>IFERROR(__xludf.DUMMYFUNCTION("""COMPUTED_VALUE"""),"苗栗縣後龍鎮龍坑國民小學")</f>
        <v>苗栗縣後龍鎮龍坑國民小學</v>
      </c>
      <c r="F1972" s="14" t="str">
        <f>IFERROR(__xludf.DUMMYFUNCTION("""COMPUTED_VALUE"""),"四年級")</f>
        <v>四年級</v>
      </c>
      <c r="G1972" s="14" t="str">
        <f>IFERROR(__xludf.DUMMYFUNCTION("""COMPUTED_VALUE"""),"★禮券$200")</f>
        <v>★禮券$200</v>
      </c>
      <c r="H1972" s="8"/>
    </row>
    <row r="1973">
      <c r="A1973" s="18"/>
      <c r="B1973" s="14">
        <f>IFERROR(__xludf.DUMMYFUNCTION("""COMPUTED_VALUE"""),812298.0)</f>
        <v>812298</v>
      </c>
      <c r="C1973" s="14" t="str">
        <f>IFERROR(__xludf.DUMMYFUNCTION("""COMPUTED_VALUE"""),"李承泰")</f>
        <v>李承泰</v>
      </c>
      <c r="D1973" s="16" t="str">
        <f>IFERROR(__xludf.DUMMYFUNCTION("""COMPUTED_VALUE"""),"108*****es.mlc.edu.tw")</f>
        <v>108*****es.mlc.edu.tw</v>
      </c>
      <c r="E1973" s="17" t="str">
        <f>IFERROR(__xludf.DUMMYFUNCTION("""COMPUTED_VALUE"""),"苗栗縣後龍鎮龍坑國民小學")</f>
        <v>苗栗縣後龍鎮龍坑國民小學</v>
      </c>
      <c r="F1973" s="14" t="str">
        <f>IFERROR(__xludf.DUMMYFUNCTION("""COMPUTED_VALUE"""),"四年級")</f>
        <v>四年級</v>
      </c>
      <c r="G1973" s="14" t="str">
        <f>IFERROR(__xludf.DUMMYFUNCTION("""COMPUTED_VALUE"""),"獎狀")</f>
        <v>獎狀</v>
      </c>
      <c r="H1973" s="8"/>
    </row>
    <row r="1974">
      <c r="A1974" s="18"/>
      <c r="B1974" s="14">
        <f>IFERROR(__xludf.DUMMYFUNCTION("""COMPUTED_VALUE"""),812313.0)</f>
        <v>812313</v>
      </c>
      <c r="C1974" s="14" t="str">
        <f>IFERROR(__xludf.DUMMYFUNCTION("""COMPUTED_VALUE"""),"李欣螢")</f>
        <v>李欣螢</v>
      </c>
      <c r="D1974" s="16" t="str">
        <f>IFERROR(__xludf.DUMMYFUNCTION("""COMPUTED_VALUE"""),"108*****es.mlc.edu.tw")</f>
        <v>108*****es.mlc.edu.tw</v>
      </c>
      <c r="E1974" s="17" t="str">
        <f>IFERROR(__xludf.DUMMYFUNCTION("""COMPUTED_VALUE"""),"苗栗縣後龍鎮龍坑國民小學")</f>
        <v>苗栗縣後龍鎮龍坑國民小學</v>
      </c>
      <c r="F1974" s="14" t="str">
        <f>IFERROR(__xludf.DUMMYFUNCTION("""COMPUTED_VALUE"""),"四年級")</f>
        <v>四年級</v>
      </c>
      <c r="G1974" s="14" t="str">
        <f>IFERROR(__xludf.DUMMYFUNCTION("""COMPUTED_VALUE"""),"獎狀")</f>
        <v>獎狀</v>
      </c>
      <c r="H1974" s="8"/>
    </row>
    <row r="1975">
      <c r="A1975" s="18"/>
      <c r="B1975" s="14">
        <f>IFERROR(__xludf.DUMMYFUNCTION("""COMPUTED_VALUE"""),488393.0)</f>
        <v>488393</v>
      </c>
      <c r="C1975" s="14" t="str">
        <f>IFERROR(__xludf.DUMMYFUNCTION("""COMPUTED_VALUE"""),"顏維靚")</f>
        <v>顏維靚</v>
      </c>
      <c r="D1975" s="16" t="str">
        <f>IFERROR(__xludf.DUMMYFUNCTION("""COMPUTED_VALUE"""),"107*****es.mlc.edu.tw")</f>
        <v>107*****es.mlc.edu.tw</v>
      </c>
      <c r="E1975" s="17" t="str">
        <f>IFERROR(__xludf.DUMMYFUNCTION("""COMPUTED_VALUE"""),"苗栗縣後龍鎮龍坑國民小學")</f>
        <v>苗栗縣後龍鎮龍坑國民小學</v>
      </c>
      <c r="F1975" s="14" t="str">
        <f>IFERROR(__xludf.DUMMYFUNCTION("""COMPUTED_VALUE"""),"四年級")</f>
        <v>四年級</v>
      </c>
      <c r="G1975" s="14" t="str">
        <f>IFERROR(__xludf.DUMMYFUNCTION("""COMPUTED_VALUE"""),"獎狀")</f>
        <v>獎狀</v>
      </c>
      <c r="H1975" s="8"/>
    </row>
    <row r="1976">
      <c r="A1976" s="18"/>
      <c r="B1976" s="14">
        <f>IFERROR(__xludf.DUMMYFUNCTION("""COMPUTED_VALUE"""),484352.0)</f>
        <v>484352</v>
      </c>
      <c r="C1976" s="14" t="str">
        <f>IFERROR(__xludf.DUMMYFUNCTION("""COMPUTED_VALUE"""),"蔡紫婕")</f>
        <v>蔡紫婕</v>
      </c>
      <c r="D1976" s="16" t="str">
        <f>IFERROR(__xludf.DUMMYFUNCTION("""COMPUTED_VALUE"""),"ann*****ail.edu.tw")</f>
        <v>ann*****ail.edu.tw</v>
      </c>
      <c r="E1976" s="17" t="str">
        <f>IFERROR(__xludf.DUMMYFUNCTION("""COMPUTED_VALUE"""),"苗栗縣後龍鎮龍坑國民小學")</f>
        <v>苗栗縣後龍鎮龍坑國民小學</v>
      </c>
      <c r="F1976" s="14" t="str">
        <f>IFERROR(__xludf.DUMMYFUNCTION("""COMPUTED_VALUE"""),"五年級")</f>
        <v>五年級</v>
      </c>
      <c r="G1976" s="14" t="str">
        <f>IFERROR(__xludf.DUMMYFUNCTION("""COMPUTED_VALUE"""),"●小禮物")</f>
        <v>●小禮物</v>
      </c>
      <c r="H1976" s="8"/>
    </row>
    <row r="1977">
      <c r="A1977" s="18"/>
      <c r="B1977" s="14">
        <f>IFERROR(__xludf.DUMMYFUNCTION("""COMPUTED_VALUE"""),488391.0)</f>
        <v>488391</v>
      </c>
      <c r="C1977" s="14" t="str">
        <f>IFERROR(__xludf.DUMMYFUNCTION("""COMPUTED_VALUE"""),"鄭羽喬")</f>
        <v>鄭羽喬</v>
      </c>
      <c r="D1977" s="16" t="str">
        <f>IFERROR(__xludf.DUMMYFUNCTION("""COMPUTED_VALUE"""),"107*****es.mlc.edu.tw")</f>
        <v>107*****es.mlc.edu.tw</v>
      </c>
      <c r="E1977" s="17" t="str">
        <f>IFERROR(__xludf.DUMMYFUNCTION("""COMPUTED_VALUE"""),"苗栗縣後龍鎮龍坑國民小學")</f>
        <v>苗栗縣後龍鎮龍坑國民小學</v>
      </c>
      <c r="F1977" s="14" t="str">
        <f>IFERROR(__xludf.DUMMYFUNCTION("""COMPUTED_VALUE"""),"五年級")</f>
        <v>五年級</v>
      </c>
      <c r="G1977" s="14" t="str">
        <f>IFERROR(__xludf.DUMMYFUNCTION("""COMPUTED_VALUE"""),"●小禮物")</f>
        <v>●小禮物</v>
      </c>
      <c r="H1977" s="8"/>
    </row>
    <row r="1978">
      <c r="A1978" s="18"/>
      <c r="B1978" s="14">
        <f>IFERROR(__xludf.DUMMYFUNCTION("""COMPUTED_VALUE"""),488392.0)</f>
        <v>488392</v>
      </c>
      <c r="C1978" s="14" t="str">
        <f>IFERROR(__xludf.DUMMYFUNCTION("""COMPUTED_VALUE"""),"呂啟暘")</f>
        <v>呂啟暘</v>
      </c>
      <c r="D1978" s="16" t="str">
        <f>IFERROR(__xludf.DUMMYFUNCTION("""COMPUTED_VALUE"""),"107*****es.mlc.edu.tw")</f>
        <v>107*****es.mlc.edu.tw</v>
      </c>
      <c r="E1978" s="17" t="str">
        <f>IFERROR(__xludf.DUMMYFUNCTION("""COMPUTED_VALUE"""),"苗栗縣後龍鎮龍坑國民小學")</f>
        <v>苗栗縣後龍鎮龍坑國民小學</v>
      </c>
      <c r="F1978" s="14" t="str">
        <f>IFERROR(__xludf.DUMMYFUNCTION("""COMPUTED_VALUE"""),"五年級")</f>
        <v>五年級</v>
      </c>
      <c r="G1978" s="14" t="str">
        <f>IFERROR(__xludf.DUMMYFUNCTION("""COMPUTED_VALUE"""),"獎狀")</f>
        <v>獎狀</v>
      </c>
      <c r="H1978" s="8"/>
    </row>
    <row r="1979">
      <c r="A1979" s="18"/>
      <c r="B1979" s="14">
        <f>IFERROR(__xludf.DUMMYFUNCTION("""COMPUTED_VALUE"""),488389.0)</f>
        <v>488389</v>
      </c>
      <c r="C1979" s="14" t="str">
        <f>IFERROR(__xludf.DUMMYFUNCTION("""COMPUTED_VALUE"""),"張鈞筑")</f>
        <v>張鈞筑</v>
      </c>
      <c r="D1979" s="16" t="str">
        <f>IFERROR(__xludf.DUMMYFUNCTION("""COMPUTED_VALUE"""),"107*****es.mlc.edu.tw")</f>
        <v>107*****es.mlc.edu.tw</v>
      </c>
      <c r="E1979" s="17" t="str">
        <f>IFERROR(__xludf.DUMMYFUNCTION("""COMPUTED_VALUE"""),"苗栗縣後龍鎮龍坑國民小學")</f>
        <v>苗栗縣後龍鎮龍坑國民小學</v>
      </c>
      <c r="F1979" s="14" t="str">
        <f>IFERROR(__xludf.DUMMYFUNCTION("""COMPUTED_VALUE"""),"五年級")</f>
        <v>五年級</v>
      </c>
      <c r="G1979" s="14" t="str">
        <f>IFERROR(__xludf.DUMMYFUNCTION("""COMPUTED_VALUE"""),"獎狀")</f>
        <v>獎狀</v>
      </c>
      <c r="H1979" s="8"/>
    </row>
    <row r="1980">
      <c r="A1980" s="18"/>
      <c r="B1980" s="14">
        <f>IFERROR(__xludf.DUMMYFUNCTION("""COMPUTED_VALUE"""),483172.0)</f>
        <v>483172</v>
      </c>
      <c r="C1980" s="14" t="str">
        <f>IFERROR(__xludf.DUMMYFUNCTION("""COMPUTED_VALUE"""),"李采玲")</f>
        <v>李采玲</v>
      </c>
      <c r="D1980" s="16" t="str">
        <f>IFERROR(__xludf.DUMMYFUNCTION("""COMPUTED_VALUE"""),"lke*****4@mail.edu.tw")</f>
        <v>lke*****4@mail.edu.tw</v>
      </c>
      <c r="E1980" s="17" t="str">
        <f>IFERROR(__xludf.DUMMYFUNCTION("""COMPUTED_VALUE"""),"苗栗縣後龍鎮龍坑國民小學")</f>
        <v>苗栗縣後龍鎮龍坑國民小學</v>
      </c>
      <c r="F1980" s="14" t="str">
        <f>IFERROR(__xludf.DUMMYFUNCTION("""COMPUTED_VALUE"""),"六年級")</f>
        <v>六年級</v>
      </c>
      <c r="G1980" s="14" t="str">
        <f>IFERROR(__xludf.DUMMYFUNCTION("""COMPUTED_VALUE"""),"●小禮物")</f>
        <v>●小禮物</v>
      </c>
      <c r="H1980" s="8"/>
    </row>
    <row r="1981">
      <c r="A1981" s="18"/>
      <c r="B1981" s="14">
        <f>IFERROR(__xludf.DUMMYFUNCTION("""COMPUTED_VALUE"""),480928.0)</f>
        <v>480928</v>
      </c>
      <c r="C1981" s="14" t="str">
        <f>IFERROR(__xludf.DUMMYFUNCTION("""COMPUTED_VALUE"""),"涂奕頻")</f>
        <v>涂奕頻</v>
      </c>
      <c r="D1981" s="16" t="str">
        <f>IFERROR(__xludf.DUMMYFUNCTION("""COMPUTED_VALUE"""),"lke*****3@mail.edu.tw")</f>
        <v>lke*****3@mail.edu.tw</v>
      </c>
      <c r="E1981" s="17" t="str">
        <f>IFERROR(__xludf.DUMMYFUNCTION("""COMPUTED_VALUE"""),"苗栗縣後龍鎮龍坑國民小學")</f>
        <v>苗栗縣後龍鎮龍坑國民小學</v>
      </c>
      <c r="F1981" s="14" t="str">
        <f>IFERROR(__xludf.DUMMYFUNCTION("""COMPUTED_VALUE"""),"六年級")</f>
        <v>六年級</v>
      </c>
      <c r="G1981" s="14" t="str">
        <f>IFERROR(__xludf.DUMMYFUNCTION("""COMPUTED_VALUE"""),"●小禮物")</f>
        <v>●小禮物</v>
      </c>
      <c r="H1981" s="8"/>
    </row>
    <row r="1982">
      <c r="A1982" s="18"/>
      <c r="B1982" s="14">
        <f>IFERROR(__xludf.DUMMYFUNCTION("""COMPUTED_VALUE"""),483382.0)</f>
        <v>483382</v>
      </c>
      <c r="C1982" s="14" t="str">
        <f>IFERROR(__xludf.DUMMYFUNCTION("""COMPUTED_VALUE"""),"李家妤")</f>
        <v>李家妤</v>
      </c>
      <c r="D1982" s="16" t="str">
        <f>IFERROR(__xludf.DUMMYFUNCTION("""COMPUTED_VALUE"""),"lke*****1@mail.edu.tw")</f>
        <v>lke*****1@mail.edu.tw</v>
      </c>
      <c r="E1982" s="17" t="str">
        <f>IFERROR(__xludf.DUMMYFUNCTION("""COMPUTED_VALUE"""),"苗栗縣後龍鎮龍坑國民小學")</f>
        <v>苗栗縣後龍鎮龍坑國民小學</v>
      </c>
      <c r="F1982" s="14" t="str">
        <f>IFERROR(__xludf.DUMMYFUNCTION("""COMPUTED_VALUE"""),"六年級")</f>
        <v>六年級</v>
      </c>
      <c r="G1982" s="14" t="str">
        <f>IFERROR(__xludf.DUMMYFUNCTION("""COMPUTED_VALUE"""),"獎狀")</f>
        <v>獎狀</v>
      </c>
      <c r="H1982" s="8"/>
    </row>
    <row r="1983">
      <c r="A1983" s="18"/>
      <c r="B1983" s="14">
        <f>IFERROR(__xludf.DUMMYFUNCTION("""COMPUTED_VALUE"""),482844.0)</f>
        <v>482844</v>
      </c>
      <c r="C1983" s="14" t="str">
        <f>IFERROR(__xludf.DUMMYFUNCTION("""COMPUTED_VALUE"""),"李庭瑜")</f>
        <v>李庭瑜</v>
      </c>
      <c r="D1983" s="16" t="str">
        <f>IFERROR(__xludf.DUMMYFUNCTION("""COMPUTED_VALUE"""),"lke*****6@mail.edu.tw")</f>
        <v>lke*****6@mail.edu.tw</v>
      </c>
      <c r="E1983" s="17" t="str">
        <f>IFERROR(__xludf.DUMMYFUNCTION("""COMPUTED_VALUE"""),"苗栗縣後龍鎮龍坑國民小學")</f>
        <v>苗栗縣後龍鎮龍坑國民小學</v>
      </c>
      <c r="F1983" s="14" t="str">
        <f>IFERROR(__xludf.DUMMYFUNCTION("""COMPUTED_VALUE"""),"六年級")</f>
        <v>六年級</v>
      </c>
      <c r="G1983" s="14" t="str">
        <f>IFERROR(__xludf.DUMMYFUNCTION("""COMPUTED_VALUE"""),"獎狀")</f>
        <v>獎狀</v>
      </c>
      <c r="H1983" s="8"/>
    </row>
    <row r="1984">
      <c r="A1984" s="18"/>
      <c r="B1984" s="14">
        <f>IFERROR(__xludf.DUMMYFUNCTION("""COMPUTED_VALUE"""),483710.0)</f>
        <v>483710</v>
      </c>
      <c r="C1984" s="14" t="str">
        <f>IFERROR(__xludf.DUMMYFUNCTION("""COMPUTED_VALUE"""),"苗紫琪")</f>
        <v>苗紫琪</v>
      </c>
      <c r="D1984" s="16" t="str">
        <f>IFERROR(__xludf.DUMMYFUNCTION("""COMPUTED_VALUE"""),"lke*****5@mail.edu.tw")</f>
        <v>lke*****5@mail.edu.tw</v>
      </c>
      <c r="E1984" s="17" t="str">
        <f>IFERROR(__xludf.DUMMYFUNCTION("""COMPUTED_VALUE"""),"苗栗縣後龍鎮龍坑國民小學")</f>
        <v>苗栗縣後龍鎮龍坑國民小學</v>
      </c>
      <c r="F1984" s="14" t="str">
        <f>IFERROR(__xludf.DUMMYFUNCTION("""COMPUTED_VALUE"""),"六年級")</f>
        <v>六年級</v>
      </c>
      <c r="G1984" s="14" t="str">
        <f>IFERROR(__xludf.DUMMYFUNCTION("""COMPUTED_VALUE"""),"獎狀")</f>
        <v>獎狀</v>
      </c>
      <c r="H1984" s="8"/>
    </row>
    <row r="1985">
      <c r="A1985" s="18"/>
      <c r="B1985" s="14">
        <f>IFERROR(__xludf.DUMMYFUNCTION("""COMPUTED_VALUE"""),621752.0)</f>
        <v>621752</v>
      </c>
      <c r="C1985" s="14" t="str">
        <f>IFERROR(__xludf.DUMMYFUNCTION("""COMPUTED_VALUE"""),"林立桓")</f>
        <v>林立桓</v>
      </c>
      <c r="D1985" s="16" t="str">
        <f>IFERROR(__xludf.DUMMYFUNCTION("""COMPUTED_VALUE"""),"ds1*****3@mail.edu.tw")</f>
        <v>ds1*****3@mail.edu.tw</v>
      </c>
      <c r="E1985" s="17" t="str">
        <f>IFERROR(__xludf.DUMMYFUNCTION("""COMPUTED_VALUE"""),"苗栗縣後龍鎮大山國民小學")</f>
        <v>苗栗縣後龍鎮大山國民小學</v>
      </c>
      <c r="F1985" s="14" t="str">
        <f>IFERROR(__xludf.DUMMYFUNCTION("""COMPUTED_VALUE"""),"五年級")</f>
        <v>五年級</v>
      </c>
      <c r="G1985" s="14" t="str">
        <f>IFERROR(__xludf.DUMMYFUNCTION("""COMPUTED_VALUE"""),"●小禮物")</f>
        <v>●小禮物</v>
      </c>
      <c r="H1985" s="8"/>
    </row>
    <row r="1986">
      <c r="A1986" s="18"/>
      <c r="B1986" s="14">
        <f>IFERROR(__xludf.DUMMYFUNCTION("""COMPUTED_VALUE"""),621757.0)</f>
        <v>621757</v>
      </c>
      <c r="C1986" s="14" t="str">
        <f>IFERROR(__xludf.DUMMYFUNCTION("""COMPUTED_VALUE"""),"洪郁恬")</f>
        <v>洪郁恬</v>
      </c>
      <c r="D1986" s="16" t="str">
        <f>IFERROR(__xludf.DUMMYFUNCTION("""COMPUTED_VALUE"""),"ds1*****8@mail.edu.tw")</f>
        <v>ds1*****8@mail.edu.tw</v>
      </c>
      <c r="E1986" s="17" t="str">
        <f>IFERROR(__xludf.DUMMYFUNCTION("""COMPUTED_VALUE"""),"苗栗縣後龍鎮大山國民小學")</f>
        <v>苗栗縣後龍鎮大山國民小學</v>
      </c>
      <c r="F1986" s="14" t="str">
        <f>IFERROR(__xludf.DUMMYFUNCTION("""COMPUTED_VALUE"""),"五年級")</f>
        <v>五年級</v>
      </c>
      <c r="G1986" s="14" t="str">
        <f>IFERROR(__xludf.DUMMYFUNCTION("""COMPUTED_VALUE"""),"●小禮物")</f>
        <v>●小禮物</v>
      </c>
      <c r="H1986" s="8"/>
    </row>
    <row r="1987">
      <c r="A1987" s="18"/>
      <c r="B1987" s="14">
        <f>IFERROR(__xludf.DUMMYFUNCTION("""COMPUTED_VALUE"""),621763.0)</f>
        <v>621763</v>
      </c>
      <c r="C1987" s="14" t="str">
        <f>IFERROR(__xludf.DUMMYFUNCTION("""COMPUTED_VALUE"""),"吳亦柔")</f>
        <v>吳亦柔</v>
      </c>
      <c r="D1987" s="16" t="str">
        <f>IFERROR(__xludf.DUMMYFUNCTION("""COMPUTED_VALUE"""),"ds1*****5@mail.edu.tw")</f>
        <v>ds1*****5@mail.edu.tw</v>
      </c>
      <c r="E1987" s="17" t="str">
        <f>IFERROR(__xludf.DUMMYFUNCTION("""COMPUTED_VALUE"""),"苗栗縣後龍鎮大山國民小學")</f>
        <v>苗栗縣後龍鎮大山國民小學</v>
      </c>
      <c r="F1987" s="14" t="str">
        <f>IFERROR(__xludf.DUMMYFUNCTION("""COMPUTED_VALUE"""),"五年級")</f>
        <v>五年級</v>
      </c>
      <c r="G1987" s="14" t="str">
        <f>IFERROR(__xludf.DUMMYFUNCTION("""COMPUTED_VALUE"""),"獎狀")</f>
        <v>獎狀</v>
      </c>
      <c r="H1987" s="8"/>
    </row>
    <row r="1988">
      <c r="A1988" s="18"/>
      <c r="B1988" s="14">
        <f>IFERROR(__xludf.DUMMYFUNCTION("""COMPUTED_VALUE"""),621750.0)</f>
        <v>621750</v>
      </c>
      <c r="C1988" s="14" t="str">
        <f>IFERROR(__xludf.DUMMYFUNCTION("""COMPUTED_VALUE"""),"簡至浤")</f>
        <v>簡至浤</v>
      </c>
      <c r="D1988" s="16" t="str">
        <f>IFERROR(__xludf.DUMMYFUNCTION("""COMPUTED_VALUE"""),"ds1*****1@mail.edu.tw")</f>
        <v>ds1*****1@mail.edu.tw</v>
      </c>
      <c r="E1988" s="17" t="str">
        <f>IFERROR(__xludf.DUMMYFUNCTION("""COMPUTED_VALUE"""),"苗栗縣後龍鎮大山國民小學")</f>
        <v>苗栗縣後龍鎮大山國民小學</v>
      </c>
      <c r="F1988" s="14" t="str">
        <f>IFERROR(__xludf.DUMMYFUNCTION("""COMPUTED_VALUE"""),"五年級")</f>
        <v>五年級</v>
      </c>
      <c r="G1988" s="14" t="str">
        <f>IFERROR(__xludf.DUMMYFUNCTION("""COMPUTED_VALUE"""),"獎狀")</f>
        <v>獎狀</v>
      </c>
      <c r="H1988" s="8"/>
    </row>
    <row r="1989">
      <c r="A1989" s="18"/>
      <c r="B1989" s="14">
        <f>IFERROR(__xludf.DUMMYFUNCTION("""COMPUTED_VALUE"""),322756.0)</f>
        <v>322756</v>
      </c>
      <c r="C1989" s="14" t="str">
        <f>IFERROR(__xludf.DUMMYFUNCTION("""COMPUTED_VALUE"""),"洪榆晴")</f>
        <v>洪榆晴</v>
      </c>
      <c r="D1989" s="16" t="str">
        <f>IFERROR(__xludf.DUMMYFUNCTION("""COMPUTED_VALUE"""),"o10*****@mail.edu.tw")</f>
        <v>o10*****@mail.edu.tw</v>
      </c>
      <c r="E1989" s="17" t="str">
        <f>IFERROR(__xludf.DUMMYFUNCTION("""COMPUTED_VALUE"""),"苗栗縣後龍鎮大山國民小學")</f>
        <v>苗栗縣後龍鎮大山國民小學</v>
      </c>
      <c r="F1989" s="14" t="str">
        <f>IFERROR(__xludf.DUMMYFUNCTION("""COMPUTED_VALUE"""),"六年級")</f>
        <v>六年級</v>
      </c>
      <c r="G1989" s="14" t="str">
        <f>IFERROR(__xludf.DUMMYFUNCTION("""COMPUTED_VALUE"""),"獎狀")</f>
        <v>獎狀</v>
      </c>
      <c r="H1989" s="8"/>
    </row>
    <row r="1990">
      <c r="A1990" s="18"/>
      <c r="B1990" s="14">
        <f>IFERROR(__xludf.DUMMYFUNCTION("""COMPUTED_VALUE"""),322751.0)</f>
        <v>322751</v>
      </c>
      <c r="C1990" s="14" t="str">
        <f>IFERROR(__xludf.DUMMYFUNCTION("""COMPUTED_VALUE"""),"陳徵")</f>
        <v>陳徵</v>
      </c>
      <c r="D1990" s="16" t="str">
        <f>IFERROR(__xludf.DUMMYFUNCTION("""COMPUTED_VALUE"""),"k10*****@mail.edu.tw")</f>
        <v>k10*****@mail.edu.tw</v>
      </c>
      <c r="E1990" s="17" t="str">
        <f>IFERROR(__xludf.DUMMYFUNCTION("""COMPUTED_VALUE"""),"苗栗縣後龍鎮大山國民小學")</f>
        <v>苗栗縣後龍鎮大山國民小學</v>
      </c>
      <c r="F1990" s="14" t="str">
        <f>IFERROR(__xludf.DUMMYFUNCTION("""COMPUTED_VALUE"""),"六年級")</f>
        <v>六年級</v>
      </c>
      <c r="G1990" s="14" t="str">
        <f>IFERROR(__xludf.DUMMYFUNCTION("""COMPUTED_VALUE"""),"獎狀")</f>
        <v>獎狀</v>
      </c>
      <c r="H1990" s="8"/>
    </row>
    <row r="1991">
      <c r="A1991" s="18"/>
      <c r="B1991" s="14">
        <f>IFERROR(__xludf.DUMMYFUNCTION("""COMPUTED_VALUE"""),322752.0)</f>
        <v>322752</v>
      </c>
      <c r="C1991" s="14" t="str">
        <f>IFERROR(__xludf.DUMMYFUNCTION("""COMPUTED_VALUE"""),"楊紓昀")</f>
        <v>楊紓昀</v>
      </c>
      <c r="D1991" s="16" t="str">
        <f>IFERROR(__xludf.DUMMYFUNCTION("""COMPUTED_VALUE"""),"k10*****@mail.edu.tw")</f>
        <v>k10*****@mail.edu.tw</v>
      </c>
      <c r="E1991" s="17" t="str">
        <f>IFERROR(__xludf.DUMMYFUNCTION("""COMPUTED_VALUE"""),"苗栗縣後龍鎮大山國民小學")</f>
        <v>苗栗縣後龍鎮大山國民小學</v>
      </c>
      <c r="F1991" s="14" t="str">
        <f>IFERROR(__xludf.DUMMYFUNCTION("""COMPUTED_VALUE"""),"六年級")</f>
        <v>六年級</v>
      </c>
      <c r="G1991" s="14" t="str">
        <f>IFERROR(__xludf.DUMMYFUNCTION("""COMPUTED_VALUE"""),"獎狀")</f>
        <v>獎狀</v>
      </c>
      <c r="H1991" s="8"/>
    </row>
    <row r="1992">
      <c r="A1992" s="18"/>
      <c r="B1992" s="14">
        <f>IFERROR(__xludf.DUMMYFUNCTION("""COMPUTED_VALUE"""),322750.0)</f>
        <v>322750</v>
      </c>
      <c r="C1992" s="14" t="str">
        <f>IFERROR(__xludf.DUMMYFUNCTION("""COMPUTED_VALUE"""),"鄭沂瑄")</f>
        <v>鄭沂瑄</v>
      </c>
      <c r="D1992" s="16" t="str">
        <f>IFERROR(__xludf.DUMMYFUNCTION("""COMPUTED_VALUE"""),"k10*****@mail.edu.tw")</f>
        <v>k10*****@mail.edu.tw</v>
      </c>
      <c r="E1992" s="17" t="str">
        <f>IFERROR(__xludf.DUMMYFUNCTION("""COMPUTED_VALUE"""),"苗栗縣後龍鎮大山國民小學")</f>
        <v>苗栗縣後龍鎮大山國民小學</v>
      </c>
      <c r="F1992" s="14" t="str">
        <f>IFERROR(__xludf.DUMMYFUNCTION("""COMPUTED_VALUE"""),"六年級")</f>
        <v>六年級</v>
      </c>
      <c r="G1992" s="14" t="str">
        <f>IFERROR(__xludf.DUMMYFUNCTION("""COMPUTED_VALUE"""),"獎狀")</f>
        <v>獎狀</v>
      </c>
      <c r="H1992" s="8"/>
    </row>
    <row r="1993">
      <c r="A1993" s="18"/>
      <c r="B1993" s="14">
        <f>IFERROR(__xludf.DUMMYFUNCTION("""COMPUTED_VALUE"""),831334.0)</f>
        <v>831334</v>
      </c>
      <c r="C1993" s="14" t="str">
        <f>IFERROR(__xludf.DUMMYFUNCTION("""COMPUTED_VALUE"""),"李振宇")</f>
        <v>李振宇</v>
      </c>
      <c r="D1993" s="16" t="str">
        <f>IFERROR(__xludf.DUMMYFUNCTION("""COMPUTED_VALUE"""),"wuf*****04@ms1.wufues.mlc.edu.tw")</f>
        <v>wuf*****04@ms1.wufues.mlc.edu.tw</v>
      </c>
      <c r="E1993" s="17" t="str">
        <f>IFERROR(__xludf.DUMMYFUNCTION("""COMPUTED_VALUE"""),"苗栗縣通霄鎮五福國民小學")</f>
        <v>苗栗縣通霄鎮五福國民小學</v>
      </c>
      <c r="F1993" s="14" t="str">
        <f>IFERROR(__xludf.DUMMYFUNCTION("""COMPUTED_VALUE"""),"四年級")</f>
        <v>四年級</v>
      </c>
      <c r="G1993" s="14" t="str">
        <f>IFERROR(__xludf.DUMMYFUNCTION("""COMPUTED_VALUE"""),"●小禮物")</f>
        <v>●小禮物</v>
      </c>
      <c r="H1993" s="8"/>
    </row>
    <row r="1994">
      <c r="A1994" s="18"/>
      <c r="B1994" s="14">
        <f>IFERROR(__xludf.DUMMYFUNCTION("""COMPUTED_VALUE"""),823564.0)</f>
        <v>823564</v>
      </c>
      <c r="C1994" s="14" t="str">
        <f>IFERROR(__xludf.DUMMYFUNCTION("""COMPUTED_VALUE"""),"梁承易")</f>
        <v>梁承易</v>
      </c>
      <c r="D1994" s="16" t="str">
        <f>IFERROR(__xludf.DUMMYFUNCTION("""COMPUTED_VALUE"""),"wuf*****02@ms1.wufues.mlc.edu.tw")</f>
        <v>wuf*****02@ms1.wufues.mlc.edu.tw</v>
      </c>
      <c r="E1994" s="17" t="str">
        <f>IFERROR(__xludf.DUMMYFUNCTION("""COMPUTED_VALUE"""),"苗栗縣通霄鎮五福國民小學")</f>
        <v>苗栗縣通霄鎮五福國民小學</v>
      </c>
      <c r="F1994" s="14" t="str">
        <f>IFERROR(__xludf.DUMMYFUNCTION("""COMPUTED_VALUE"""),"四年級")</f>
        <v>四年級</v>
      </c>
      <c r="G1994" s="14" t="str">
        <f>IFERROR(__xludf.DUMMYFUNCTION("""COMPUTED_VALUE"""),"獎狀")</f>
        <v>獎狀</v>
      </c>
      <c r="H1994" s="8"/>
    </row>
    <row r="1995">
      <c r="A1995" s="18"/>
      <c r="B1995" s="14">
        <f>IFERROR(__xludf.DUMMYFUNCTION("""COMPUTED_VALUE"""),831320.0)</f>
        <v>831320</v>
      </c>
      <c r="C1995" s="14" t="str">
        <f>IFERROR(__xludf.DUMMYFUNCTION("""COMPUTED_VALUE"""),"莊詠晴")</f>
        <v>莊詠晴</v>
      </c>
      <c r="D1995" s="16" t="str">
        <f>IFERROR(__xludf.DUMMYFUNCTION("""COMPUTED_VALUE"""),"wuf*****14@ms1.wufues.mlc.edu.tw")</f>
        <v>wuf*****14@ms1.wufues.mlc.edu.tw</v>
      </c>
      <c r="E1995" s="17" t="str">
        <f>IFERROR(__xludf.DUMMYFUNCTION("""COMPUTED_VALUE"""),"苗栗縣通霄鎮五福國民小學")</f>
        <v>苗栗縣通霄鎮五福國民小學</v>
      </c>
      <c r="F1995" s="14" t="str">
        <f>IFERROR(__xludf.DUMMYFUNCTION("""COMPUTED_VALUE"""),"四年級")</f>
        <v>四年級</v>
      </c>
      <c r="G1995" s="14" t="str">
        <f>IFERROR(__xludf.DUMMYFUNCTION("""COMPUTED_VALUE"""),"獎狀")</f>
        <v>獎狀</v>
      </c>
      <c r="H1995" s="8"/>
    </row>
    <row r="1996">
      <c r="A1996" s="18"/>
      <c r="B1996" s="14">
        <f>IFERROR(__xludf.DUMMYFUNCTION("""COMPUTED_VALUE"""),596394.0)</f>
        <v>596394</v>
      </c>
      <c r="C1996" s="14" t="str">
        <f>IFERROR(__xludf.DUMMYFUNCTION("""COMPUTED_VALUE"""),"張睿恩")</f>
        <v>張睿恩</v>
      </c>
      <c r="D1996" s="16" t="str">
        <f>IFERROR(__xludf.DUMMYFUNCTION("""COMPUTED_VALUE"""),"wuf*****12@ms1.wufues.mlc.edu.tw")</f>
        <v>wuf*****12@ms1.wufues.mlc.edu.tw</v>
      </c>
      <c r="E1996" s="17" t="str">
        <f>IFERROR(__xludf.DUMMYFUNCTION("""COMPUTED_VALUE"""),"苗栗縣通霄鎮五福國民小學")</f>
        <v>苗栗縣通霄鎮五福國民小學</v>
      </c>
      <c r="F1996" s="14" t="str">
        <f>IFERROR(__xludf.DUMMYFUNCTION("""COMPUTED_VALUE"""),"五年級")</f>
        <v>五年級</v>
      </c>
      <c r="G1996" s="14" t="str">
        <f>IFERROR(__xludf.DUMMYFUNCTION("""COMPUTED_VALUE"""),"●小禮物")</f>
        <v>●小禮物</v>
      </c>
      <c r="H1996" s="8"/>
    </row>
    <row r="1997">
      <c r="A1997" s="18"/>
      <c r="B1997" s="14">
        <f>IFERROR(__xludf.DUMMYFUNCTION("""COMPUTED_VALUE"""),596378.0)</f>
        <v>596378</v>
      </c>
      <c r="C1997" s="14" t="str">
        <f>IFERROR(__xludf.DUMMYFUNCTION("""COMPUTED_VALUE"""),"古育娜")</f>
        <v>古育娜</v>
      </c>
      <c r="D1997" s="16" t="str">
        <f>IFERROR(__xludf.DUMMYFUNCTION("""COMPUTED_VALUE"""),"wuf*****11@ms1.wufues.mlc.edu.tw")</f>
        <v>wuf*****11@ms1.wufues.mlc.edu.tw</v>
      </c>
      <c r="E1997" s="17" t="str">
        <f>IFERROR(__xludf.DUMMYFUNCTION("""COMPUTED_VALUE"""),"苗栗縣通霄鎮五福國民小學")</f>
        <v>苗栗縣通霄鎮五福國民小學</v>
      </c>
      <c r="F1997" s="14" t="str">
        <f>IFERROR(__xludf.DUMMYFUNCTION("""COMPUTED_VALUE"""),"五年級")</f>
        <v>五年級</v>
      </c>
      <c r="G1997" s="14" t="str">
        <f>IFERROR(__xludf.DUMMYFUNCTION("""COMPUTED_VALUE"""),"獎狀")</f>
        <v>獎狀</v>
      </c>
      <c r="H1997" s="8"/>
    </row>
    <row r="1998">
      <c r="A1998" s="18"/>
      <c r="B1998" s="14">
        <f>IFERROR(__xludf.DUMMYFUNCTION("""COMPUTED_VALUE"""),596377.0)</f>
        <v>596377</v>
      </c>
      <c r="C1998" s="14" t="str">
        <f>IFERROR(__xludf.DUMMYFUNCTION("""COMPUTED_VALUE"""),"張芯熒")</f>
        <v>張芯熒</v>
      </c>
      <c r="D1998" s="16" t="str">
        <f>IFERROR(__xludf.DUMMYFUNCTION("""COMPUTED_VALUE"""),"wuf*****10@ms1.wufues.mlc.edu.tw")</f>
        <v>wuf*****10@ms1.wufues.mlc.edu.tw</v>
      </c>
      <c r="E1998" s="17" t="str">
        <f>IFERROR(__xludf.DUMMYFUNCTION("""COMPUTED_VALUE"""),"苗栗縣通霄鎮五福國民小學")</f>
        <v>苗栗縣通霄鎮五福國民小學</v>
      </c>
      <c r="F1998" s="14" t="str">
        <f>IFERROR(__xludf.DUMMYFUNCTION("""COMPUTED_VALUE"""),"五年級")</f>
        <v>五年級</v>
      </c>
      <c r="G1998" s="14" t="str">
        <f>IFERROR(__xludf.DUMMYFUNCTION("""COMPUTED_VALUE"""),"獎狀")</f>
        <v>獎狀</v>
      </c>
      <c r="H1998" s="8"/>
    </row>
    <row r="1999">
      <c r="A1999" s="18"/>
      <c r="B1999" s="14">
        <f>IFERROR(__xludf.DUMMYFUNCTION("""COMPUTED_VALUE"""),493216.0)</f>
        <v>493216</v>
      </c>
      <c r="C1999" s="14" t="str">
        <f>IFERROR(__xludf.DUMMYFUNCTION("""COMPUTED_VALUE"""),"曾可愛")</f>
        <v>曾可愛</v>
      </c>
      <c r="D1999" s="16" t="str">
        <f>IFERROR(__xludf.DUMMYFUNCTION("""COMPUTED_VALUE"""),"wuf*****07@ms1.wufues.mlc.edu.tw")</f>
        <v>wuf*****07@ms1.wufues.mlc.edu.tw</v>
      </c>
      <c r="E1999" s="17" t="str">
        <f>IFERROR(__xludf.DUMMYFUNCTION("""COMPUTED_VALUE"""),"苗栗縣通霄鎮五福國民小學")</f>
        <v>苗栗縣通霄鎮五福國民小學</v>
      </c>
      <c r="F1999" s="14" t="str">
        <f>IFERROR(__xludf.DUMMYFUNCTION("""COMPUTED_VALUE"""),"六年級")</f>
        <v>六年級</v>
      </c>
      <c r="G1999" s="14" t="str">
        <f>IFERROR(__xludf.DUMMYFUNCTION("""COMPUTED_VALUE"""),"●小禮物")</f>
        <v>●小禮物</v>
      </c>
      <c r="H1999" s="8"/>
    </row>
    <row r="2000">
      <c r="A2000" s="18"/>
      <c r="B2000" s="14">
        <f>IFERROR(__xludf.DUMMYFUNCTION("""COMPUTED_VALUE"""),493087.0)</f>
        <v>493087</v>
      </c>
      <c r="C2000" s="14" t="str">
        <f>IFERROR(__xludf.DUMMYFUNCTION("""COMPUTED_VALUE"""),"朱羿安")</f>
        <v>朱羿安</v>
      </c>
      <c r="D2000" s="16" t="str">
        <f>IFERROR(__xludf.DUMMYFUNCTION("""COMPUTED_VALUE"""),"wuf*****01@ms1.wufues.mlc.edu.tw")</f>
        <v>wuf*****01@ms1.wufues.mlc.edu.tw</v>
      </c>
      <c r="E2000" s="17" t="str">
        <f>IFERROR(__xludf.DUMMYFUNCTION("""COMPUTED_VALUE"""),"苗栗縣通霄鎮五福國民小學")</f>
        <v>苗栗縣通霄鎮五福國民小學</v>
      </c>
      <c r="F2000" s="14" t="str">
        <f>IFERROR(__xludf.DUMMYFUNCTION("""COMPUTED_VALUE"""),"六年級")</f>
        <v>六年級</v>
      </c>
      <c r="G2000" s="14" t="str">
        <f>IFERROR(__xludf.DUMMYFUNCTION("""COMPUTED_VALUE"""),"獎狀")</f>
        <v>獎狀</v>
      </c>
      <c r="H2000" s="8"/>
    </row>
    <row r="2001">
      <c r="A2001" s="18"/>
      <c r="B2001" s="14">
        <f>IFERROR(__xludf.DUMMYFUNCTION("""COMPUTED_VALUE"""),606032.0)</f>
        <v>606032</v>
      </c>
      <c r="C2001" s="14" t="str">
        <f>IFERROR(__xludf.DUMMYFUNCTION("""COMPUTED_VALUE"""),"陳宥羚")</f>
        <v>陳宥羚</v>
      </c>
      <c r="D2001" s="16" t="str">
        <f>IFERROR(__xludf.DUMMYFUNCTION("""COMPUTED_VALUE"""),"wuf*****09@ms1.wufues.mlc.edu.tw")</f>
        <v>wuf*****09@ms1.wufues.mlc.edu.tw</v>
      </c>
      <c r="E2001" s="17" t="str">
        <f>IFERROR(__xludf.DUMMYFUNCTION("""COMPUTED_VALUE"""),"苗栗縣通霄鎮五福國民小學")</f>
        <v>苗栗縣通霄鎮五福國民小學</v>
      </c>
      <c r="F2001" s="14" t="str">
        <f>IFERROR(__xludf.DUMMYFUNCTION("""COMPUTED_VALUE"""),"六年級")</f>
        <v>六年級</v>
      </c>
      <c r="G2001" s="14" t="str">
        <f>IFERROR(__xludf.DUMMYFUNCTION("""COMPUTED_VALUE"""),"獎狀")</f>
        <v>獎狀</v>
      </c>
      <c r="H2001" s="8"/>
    </row>
    <row r="2002">
      <c r="A2002" s="18"/>
      <c r="B2002" s="14">
        <f>IFERROR(__xludf.DUMMYFUNCTION("""COMPUTED_VALUE"""),493189.0)</f>
        <v>493189</v>
      </c>
      <c r="C2002" s="14" t="str">
        <f>IFERROR(__xludf.DUMMYFUNCTION("""COMPUTED_VALUE"""),"黃可馨")</f>
        <v>黃可馨</v>
      </c>
      <c r="D2002" s="16" t="str">
        <f>IFERROR(__xludf.DUMMYFUNCTION("""COMPUTED_VALUE"""),"wuf*****06@ms1.wufues.mlc.edu.tw")</f>
        <v>wuf*****06@ms1.wufues.mlc.edu.tw</v>
      </c>
      <c r="E2002" s="17" t="str">
        <f>IFERROR(__xludf.DUMMYFUNCTION("""COMPUTED_VALUE"""),"苗栗縣通霄鎮五福國民小學")</f>
        <v>苗栗縣通霄鎮五福國民小學</v>
      </c>
      <c r="F2002" s="14" t="str">
        <f>IFERROR(__xludf.DUMMYFUNCTION("""COMPUTED_VALUE"""),"六年級")</f>
        <v>六年級</v>
      </c>
      <c r="G2002" s="14" t="str">
        <f>IFERROR(__xludf.DUMMYFUNCTION("""COMPUTED_VALUE"""),"獎狀")</f>
        <v>獎狀</v>
      </c>
      <c r="H2002" s="8"/>
    </row>
    <row r="2003">
      <c r="A2003" s="18"/>
      <c r="B2003" s="14">
        <f>IFERROR(__xludf.DUMMYFUNCTION("""COMPUTED_VALUE"""),1200855.0)</f>
        <v>1200855</v>
      </c>
      <c r="C2003" s="14" t="str">
        <f>IFERROR(__xludf.DUMMYFUNCTION("""COMPUTED_VALUE"""),"曹家齊")</f>
        <v>曹家齊</v>
      </c>
      <c r="D2003" s="16" t="str">
        <f>IFERROR(__xludf.DUMMYFUNCTION("""COMPUTED_VALUE"""),"pde*****01@mail.edu.tw")</f>
        <v>pde*****01@mail.edu.tw</v>
      </c>
      <c r="E2003" s="17" t="str">
        <f>IFERROR(__xludf.DUMMYFUNCTION("""COMPUTED_VALUE"""),"苗栗縣通霄鎮坪頂國民小學")</f>
        <v>苗栗縣通霄鎮坪頂國民小學</v>
      </c>
      <c r="F2003" s="14" t="str">
        <f>IFERROR(__xludf.DUMMYFUNCTION("""COMPUTED_VALUE"""),"三年級")</f>
        <v>三年級</v>
      </c>
      <c r="G2003" s="14" t="str">
        <f>IFERROR(__xludf.DUMMYFUNCTION("""COMPUTED_VALUE"""),"獎狀")</f>
        <v>獎狀</v>
      </c>
      <c r="H2003" s="8"/>
    </row>
    <row r="2004">
      <c r="A2004" s="18"/>
      <c r="B2004" s="14">
        <f>IFERROR(__xludf.DUMMYFUNCTION("""COMPUTED_VALUE"""),813689.0)</f>
        <v>813689</v>
      </c>
      <c r="C2004" s="14" t="str">
        <f>IFERROR(__xludf.DUMMYFUNCTION("""COMPUTED_VALUE"""),"鄭雅蓉")</f>
        <v>鄭雅蓉</v>
      </c>
      <c r="D2004" s="16" t="str">
        <f>IFERROR(__xludf.DUMMYFUNCTION("""COMPUTED_VALUE"""),"pde*****04@mail.edu.tw")</f>
        <v>pde*****04@mail.edu.tw</v>
      </c>
      <c r="E2004" s="17" t="str">
        <f>IFERROR(__xludf.DUMMYFUNCTION("""COMPUTED_VALUE"""),"苗栗縣通霄鎮坪頂國民小學")</f>
        <v>苗栗縣通霄鎮坪頂國民小學</v>
      </c>
      <c r="F2004" s="14" t="str">
        <f>IFERROR(__xludf.DUMMYFUNCTION("""COMPUTED_VALUE"""),"四年級")</f>
        <v>四年級</v>
      </c>
      <c r="G2004" s="14" t="str">
        <f>IFERROR(__xludf.DUMMYFUNCTION("""COMPUTED_VALUE"""),"●小禮物")</f>
        <v>●小禮物</v>
      </c>
      <c r="H2004" s="8"/>
    </row>
    <row r="2005">
      <c r="A2005" s="18"/>
      <c r="B2005" s="14">
        <f>IFERROR(__xludf.DUMMYFUNCTION("""COMPUTED_VALUE"""),1200854.0)</f>
        <v>1200854</v>
      </c>
      <c r="C2005" s="14" t="str">
        <f>IFERROR(__xludf.DUMMYFUNCTION("""COMPUTED_VALUE"""),"劉宇愷")</f>
        <v>劉宇愷</v>
      </c>
      <c r="D2005" s="16" t="str">
        <f>IFERROR(__xludf.DUMMYFUNCTION("""COMPUTED_VALUE"""),"tc.*****6@mail.edu.tw")</f>
        <v>tc.*****6@mail.edu.tw</v>
      </c>
      <c r="E2005" s="17" t="str">
        <f>IFERROR(__xludf.DUMMYFUNCTION("""COMPUTED_VALUE"""),"苗栗縣通霄鎮坪頂國民小學")</f>
        <v>苗栗縣通霄鎮坪頂國民小學</v>
      </c>
      <c r="F2005" s="14" t="str">
        <f>IFERROR(__xludf.DUMMYFUNCTION("""COMPUTED_VALUE"""),"四年級")</f>
        <v>四年級</v>
      </c>
      <c r="G2005" s="14" t="str">
        <f>IFERROR(__xludf.DUMMYFUNCTION("""COMPUTED_VALUE"""),"★禮券$500")</f>
        <v>★禮券$500</v>
      </c>
      <c r="H2005" s="8"/>
    </row>
    <row r="2006">
      <c r="A2006" s="18"/>
      <c r="B2006" s="14">
        <f>IFERROR(__xludf.DUMMYFUNCTION("""COMPUTED_VALUE"""),813682.0)</f>
        <v>813682</v>
      </c>
      <c r="C2006" s="14" t="str">
        <f>IFERROR(__xludf.DUMMYFUNCTION("""COMPUTED_VALUE"""),"李若瑄")</f>
        <v>李若瑄</v>
      </c>
      <c r="D2006" s="16" t="str">
        <f>IFERROR(__xludf.DUMMYFUNCTION("""COMPUTED_VALUE"""),"pde*****03@mail.edu.tw")</f>
        <v>pde*****03@mail.edu.tw</v>
      </c>
      <c r="E2006" s="17" t="str">
        <f>IFERROR(__xludf.DUMMYFUNCTION("""COMPUTED_VALUE"""),"苗栗縣通霄鎮坪頂國民小學")</f>
        <v>苗栗縣通霄鎮坪頂國民小學</v>
      </c>
      <c r="F2006" s="14" t="str">
        <f>IFERROR(__xludf.DUMMYFUNCTION("""COMPUTED_VALUE"""),"四年級")</f>
        <v>四年級</v>
      </c>
      <c r="G2006" s="14" t="str">
        <f>IFERROR(__xludf.DUMMYFUNCTION("""COMPUTED_VALUE"""),"獎狀")</f>
        <v>獎狀</v>
      </c>
      <c r="H2006" s="8"/>
    </row>
    <row r="2007">
      <c r="A2007" s="18"/>
      <c r="B2007" s="14">
        <f>IFERROR(__xludf.DUMMYFUNCTION("""COMPUTED_VALUE"""),813683.0)</f>
        <v>813683</v>
      </c>
      <c r="C2007" s="14" t="str">
        <f>IFERROR(__xludf.DUMMYFUNCTION("""COMPUTED_VALUE"""),"邱楷耀")</f>
        <v>邱楷耀</v>
      </c>
      <c r="D2007" s="16" t="str">
        <f>IFERROR(__xludf.DUMMYFUNCTION("""COMPUTED_VALUE"""),"pde*****02@mail.edu.tw")</f>
        <v>pde*****02@mail.edu.tw</v>
      </c>
      <c r="E2007" s="17" t="str">
        <f>IFERROR(__xludf.DUMMYFUNCTION("""COMPUTED_VALUE"""),"苗栗縣通霄鎮坪頂國民小學")</f>
        <v>苗栗縣通霄鎮坪頂國民小學</v>
      </c>
      <c r="F2007" s="14" t="str">
        <f>IFERROR(__xludf.DUMMYFUNCTION("""COMPUTED_VALUE"""),"四年級")</f>
        <v>四年級</v>
      </c>
      <c r="G2007" s="14" t="str">
        <f>IFERROR(__xludf.DUMMYFUNCTION("""COMPUTED_VALUE"""),"獎狀")</f>
        <v>獎狀</v>
      </c>
      <c r="H2007" s="8"/>
    </row>
    <row r="2008">
      <c r="A2008" s="18"/>
      <c r="B2008" s="14">
        <f>IFERROR(__xludf.DUMMYFUNCTION("""COMPUTED_VALUE"""),813676.0)</f>
        <v>813676</v>
      </c>
      <c r="C2008" s="14" t="str">
        <f>IFERROR(__xludf.DUMMYFUNCTION("""COMPUTED_VALUE"""),"鄭以安")</f>
        <v>鄭以安</v>
      </c>
      <c r="D2008" s="16" t="str">
        <f>IFERROR(__xludf.DUMMYFUNCTION("""COMPUTED_VALUE"""),"pde*****01@mail.edu.tw")</f>
        <v>pde*****01@mail.edu.tw</v>
      </c>
      <c r="E2008" s="17" t="str">
        <f>IFERROR(__xludf.DUMMYFUNCTION("""COMPUTED_VALUE"""),"苗栗縣通霄鎮坪頂國民小學")</f>
        <v>苗栗縣通霄鎮坪頂國民小學</v>
      </c>
      <c r="F2008" s="14" t="str">
        <f>IFERROR(__xludf.DUMMYFUNCTION("""COMPUTED_VALUE"""),"四年級")</f>
        <v>四年級</v>
      </c>
      <c r="G2008" s="14" t="str">
        <f>IFERROR(__xludf.DUMMYFUNCTION("""COMPUTED_VALUE"""),"獎狀")</f>
        <v>獎狀</v>
      </c>
      <c r="H2008" s="8"/>
    </row>
    <row r="2009">
      <c r="A2009" s="18"/>
      <c r="B2009" s="14">
        <f>IFERROR(__xludf.DUMMYFUNCTION("""COMPUTED_VALUE"""),509340.0)</f>
        <v>509340</v>
      </c>
      <c r="C2009" s="14" t="str">
        <f>IFERROR(__xludf.DUMMYFUNCTION("""COMPUTED_VALUE"""),"王宏峻")</f>
        <v>王宏峻</v>
      </c>
      <c r="D2009" s="16" t="str">
        <f>IFERROR(__xludf.DUMMYFUNCTION("""COMPUTED_VALUE"""),"pde*****001@mail.edu.tw")</f>
        <v>pde*****001@mail.edu.tw</v>
      </c>
      <c r="E2009" s="17" t="str">
        <f>IFERROR(__xludf.DUMMYFUNCTION("""COMPUTED_VALUE"""),"苗栗縣通霄鎮坪頂國民小學")</f>
        <v>苗栗縣通霄鎮坪頂國民小學</v>
      </c>
      <c r="F2009" s="14" t="str">
        <f>IFERROR(__xludf.DUMMYFUNCTION("""COMPUTED_VALUE"""),"五年級")</f>
        <v>五年級</v>
      </c>
      <c r="G2009" s="14" t="str">
        <f>IFERROR(__xludf.DUMMYFUNCTION("""COMPUTED_VALUE"""),"★禮券$200")</f>
        <v>★禮券$200</v>
      </c>
      <c r="H2009" s="8"/>
    </row>
    <row r="2010">
      <c r="A2010" s="18"/>
      <c r="B2010" s="14">
        <f>IFERROR(__xludf.DUMMYFUNCTION("""COMPUTED_VALUE"""),509346.0)</f>
        <v>509346</v>
      </c>
      <c r="C2010" s="14" t="str">
        <f>IFERROR(__xludf.DUMMYFUNCTION("""COMPUTED_VALUE"""),"吳育婷")</f>
        <v>吳育婷</v>
      </c>
      <c r="D2010" s="16" t="str">
        <f>IFERROR(__xludf.DUMMYFUNCTION("""COMPUTED_VALUE"""),"pde*****04@mail.edu.tw")</f>
        <v>pde*****04@mail.edu.tw</v>
      </c>
      <c r="E2010" s="17" t="str">
        <f>IFERROR(__xludf.DUMMYFUNCTION("""COMPUTED_VALUE"""),"苗栗縣通霄鎮坪頂國民小學")</f>
        <v>苗栗縣通霄鎮坪頂國民小學</v>
      </c>
      <c r="F2010" s="14" t="str">
        <f>IFERROR(__xludf.DUMMYFUNCTION("""COMPUTED_VALUE"""),"五年級")</f>
        <v>五年級</v>
      </c>
      <c r="G2010" s="14" t="str">
        <f>IFERROR(__xludf.DUMMYFUNCTION("""COMPUTED_VALUE"""),"獎狀")</f>
        <v>獎狀</v>
      </c>
      <c r="H2010" s="8"/>
    </row>
    <row r="2011">
      <c r="A2011" s="18"/>
      <c r="B2011" s="14">
        <f>IFERROR(__xludf.DUMMYFUNCTION("""COMPUTED_VALUE"""),508781.0)</f>
        <v>508781</v>
      </c>
      <c r="C2011" s="14" t="str">
        <f>IFERROR(__xludf.DUMMYFUNCTION("""COMPUTED_VALUE"""),"鄭雅臻")</f>
        <v>鄭雅臻</v>
      </c>
      <c r="D2011" s="16" t="str">
        <f>IFERROR(__xludf.DUMMYFUNCTION("""COMPUTED_VALUE"""),"pde*****007@mail.edu.tw")</f>
        <v>pde*****007@mail.edu.tw</v>
      </c>
      <c r="E2011" s="17" t="str">
        <f>IFERROR(__xludf.DUMMYFUNCTION("""COMPUTED_VALUE"""),"苗栗縣通霄鎮坪頂國民小學")</f>
        <v>苗栗縣通霄鎮坪頂國民小學</v>
      </c>
      <c r="F2011" s="14" t="str">
        <f>IFERROR(__xludf.DUMMYFUNCTION("""COMPUTED_VALUE"""),"六年級")</f>
        <v>六年級</v>
      </c>
      <c r="G2011" s="14" t="str">
        <f>IFERROR(__xludf.DUMMYFUNCTION("""COMPUTED_VALUE"""),"●小禮物")</f>
        <v>●小禮物</v>
      </c>
      <c r="H2011" s="8"/>
    </row>
    <row r="2012">
      <c r="A2012" s="18"/>
      <c r="B2012" s="14">
        <f>IFERROR(__xludf.DUMMYFUNCTION("""COMPUTED_VALUE"""),284213.0)</f>
        <v>284213</v>
      </c>
      <c r="C2012" s="14" t="str">
        <f>IFERROR(__xludf.DUMMYFUNCTION("""COMPUTED_VALUE"""),"林彥騫")</f>
        <v>林彥騫</v>
      </c>
      <c r="D2012" s="16" t="str">
        <f>IFERROR(__xludf.DUMMYFUNCTION("""COMPUTED_VALUE"""),"pde*****001@mail.edu.tw")</f>
        <v>pde*****001@mail.edu.tw</v>
      </c>
      <c r="E2012" s="17" t="str">
        <f>IFERROR(__xludf.DUMMYFUNCTION("""COMPUTED_VALUE"""),"苗栗縣通霄鎮坪頂國民小學")</f>
        <v>苗栗縣通霄鎮坪頂國民小學</v>
      </c>
      <c r="F2012" s="14" t="str">
        <f>IFERROR(__xludf.DUMMYFUNCTION("""COMPUTED_VALUE"""),"六年級")</f>
        <v>六年級</v>
      </c>
      <c r="G2012" s="14" t="str">
        <f>IFERROR(__xludf.DUMMYFUNCTION("""COMPUTED_VALUE"""),"獎狀")</f>
        <v>獎狀</v>
      </c>
      <c r="H2012" s="8"/>
    </row>
    <row r="2013">
      <c r="A2013" s="18"/>
      <c r="B2013" s="14">
        <f>IFERROR(__xludf.DUMMYFUNCTION("""COMPUTED_VALUE"""),508785.0)</f>
        <v>508785</v>
      </c>
      <c r="C2013" s="14" t="str">
        <f>IFERROR(__xludf.DUMMYFUNCTION("""COMPUTED_VALUE"""),"林紫彤")</f>
        <v>林紫彤</v>
      </c>
      <c r="D2013" s="16" t="str">
        <f>IFERROR(__xludf.DUMMYFUNCTION("""COMPUTED_VALUE"""),"pde*****010@mail.edu.tw")</f>
        <v>pde*****010@mail.edu.tw</v>
      </c>
      <c r="E2013" s="17" t="str">
        <f>IFERROR(__xludf.DUMMYFUNCTION("""COMPUTED_VALUE"""),"苗栗縣通霄鎮坪頂國民小學")</f>
        <v>苗栗縣通霄鎮坪頂國民小學</v>
      </c>
      <c r="F2013" s="14" t="str">
        <f>IFERROR(__xludf.DUMMYFUNCTION("""COMPUTED_VALUE"""),"六年級")</f>
        <v>六年級</v>
      </c>
      <c r="G2013" s="14" t="str">
        <f>IFERROR(__xludf.DUMMYFUNCTION("""COMPUTED_VALUE"""),"獎狀")</f>
        <v>獎狀</v>
      </c>
      <c r="H2013" s="8"/>
    </row>
    <row r="2014">
      <c r="A2014" s="18"/>
      <c r="B2014" s="14">
        <f>IFERROR(__xludf.DUMMYFUNCTION("""COMPUTED_VALUE"""),508777.0)</f>
        <v>508777</v>
      </c>
      <c r="C2014" s="14" t="str">
        <f>IFERROR(__xludf.DUMMYFUNCTION("""COMPUTED_VALUE"""),"林翾岩")</f>
        <v>林翾岩</v>
      </c>
      <c r="D2014" s="16" t="str">
        <f>IFERROR(__xludf.DUMMYFUNCTION("""COMPUTED_VALUE"""),"pde*****006@mail.edu.tw")</f>
        <v>pde*****006@mail.edu.tw</v>
      </c>
      <c r="E2014" s="17" t="str">
        <f>IFERROR(__xludf.DUMMYFUNCTION("""COMPUTED_VALUE"""),"苗栗縣通霄鎮坪頂國民小學")</f>
        <v>苗栗縣通霄鎮坪頂國民小學</v>
      </c>
      <c r="F2014" s="14" t="str">
        <f>IFERROR(__xludf.DUMMYFUNCTION("""COMPUTED_VALUE"""),"六年級")</f>
        <v>六年級</v>
      </c>
      <c r="G2014" s="14" t="str">
        <f>IFERROR(__xludf.DUMMYFUNCTION("""COMPUTED_VALUE"""),"獎狀")</f>
        <v>獎狀</v>
      </c>
      <c r="H2014" s="8"/>
    </row>
    <row r="2015">
      <c r="A2015" s="18"/>
      <c r="B2015" s="14">
        <f>IFERROR(__xludf.DUMMYFUNCTION("""COMPUTED_VALUE"""),508289.0)</f>
        <v>508289</v>
      </c>
      <c r="C2015" s="14" t="str">
        <f>IFERROR(__xludf.DUMMYFUNCTION("""COMPUTED_VALUE"""),"陳奕杉")</f>
        <v>陳奕杉</v>
      </c>
      <c r="D2015" s="16" t="str">
        <f>IFERROR(__xludf.DUMMYFUNCTION("""COMPUTED_VALUE"""),"pde*****004@mail.edu.tw")</f>
        <v>pde*****004@mail.edu.tw</v>
      </c>
      <c r="E2015" s="17" t="str">
        <f>IFERROR(__xludf.DUMMYFUNCTION("""COMPUTED_VALUE"""),"苗栗縣通霄鎮坪頂國民小學")</f>
        <v>苗栗縣通霄鎮坪頂國民小學</v>
      </c>
      <c r="F2015" s="14" t="str">
        <f>IFERROR(__xludf.DUMMYFUNCTION("""COMPUTED_VALUE"""),"六年級")</f>
        <v>六年級</v>
      </c>
      <c r="G2015" s="14" t="str">
        <f>IFERROR(__xludf.DUMMYFUNCTION("""COMPUTED_VALUE"""),"獎狀")</f>
        <v>獎狀</v>
      </c>
      <c r="H2015" s="8"/>
    </row>
    <row r="2016">
      <c r="A2016" s="18"/>
      <c r="B2016" s="14">
        <f>IFERROR(__xludf.DUMMYFUNCTION("""COMPUTED_VALUE"""),508370.0)</f>
        <v>508370</v>
      </c>
      <c r="C2016" s="14" t="str">
        <f>IFERROR(__xludf.DUMMYFUNCTION("""COMPUTED_VALUE"""),"黃正昇")</f>
        <v>黃正昇</v>
      </c>
      <c r="D2016" s="16" t="str">
        <f>IFERROR(__xludf.DUMMYFUNCTION("""COMPUTED_VALUE"""),"pde*****002@mail.edu.tw")</f>
        <v>pde*****002@mail.edu.tw</v>
      </c>
      <c r="E2016" s="17" t="str">
        <f>IFERROR(__xludf.DUMMYFUNCTION("""COMPUTED_VALUE"""),"苗栗縣通霄鎮坪頂國民小學")</f>
        <v>苗栗縣通霄鎮坪頂國民小學</v>
      </c>
      <c r="F2016" s="14" t="str">
        <f>IFERROR(__xludf.DUMMYFUNCTION("""COMPUTED_VALUE"""),"六年級")</f>
        <v>六年級</v>
      </c>
      <c r="G2016" s="14" t="str">
        <f>IFERROR(__xludf.DUMMYFUNCTION("""COMPUTED_VALUE"""),"獎狀")</f>
        <v>獎狀</v>
      </c>
      <c r="H2016" s="8"/>
    </row>
    <row r="2017">
      <c r="A2017" s="18"/>
      <c r="B2017" s="14">
        <f>IFERROR(__xludf.DUMMYFUNCTION("""COMPUTED_VALUE"""),508789.0)</f>
        <v>508789</v>
      </c>
      <c r="C2017" s="14" t="str">
        <f>IFERROR(__xludf.DUMMYFUNCTION("""COMPUTED_VALUE"""),"鄭以婕")</f>
        <v>鄭以婕</v>
      </c>
      <c r="D2017" s="16" t="str">
        <f>IFERROR(__xludf.DUMMYFUNCTION("""COMPUTED_VALUE"""),"mlc*****1@mail.edu.tw")</f>
        <v>mlc*****1@mail.edu.tw</v>
      </c>
      <c r="E2017" s="17" t="str">
        <f>IFERROR(__xludf.DUMMYFUNCTION("""COMPUTED_VALUE"""),"苗栗縣通霄鎮坪頂國民小學")</f>
        <v>苗栗縣通霄鎮坪頂國民小學</v>
      </c>
      <c r="F2017" s="14" t="str">
        <f>IFERROR(__xludf.DUMMYFUNCTION("""COMPUTED_VALUE"""),"六年級")</f>
        <v>六年級</v>
      </c>
      <c r="G2017" s="14" t="str">
        <f>IFERROR(__xludf.DUMMYFUNCTION("""COMPUTED_VALUE"""),"獎狀")</f>
        <v>獎狀</v>
      </c>
      <c r="H2017" s="8"/>
    </row>
    <row r="2018">
      <c r="A2018" s="18"/>
      <c r="B2018" s="14">
        <f>IFERROR(__xludf.DUMMYFUNCTION("""COMPUTED_VALUE"""),1199322.0)</f>
        <v>1199322</v>
      </c>
      <c r="C2018" s="14" t="str">
        <f>IFERROR(__xludf.DUMMYFUNCTION("""COMPUTED_VALUE"""),"呂奕潔")</f>
        <v>呂奕潔</v>
      </c>
      <c r="D2018" s="16" t="str">
        <f>IFERROR(__xludf.DUMMYFUNCTION("""COMPUTED_VALUE"""),"tsi*****067@mail.edu.tw")</f>
        <v>tsi*****067@mail.edu.tw</v>
      </c>
      <c r="E2018" s="17" t="str">
        <f>IFERROR(__xludf.DUMMYFUNCTION("""COMPUTED_VALUE"""),"苗栗縣通霄鎮通霄國民小學")</f>
        <v>苗栗縣通霄鎮通霄國民小學</v>
      </c>
      <c r="F2018" s="14" t="str">
        <f>IFERROR(__xludf.DUMMYFUNCTION("""COMPUTED_VALUE"""),"四年級")</f>
        <v>四年級</v>
      </c>
      <c r="G2018" s="14" t="str">
        <f>IFERROR(__xludf.DUMMYFUNCTION("""COMPUTED_VALUE"""),"獎狀")</f>
        <v>獎狀</v>
      </c>
      <c r="H2018" s="8"/>
    </row>
    <row r="2019">
      <c r="A2019" s="18"/>
      <c r="B2019" s="14">
        <f>IFERROR(__xludf.DUMMYFUNCTION("""COMPUTED_VALUE"""),1203585.0)</f>
        <v>1203585</v>
      </c>
      <c r="C2019" s="14" t="str">
        <f>IFERROR(__xludf.DUMMYFUNCTION("""COMPUTED_VALUE"""),"陳柏羽")</f>
        <v>陳柏羽</v>
      </c>
      <c r="D2019" s="16" t="str">
        <f>IFERROR(__xludf.DUMMYFUNCTION("""COMPUTED_VALUE"""),"mlc*****35108121@mail.edu.tw")</f>
        <v>mlc*****35108121@mail.edu.tw</v>
      </c>
      <c r="E2019" s="17" t="str">
        <f>IFERROR(__xludf.DUMMYFUNCTION("""COMPUTED_VALUE"""),"苗栗縣通霄鎮通霄國民小學")</f>
        <v>苗栗縣通霄鎮通霄國民小學</v>
      </c>
      <c r="F2019" s="14" t="str">
        <f>IFERROR(__xludf.DUMMYFUNCTION("""COMPUTED_VALUE"""),"四年級")</f>
        <v>四年級</v>
      </c>
      <c r="G2019" s="14" t="str">
        <f>IFERROR(__xludf.DUMMYFUNCTION("""COMPUTED_VALUE"""),"獎狀")</f>
        <v>獎狀</v>
      </c>
      <c r="H2019" s="8"/>
    </row>
    <row r="2020">
      <c r="A2020" s="18"/>
      <c r="B2020" s="14">
        <f>IFERROR(__xludf.DUMMYFUNCTION("""COMPUTED_VALUE"""),1091130.0)</f>
        <v>1091130</v>
      </c>
      <c r="C2020" s="14" t="str">
        <f>IFERROR(__xludf.DUMMYFUNCTION("""COMPUTED_VALUE"""),"謝晴心")</f>
        <v>謝晴心</v>
      </c>
      <c r="D2020" s="16" t="str">
        <f>IFERROR(__xludf.DUMMYFUNCTION("""COMPUTED_VALUE"""),"mlc*****35108112@mail.edu.tw")</f>
        <v>mlc*****35108112@mail.edu.tw</v>
      </c>
      <c r="E2020" s="17" t="str">
        <f>IFERROR(__xludf.DUMMYFUNCTION("""COMPUTED_VALUE"""),"苗栗縣通霄鎮通霄國民小學")</f>
        <v>苗栗縣通霄鎮通霄國民小學</v>
      </c>
      <c r="F2020" s="14" t="str">
        <f>IFERROR(__xludf.DUMMYFUNCTION("""COMPUTED_VALUE"""),"四年級")</f>
        <v>四年級</v>
      </c>
      <c r="G2020" s="14" t="str">
        <f>IFERROR(__xludf.DUMMYFUNCTION("""COMPUTED_VALUE"""),"獎狀")</f>
        <v>獎狀</v>
      </c>
      <c r="H2020" s="8"/>
    </row>
    <row r="2021">
      <c r="A2021" s="18"/>
      <c r="B2021" s="14">
        <f>IFERROR(__xludf.DUMMYFUNCTION("""COMPUTED_VALUE"""),1175815.0)</f>
        <v>1175815</v>
      </c>
      <c r="C2021" s="14" t="str">
        <f>IFERROR(__xludf.DUMMYFUNCTION("""COMPUTED_VALUE"""),"楊承羲")</f>
        <v>楊承羲</v>
      </c>
      <c r="D2021" s="16" t="str">
        <f>IFERROR(__xludf.DUMMYFUNCTION("""COMPUTED_VALUE"""),"054*****07090@stu.mlc.edu.tw")</f>
        <v>054*****07090@stu.mlc.edu.tw</v>
      </c>
      <c r="E2021" s="17" t="str">
        <f>IFERROR(__xludf.DUMMYFUNCTION("""COMPUTED_VALUE"""),"苗栗縣通霄鎮通霄國民小學")</f>
        <v>苗栗縣通霄鎮通霄國民小學</v>
      </c>
      <c r="F2021" s="14" t="str">
        <f>IFERROR(__xludf.DUMMYFUNCTION("""COMPUTED_VALUE"""),"五年級")</f>
        <v>五年級</v>
      </c>
      <c r="G2021" s="14" t="str">
        <f>IFERROR(__xludf.DUMMYFUNCTION("""COMPUTED_VALUE"""),"獎狀")</f>
        <v>獎狀</v>
      </c>
      <c r="H2021" s="8"/>
    </row>
    <row r="2022">
      <c r="A2022" s="18"/>
      <c r="B2022" s="14">
        <f>IFERROR(__xludf.DUMMYFUNCTION("""COMPUTED_VALUE"""),888402.0)</f>
        <v>888402</v>
      </c>
      <c r="C2022" s="14" t="str">
        <f>IFERROR(__xludf.DUMMYFUNCTION("""COMPUTED_VALUE"""),"黃彥旻")</f>
        <v>黃彥旻</v>
      </c>
      <c r="D2022" s="16" t="str">
        <f>IFERROR(__xludf.DUMMYFUNCTION("""COMPUTED_VALUE"""),"tse*****30@mail.edu.tw")</f>
        <v>tse*****30@mail.edu.tw</v>
      </c>
      <c r="E2022" s="17" t="str">
        <f>IFERROR(__xludf.DUMMYFUNCTION("""COMPUTED_VALUE"""),"苗栗縣通霄鎮通霄國民小學")</f>
        <v>苗栗縣通霄鎮通霄國民小學</v>
      </c>
      <c r="F2022" s="14" t="str">
        <f>IFERROR(__xludf.DUMMYFUNCTION("""COMPUTED_VALUE"""),"六年級")</f>
        <v>六年級</v>
      </c>
      <c r="G2022" s="14" t="str">
        <f>IFERROR(__xludf.DUMMYFUNCTION("""COMPUTED_VALUE"""),"●小禮物")</f>
        <v>●小禮物</v>
      </c>
      <c r="H2022" s="8"/>
    </row>
    <row r="2023">
      <c r="A2023" s="18"/>
      <c r="B2023" s="14">
        <f>IFERROR(__xludf.DUMMYFUNCTION("""COMPUTED_VALUE"""),888397.0)</f>
        <v>888397</v>
      </c>
      <c r="C2023" s="14" t="str">
        <f>IFERROR(__xludf.DUMMYFUNCTION("""COMPUTED_VALUE"""),"謝銓庭")</f>
        <v>謝銓庭</v>
      </c>
      <c r="D2023" s="16" t="str">
        <f>IFERROR(__xludf.DUMMYFUNCTION("""COMPUTED_VALUE"""),"tse*****55@mail.edu.tw")</f>
        <v>tse*****55@mail.edu.tw</v>
      </c>
      <c r="E2023" s="17" t="str">
        <f>IFERROR(__xludf.DUMMYFUNCTION("""COMPUTED_VALUE"""),"苗栗縣通霄鎮通霄國民小學")</f>
        <v>苗栗縣通霄鎮通霄國民小學</v>
      </c>
      <c r="F2023" s="14" t="str">
        <f>IFERROR(__xludf.DUMMYFUNCTION("""COMPUTED_VALUE"""),"六年級")</f>
        <v>六年級</v>
      </c>
      <c r="G2023" s="14" t="str">
        <f>IFERROR(__xludf.DUMMYFUNCTION("""COMPUTED_VALUE"""),"●小禮物")</f>
        <v>●小禮物</v>
      </c>
      <c r="H2023" s="8"/>
    </row>
    <row r="2024">
      <c r="A2024" s="18"/>
      <c r="B2024" s="14">
        <f>IFERROR(__xludf.DUMMYFUNCTION("""COMPUTED_VALUE"""),888400.0)</f>
        <v>888400</v>
      </c>
      <c r="C2024" s="14" t="str">
        <f>IFERROR(__xludf.DUMMYFUNCTION("""COMPUTED_VALUE"""),"吳冠緯")</f>
        <v>吳冠緯</v>
      </c>
      <c r="D2024" s="16" t="str">
        <f>IFERROR(__xludf.DUMMYFUNCTION("""COMPUTED_VALUE"""),"tse*****77@mail.edu.tw")</f>
        <v>tse*****77@mail.edu.tw</v>
      </c>
      <c r="E2024" s="17" t="str">
        <f>IFERROR(__xludf.DUMMYFUNCTION("""COMPUTED_VALUE"""),"苗栗縣通霄鎮通霄國民小學")</f>
        <v>苗栗縣通霄鎮通霄國民小學</v>
      </c>
      <c r="F2024" s="14" t="str">
        <f>IFERROR(__xludf.DUMMYFUNCTION("""COMPUTED_VALUE"""),"六年級")</f>
        <v>六年級</v>
      </c>
      <c r="G2024" s="14" t="str">
        <f>IFERROR(__xludf.DUMMYFUNCTION("""COMPUTED_VALUE"""),"獎狀")</f>
        <v>獎狀</v>
      </c>
      <c r="H2024" s="8"/>
    </row>
    <row r="2025">
      <c r="A2025" s="18"/>
      <c r="B2025" s="14">
        <f>IFERROR(__xludf.DUMMYFUNCTION("""COMPUTED_VALUE"""),888395.0)</f>
        <v>888395</v>
      </c>
      <c r="C2025" s="14" t="str">
        <f>IFERROR(__xludf.DUMMYFUNCTION("""COMPUTED_VALUE"""),"許艾馨")</f>
        <v>許艾馨</v>
      </c>
      <c r="D2025" s="16" t="str">
        <f>IFERROR(__xludf.DUMMYFUNCTION("""COMPUTED_VALUE"""),"te1*****@mail.edu.tw")</f>
        <v>te1*****@mail.edu.tw</v>
      </c>
      <c r="E2025" s="17" t="str">
        <f>IFERROR(__xludf.DUMMYFUNCTION("""COMPUTED_VALUE"""),"苗栗縣通霄鎮通霄國民小學")</f>
        <v>苗栗縣通霄鎮通霄國民小學</v>
      </c>
      <c r="F2025" s="14" t="str">
        <f>IFERROR(__xludf.DUMMYFUNCTION("""COMPUTED_VALUE"""),"六年級")</f>
        <v>六年級</v>
      </c>
      <c r="G2025" s="14" t="str">
        <f>IFERROR(__xludf.DUMMYFUNCTION("""COMPUTED_VALUE"""),"獎狀")</f>
        <v>獎狀</v>
      </c>
      <c r="H2025" s="8"/>
    </row>
    <row r="2026">
      <c r="A2026" s="18"/>
      <c r="B2026" s="14">
        <f>IFERROR(__xludf.DUMMYFUNCTION("""COMPUTED_VALUE"""),888399.0)</f>
        <v>888399</v>
      </c>
      <c r="C2026" s="14" t="str">
        <f>IFERROR(__xludf.DUMMYFUNCTION("""COMPUTED_VALUE"""),"詹景喆")</f>
        <v>詹景喆</v>
      </c>
      <c r="D2026" s="16" t="str">
        <f>IFERROR(__xludf.DUMMYFUNCTION("""COMPUTED_VALUE"""),"tse*****83@mail.edu.tw")</f>
        <v>tse*****83@mail.edu.tw</v>
      </c>
      <c r="E2026" s="17" t="str">
        <f>IFERROR(__xludf.DUMMYFUNCTION("""COMPUTED_VALUE"""),"苗栗縣通霄鎮通霄國民小學")</f>
        <v>苗栗縣通霄鎮通霄國民小學</v>
      </c>
      <c r="F2026" s="14" t="str">
        <f>IFERROR(__xludf.DUMMYFUNCTION("""COMPUTED_VALUE"""),"六年級")</f>
        <v>六年級</v>
      </c>
      <c r="G2026" s="14" t="str">
        <f>IFERROR(__xludf.DUMMYFUNCTION("""COMPUTED_VALUE"""),"獎狀")</f>
        <v>獎狀</v>
      </c>
      <c r="H2026" s="8"/>
    </row>
    <row r="2027">
      <c r="A2027" s="18"/>
      <c r="B2027" s="14">
        <f>IFERROR(__xludf.DUMMYFUNCTION("""COMPUTED_VALUE"""),888406.0)</f>
        <v>888406</v>
      </c>
      <c r="C2027" s="14" t="str">
        <f>IFERROR(__xludf.DUMMYFUNCTION("""COMPUTED_VALUE"""),"羅奕情")</f>
        <v>羅奕情</v>
      </c>
      <c r="D2027" s="16" t="str">
        <f>IFERROR(__xludf.DUMMYFUNCTION("""COMPUTED_VALUE"""),"tse*****11@mail.edu.tw")</f>
        <v>tse*****11@mail.edu.tw</v>
      </c>
      <c r="E2027" s="17" t="str">
        <f>IFERROR(__xludf.DUMMYFUNCTION("""COMPUTED_VALUE"""),"苗栗縣通霄鎮通霄國民小學")</f>
        <v>苗栗縣通霄鎮通霄國民小學</v>
      </c>
      <c r="F2027" s="14" t="str">
        <f>IFERROR(__xludf.DUMMYFUNCTION("""COMPUTED_VALUE"""),"六年級")</f>
        <v>六年級</v>
      </c>
      <c r="G2027" s="14" t="str">
        <f>IFERROR(__xludf.DUMMYFUNCTION("""COMPUTED_VALUE"""),"獎狀")</f>
        <v>獎狀</v>
      </c>
      <c r="H2027" s="8"/>
    </row>
    <row r="2028">
      <c r="A2028" s="18"/>
      <c r="B2028" s="14">
        <f>IFERROR(__xludf.DUMMYFUNCTION("""COMPUTED_VALUE"""),555305.0)</f>
        <v>555305</v>
      </c>
      <c r="C2028" s="14" t="str">
        <f>IFERROR(__xludf.DUMMYFUNCTION("""COMPUTED_VALUE"""),"吳承祐")</f>
        <v>吳承祐</v>
      </c>
      <c r="D2028" s="16" t="str">
        <f>IFERROR(__xludf.DUMMYFUNCTION("""COMPUTED_VALUE"""),"sye*****60@mail.edu.tw")</f>
        <v>sye*****60@mail.edu.tw</v>
      </c>
      <c r="E2028" s="17" t="str">
        <f>IFERROR(__xludf.DUMMYFUNCTION("""COMPUTED_VALUE"""),"苗栗縣通霄鎮通霄國民小學")</f>
        <v>苗栗縣通霄鎮通霄國民小學</v>
      </c>
      <c r="F2028" s="14" t="str">
        <f>IFERROR(__xludf.DUMMYFUNCTION("""COMPUTED_VALUE"""),"六年級")</f>
        <v>六年級</v>
      </c>
      <c r="G2028" s="14" t="str">
        <f>IFERROR(__xludf.DUMMYFUNCTION("""COMPUTED_VALUE"""),"●小禮物")</f>
        <v>●小禮物</v>
      </c>
      <c r="H2028" s="8"/>
    </row>
    <row r="2029">
      <c r="A2029" s="18"/>
      <c r="B2029" s="14">
        <f>IFERROR(__xludf.DUMMYFUNCTION("""COMPUTED_VALUE"""),893916.0)</f>
        <v>893916</v>
      </c>
      <c r="C2029" s="14" t="str">
        <f>IFERROR(__xludf.DUMMYFUNCTION("""COMPUTED_VALUE"""),"吳承叡")</f>
        <v>吳承叡</v>
      </c>
      <c r="D2029" s="16" t="str">
        <f>IFERROR(__xludf.DUMMYFUNCTION("""COMPUTED_VALUE"""),"tse*****50@mail.edu.tw")</f>
        <v>tse*****50@mail.edu.tw</v>
      </c>
      <c r="E2029" s="17" t="str">
        <f>IFERROR(__xludf.DUMMYFUNCTION("""COMPUTED_VALUE"""),"苗栗縣通霄鎮通霄國民小學")</f>
        <v>苗栗縣通霄鎮通霄國民小學</v>
      </c>
      <c r="F2029" s="14" t="str">
        <f>IFERROR(__xludf.DUMMYFUNCTION("""COMPUTED_VALUE"""),"六年級")</f>
        <v>六年級</v>
      </c>
      <c r="G2029" s="14" t="str">
        <f>IFERROR(__xludf.DUMMYFUNCTION("""COMPUTED_VALUE"""),"獎狀")</f>
        <v>獎狀</v>
      </c>
      <c r="H2029" s="8"/>
    </row>
    <row r="2030">
      <c r="A2030" s="18"/>
      <c r="B2030" s="14">
        <f>IFERROR(__xludf.DUMMYFUNCTION("""COMPUTED_VALUE"""),847708.0)</f>
        <v>847708</v>
      </c>
      <c r="C2030" s="14" t="str">
        <f>IFERROR(__xludf.DUMMYFUNCTION("""COMPUTED_VALUE"""),"王薪人")</f>
        <v>王薪人</v>
      </c>
      <c r="D2030" s="16" t="str">
        <f>IFERROR(__xludf.DUMMYFUNCTION("""COMPUTED_VALUE"""),"m62*****029@mail.edu.tw")</f>
        <v>m62*****029@mail.edu.tw</v>
      </c>
      <c r="E2030" s="17" t="str">
        <f>IFERROR(__xludf.DUMMYFUNCTION("""COMPUTED_VALUE"""),"苗栗縣苑裡鎮苑裡國民小學")</f>
        <v>苗栗縣苑裡鎮苑裡國民小學</v>
      </c>
      <c r="F2030" s="14" t="str">
        <f>IFERROR(__xludf.DUMMYFUNCTION("""COMPUTED_VALUE"""),"四年級")</f>
        <v>四年級</v>
      </c>
      <c r="G2030" s="14" t="str">
        <f>IFERROR(__xludf.DUMMYFUNCTION("""COMPUTED_VALUE"""),"獎狀")</f>
        <v>獎狀</v>
      </c>
      <c r="H2030" s="8"/>
    </row>
    <row r="2031">
      <c r="A2031" s="18"/>
      <c r="B2031" s="14">
        <f>IFERROR(__xludf.DUMMYFUNCTION("""COMPUTED_VALUE"""),882465.0)</f>
        <v>882465</v>
      </c>
      <c r="C2031" s="14" t="str">
        <f>IFERROR(__xludf.DUMMYFUNCTION("""COMPUTED_VALUE"""),"周宥辰")</f>
        <v>周宥辰</v>
      </c>
      <c r="D2031" s="16" t="str">
        <f>IFERROR(__xludf.DUMMYFUNCTION("""COMPUTED_VALUE"""),"m62*****102@mail.edu.tw")</f>
        <v>m62*****102@mail.edu.tw</v>
      </c>
      <c r="E2031" s="17" t="str">
        <f>IFERROR(__xludf.DUMMYFUNCTION("""COMPUTED_VALUE"""),"苗栗縣苑裡鎮苑裡國民小學")</f>
        <v>苗栗縣苑裡鎮苑裡國民小學</v>
      </c>
      <c r="F2031" s="14" t="str">
        <f>IFERROR(__xludf.DUMMYFUNCTION("""COMPUTED_VALUE"""),"四年級")</f>
        <v>四年級</v>
      </c>
      <c r="G2031" s="14" t="str">
        <f>IFERROR(__xludf.DUMMYFUNCTION("""COMPUTED_VALUE"""),"獎狀")</f>
        <v>獎狀</v>
      </c>
      <c r="H2031" s="8"/>
    </row>
    <row r="2032">
      <c r="A2032" s="18"/>
      <c r="B2032" s="14">
        <f>IFERROR(__xludf.DUMMYFUNCTION("""COMPUTED_VALUE"""),370800.0)</f>
        <v>370800</v>
      </c>
      <c r="C2032" s="14" t="str">
        <f>IFERROR(__xludf.DUMMYFUNCTION("""COMPUTED_VALUE"""),"張峻賓")</f>
        <v>張峻賓</v>
      </c>
      <c r="D2032" s="16" t="str">
        <f>IFERROR(__xludf.DUMMYFUNCTION("""COMPUTED_VALUE"""),"yle*****50@mail.edu.tw")</f>
        <v>yle*****50@mail.edu.tw</v>
      </c>
      <c r="E2032" s="17" t="str">
        <f>IFERROR(__xludf.DUMMYFUNCTION("""COMPUTED_VALUE"""),"苗栗縣苑裡鎮苑裡國民小學")</f>
        <v>苗栗縣苑裡鎮苑裡國民小學</v>
      </c>
      <c r="F2032" s="14" t="str">
        <f>IFERROR(__xludf.DUMMYFUNCTION("""COMPUTED_VALUE"""),"六年級")</f>
        <v>六年級</v>
      </c>
      <c r="G2032" s="14" t="str">
        <f>IFERROR(__xludf.DUMMYFUNCTION("""COMPUTED_VALUE"""),"獎狀")</f>
        <v>獎狀</v>
      </c>
      <c r="H2032" s="8"/>
    </row>
    <row r="2033">
      <c r="A2033" s="18"/>
      <c r="B2033" s="14">
        <f>IFERROR(__xludf.DUMMYFUNCTION("""COMPUTED_VALUE"""),365477.0)</f>
        <v>365477</v>
      </c>
      <c r="C2033" s="14" t="str">
        <f>IFERROR(__xludf.DUMMYFUNCTION("""COMPUTED_VALUE"""),"王瀅又")</f>
        <v>王瀅又</v>
      </c>
      <c r="D2033" s="16" t="str">
        <f>IFERROR(__xludf.DUMMYFUNCTION("""COMPUTED_VALUE"""),"yle*****37@mail.edu.tw")</f>
        <v>yle*****37@mail.edu.tw</v>
      </c>
      <c r="E2033" s="17" t="str">
        <f>IFERROR(__xludf.DUMMYFUNCTION("""COMPUTED_VALUE"""),"苗栗縣苑裡鎮苑裡國民小學")</f>
        <v>苗栗縣苑裡鎮苑裡國民小學</v>
      </c>
      <c r="F2033" s="14" t="str">
        <f>IFERROR(__xludf.DUMMYFUNCTION("""COMPUTED_VALUE"""),"六年級")</f>
        <v>六年級</v>
      </c>
      <c r="G2033" s="14" t="str">
        <f>IFERROR(__xludf.DUMMYFUNCTION("""COMPUTED_VALUE"""),"獎狀")</f>
        <v>獎狀</v>
      </c>
      <c r="H2033" s="8"/>
    </row>
    <row r="2034">
      <c r="A2034" s="18"/>
      <c r="B2034" s="14">
        <f>IFERROR(__xludf.DUMMYFUNCTION("""COMPUTED_VALUE"""),370795.0)</f>
        <v>370795</v>
      </c>
      <c r="C2034" s="14" t="str">
        <f>IFERROR(__xludf.DUMMYFUNCTION("""COMPUTED_VALUE"""),"蔡雨函")</f>
        <v>蔡雨函</v>
      </c>
      <c r="D2034" s="16" t="str">
        <f>IFERROR(__xludf.DUMMYFUNCTION("""COMPUTED_VALUE"""),"yle*****72@mail.edu.tw")</f>
        <v>yle*****72@mail.edu.tw</v>
      </c>
      <c r="E2034" s="17" t="str">
        <f>IFERROR(__xludf.DUMMYFUNCTION("""COMPUTED_VALUE"""),"苗栗縣苑裡鎮苑裡國民小學")</f>
        <v>苗栗縣苑裡鎮苑裡國民小學</v>
      </c>
      <c r="F2034" s="14" t="str">
        <f>IFERROR(__xludf.DUMMYFUNCTION("""COMPUTED_VALUE"""),"六年級")</f>
        <v>六年級</v>
      </c>
      <c r="G2034" s="14" t="str">
        <f>IFERROR(__xludf.DUMMYFUNCTION("""COMPUTED_VALUE"""),"獎狀")</f>
        <v>獎狀</v>
      </c>
      <c r="H2034" s="8"/>
    </row>
    <row r="2035">
      <c r="A2035" s="18"/>
      <c r="B2035" s="14">
        <f>IFERROR(__xludf.DUMMYFUNCTION("""COMPUTED_VALUE"""),998958.0)</f>
        <v>998958</v>
      </c>
      <c r="C2035" s="14" t="str">
        <f>IFERROR(__xludf.DUMMYFUNCTION("""COMPUTED_VALUE"""),"吳承昀")</f>
        <v>吳承昀</v>
      </c>
      <c r="D2035" s="16" t="str">
        <f>IFERROR(__xludf.DUMMYFUNCTION("""COMPUTED_VALUE"""),"ls1*****@mail.edu.tw")</f>
        <v>ls1*****@mail.edu.tw</v>
      </c>
      <c r="E2035" s="17" t="str">
        <f>IFERROR(__xludf.DUMMYFUNCTION("""COMPUTED_VALUE"""),"苗栗縣苑裡鎮林森國民小學")</f>
        <v>苗栗縣苑裡鎮林森國民小學</v>
      </c>
      <c r="F2035" s="14" t="str">
        <f>IFERROR(__xludf.DUMMYFUNCTION("""COMPUTED_VALUE"""),"四年級")</f>
        <v>四年級</v>
      </c>
      <c r="G2035" s="14" t="str">
        <f>IFERROR(__xludf.DUMMYFUNCTION("""COMPUTED_VALUE"""),"●小禮物")</f>
        <v>●小禮物</v>
      </c>
      <c r="H2035" s="8"/>
    </row>
    <row r="2036">
      <c r="A2036" s="18"/>
      <c r="B2036" s="14">
        <f>IFERROR(__xludf.DUMMYFUNCTION("""COMPUTED_VALUE"""),998963.0)</f>
        <v>998963</v>
      </c>
      <c r="C2036" s="14" t="str">
        <f>IFERROR(__xludf.DUMMYFUNCTION("""COMPUTED_VALUE"""),"歐哲維")</f>
        <v>歐哲維</v>
      </c>
      <c r="D2036" s="16" t="str">
        <f>IFERROR(__xludf.DUMMYFUNCTION("""COMPUTED_VALUE"""),"ls1*****@mail.edu.tw")</f>
        <v>ls1*****@mail.edu.tw</v>
      </c>
      <c r="E2036" s="17" t="str">
        <f>IFERROR(__xludf.DUMMYFUNCTION("""COMPUTED_VALUE"""),"苗栗縣苑裡鎮林森國民小學")</f>
        <v>苗栗縣苑裡鎮林森國民小學</v>
      </c>
      <c r="F2036" s="14" t="str">
        <f>IFERROR(__xludf.DUMMYFUNCTION("""COMPUTED_VALUE"""),"四年級")</f>
        <v>四年級</v>
      </c>
      <c r="G2036" s="14" t="str">
        <f>IFERROR(__xludf.DUMMYFUNCTION("""COMPUTED_VALUE"""),"★禮券$500")</f>
        <v>★禮券$500</v>
      </c>
      <c r="H2036" s="8"/>
    </row>
    <row r="2037">
      <c r="A2037" s="18"/>
      <c r="B2037" s="14">
        <f>IFERROR(__xludf.DUMMYFUNCTION("""COMPUTED_VALUE"""),998966.0)</f>
        <v>998966</v>
      </c>
      <c r="C2037" s="14" t="str">
        <f>IFERROR(__xludf.DUMMYFUNCTION("""COMPUTED_VALUE"""),"翁紹宸")</f>
        <v>翁紹宸</v>
      </c>
      <c r="D2037" s="16" t="str">
        <f>IFERROR(__xludf.DUMMYFUNCTION("""COMPUTED_VALUE"""),"ls1*****@mail.edu.tw")</f>
        <v>ls1*****@mail.edu.tw</v>
      </c>
      <c r="E2037" s="17" t="str">
        <f>IFERROR(__xludf.DUMMYFUNCTION("""COMPUTED_VALUE"""),"苗栗縣苑裡鎮林森國民小學")</f>
        <v>苗栗縣苑裡鎮林森國民小學</v>
      </c>
      <c r="F2037" s="14" t="str">
        <f>IFERROR(__xludf.DUMMYFUNCTION("""COMPUTED_VALUE"""),"四年級")</f>
        <v>四年級</v>
      </c>
      <c r="G2037" s="14" t="str">
        <f>IFERROR(__xludf.DUMMYFUNCTION("""COMPUTED_VALUE"""),"獎狀")</f>
        <v>獎狀</v>
      </c>
      <c r="H2037" s="8"/>
    </row>
    <row r="2038">
      <c r="A2038" s="18"/>
      <c r="B2038" s="14">
        <f>IFERROR(__xludf.DUMMYFUNCTION("""COMPUTED_VALUE"""),998971.0)</f>
        <v>998971</v>
      </c>
      <c r="C2038" s="14" t="str">
        <f>IFERROR(__xludf.DUMMYFUNCTION("""COMPUTED_VALUE"""),"陳柏叡")</f>
        <v>陳柏叡</v>
      </c>
      <c r="D2038" s="16" t="str">
        <f>IFERROR(__xludf.DUMMYFUNCTION("""COMPUTED_VALUE"""),"ls1*****@mail.edu.tw")</f>
        <v>ls1*****@mail.edu.tw</v>
      </c>
      <c r="E2038" s="17" t="str">
        <f>IFERROR(__xludf.DUMMYFUNCTION("""COMPUTED_VALUE"""),"苗栗縣苑裡鎮林森國民小學")</f>
        <v>苗栗縣苑裡鎮林森國民小學</v>
      </c>
      <c r="F2038" s="14" t="str">
        <f>IFERROR(__xludf.DUMMYFUNCTION("""COMPUTED_VALUE"""),"四年級")</f>
        <v>四年級</v>
      </c>
      <c r="G2038" s="14" t="str">
        <f>IFERROR(__xludf.DUMMYFUNCTION("""COMPUTED_VALUE"""),"獎狀")</f>
        <v>獎狀</v>
      </c>
      <c r="H2038" s="8"/>
    </row>
    <row r="2039">
      <c r="A2039" s="18"/>
      <c r="B2039" s="14">
        <f>IFERROR(__xludf.DUMMYFUNCTION("""COMPUTED_VALUE"""),993226.0)</f>
        <v>993226</v>
      </c>
      <c r="C2039" s="14" t="str">
        <f>IFERROR(__xludf.DUMMYFUNCTION("""COMPUTED_VALUE"""),"陳瑩嘉")</f>
        <v>陳瑩嘉</v>
      </c>
      <c r="D2039" s="16" t="str">
        <f>IFERROR(__xludf.DUMMYFUNCTION("""COMPUTED_VALUE"""),"ls1*****@mail.edu.tw")</f>
        <v>ls1*****@mail.edu.tw</v>
      </c>
      <c r="E2039" s="17" t="str">
        <f>IFERROR(__xludf.DUMMYFUNCTION("""COMPUTED_VALUE"""),"苗栗縣苑裡鎮林森國民小學")</f>
        <v>苗栗縣苑裡鎮林森國民小學</v>
      </c>
      <c r="F2039" s="14" t="str">
        <f>IFERROR(__xludf.DUMMYFUNCTION("""COMPUTED_VALUE"""),"四年級")</f>
        <v>四年級</v>
      </c>
      <c r="G2039" s="14" t="str">
        <f>IFERROR(__xludf.DUMMYFUNCTION("""COMPUTED_VALUE"""),"獎狀")</f>
        <v>獎狀</v>
      </c>
      <c r="H2039" s="8"/>
    </row>
    <row r="2040">
      <c r="A2040" s="18"/>
      <c r="B2040" s="14">
        <f>IFERROR(__xludf.DUMMYFUNCTION("""COMPUTED_VALUE"""),1047670.0)</f>
        <v>1047670</v>
      </c>
      <c r="C2040" s="14" t="str">
        <f>IFERROR(__xludf.DUMMYFUNCTION("""COMPUTED_VALUE"""),"林彩菲")</f>
        <v>林彩菲</v>
      </c>
      <c r="D2040" s="16" t="str">
        <f>IFERROR(__xludf.DUMMYFUNCTION("""COMPUTED_VALUE"""),"lsf*****09@mail.edu.tw")</f>
        <v>lsf*****09@mail.edu.tw</v>
      </c>
      <c r="E2040" s="17" t="str">
        <f>IFERROR(__xludf.DUMMYFUNCTION("""COMPUTED_VALUE"""),"苗栗縣苑裡鎮客庄國民小學")</f>
        <v>苗栗縣苑裡鎮客庄國民小學</v>
      </c>
      <c r="F2040" s="14" t="str">
        <f>IFERROR(__xludf.DUMMYFUNCTION("""COMPUTED_VALUE"""),"三年級")</f>
        <v>三年級</v>
      </c>
      <c r="G2040" s="14" t="str">
        <f>IFERROR(__xludf.DUMMYFUNCTION("""COMPUTED_VALUE"""),"獎狀")</f>
        <v>獎狀</v>
      </c>
      <c r="H2040" s="8"/>
    </row>
    <row r="2041">
      <c r="A2041" s="18"/>
      <c r="B2041" s="14">
        <f>IFERROR(__xludf.DUMMYFUNCTION("""COMPUTED_VALUE"""),872382.0)</f>
        <v>872382</v>
      </c>
      <c r="C2041" s="14" t="str">
        <f>IFERROR(__xludf.DUMMYFUNCTION("""COMPUTED_VALUE"""),"林昕沛")</f>
        <v>林昕沛</v>
      </c>
      <c r="D2041" s="16" t="str">
        <f>IFERROR(__xludf.DUMMYFUNCTION("""COMPUTED_VALUE"""),"lsp*****mail.edu.tw")</f>
        <v>lsp*****mail.edu.tw</v>
      </c>
      <c r="E2041" s="17" t="str">
        <f>IFERROR(__xludf.DUMMYFUNCTION("""COMPUTED_VALUE"""),"苗栗縣苑裡鎮客庄國民小學")</f>
        <v>苗栗縣苑裡鎮客庄國民小學</v>
      </c>
      <c r="F2041" s="14" t="str">
        <f>IFERROR(__xludf.DUMMYFUNCTION("""COMPUTED_VALUE"""),"四年級")</f>
        <v>四年級</v>
      </c>
      <c r="G2041" s="14" t="str">
        <f>IFERROR(__xludf.DUMMYFUNCTION("""COMPUTED_VALUE"""),"獎狀")</f>
        <v>獎狀</v>
      </c>
      <c r="H2041" s="8"/>
    </row>
    <row r="2042">
      <c r="A2042" s="18"/>
      <c r="B2042" s="14">
        <f>IFERROR(__xludf.DUMMYFUNCTION("""COMPUTED_VALUE"""),791655.0)</f>
        <v>791655</v>
      </c>
      <c r="C2042" s="14" t="str">
        <f>IFERROR(__xludf.DUMMYFUNCTION("""COMPUTED_VALUE"""),"許藝騰")</f>
        <v>許藝騰</v>
      </c>
      <c r="D2042" s="16" t="str">
        <f>IFERROR(__xludf.DUMMYFUNCTION("""COMPUTED_VALUE"""),"yul*****mail.edu.tw")</f>
        <v>yul*****mail.edu.tw</v>
      </c>
      <c r="E2042" s="17" t="str">
        <f>IFERROR(__xludf.DUMMYFUNCTION("""COMPUTED_VALUE"""),"苗栗縣苑裡鎮客庄國民小學")</f>
        <v>苗栗縣苑裡鎮客庄國民小學</v>
      </c>
      <c r="F2042" s="14" t="str">
        <f>IFERROR(__xludf.DUMMYFUNCTION("""COMPUTED_VALUE"""),"四年級")</f>
        <v>四年級</v>
      </c>
      <c r="G2042" s="14" t="str">
        <f>IFERROR(__xludf.DUMMYFUNCTION("""COMPUTED_VALUE"""),"獎狀")</f>
        <v>獎狀</v>
      </c>
      <c r="H2042" s="8"/>
    </row>
    <row r="2043">
      <c r="A2043" s="18"/>
      <c r="B2043" s="14">
        <f>IFERROR(__xludf.DUMMYFUNCTION("""COMPUTED_VALUE"""),489194.0)</f>
        <v>489194</v>
      </c>
      <c r="C2043" s="14" t="str">
        <f>IFERROR(__xludf.DUMMYFUNCTION("""COMPUTED_VALUE"""),"許藝薰")</f>
        <v>許藝薰</v>
      </c>
      <c r="D2043" s="16" t="str">
        <f>IFERROR(__xludf.DUMMYFUNCTION("""COMPUTED_VALUE"""),"yul*****mail.edu.tw")</f>
        <v>yul*****mail.edu.tw</v>
      </c>
      <c r="E2043" s="17" t="str">
        <f>IFERROR(__xludf.DUMMYFUNCTION("""COMPUTED_VALUE"""),"苗栗縣苑裡鎮客庄國民小學")</f>
        <v>苗栗縣苑裡鎮客庄國民小學</v>
      </c>
      <c r="F2043" s="14" t="str">
        <f>IFERROR(__xludf.DUMMYFUNCTION("""COMPUTED_VALUE"""),"六年級")</f>
        <v>六年級</v>
      </c>
      <c r="G2043" s="14" t="str">
        <f>IFERROR(__xludf.DUMMYFUNCTION("""COMPUTED_VALUE"""),"獎狀")</f>
        <v>獎狀</v>
      </c>
      <c r="H2043" s="8"/>
    </row>
    <row r="2044">
      <c r="A2044" s="18"/>
      <c r="B2044" s="14">
        <f>IFERROR(__xludf.DUMMYFUNCTION("""COMPUTED_VALUE"""),486877.0)</f>
        <v>486877</v>
      </c>
      <c r="C2044" s="14" t="str">
        <f>IFERROR(__xludf.DUMMYFUNCTION("""COMPUTED_VALUE"""),"陳玟羽")</f>
        <v>陳玟羽</v>
      </c>
      <c r="D2044" s="16" t="str">
        <f>IFERROR(__xludf.DUMMYFUNCTION("""COMPUTED_VALUE"""),"mlc*****22106058@mail.edu.tw")</f>
        <v>mlc*****22106058@mail.edu.tw</v>
      </c>
      <c r="E2044" s="17" t="str">
        <f>IFERROR(__xludf.DUMMYFUNCTION("""COMPUTED_VALUE"""),"苗栗縣苑裡鎮客庄國民小學")</f>
        <v>苗栗縣苑裡鎮客庄國民小學</v>
      </c>
      <c r="F2044" s="14" t="str">
        <f>IFERROR(__xludf.DUMMYFUNCTION("""COMPUTED_VALUE"""),"六年級")</f>
        <v>六年級</v>
      </c>
      <c r="G2044" s="14" t="str">
        <f>IFERROR(__xludf.DUMMYFUNCTION("""COMPUTED_VALUE"""),"獎狀")</f>
        <v>獎狀</v>
      </c>
      <c r="H2044" s="8"/>
    </row>
    <row r="2045">
      <c r="A2045" s="18"/>
      <c r="B2045" s="14">
        <f>IFERROR(__xludf.DUMMYFUNCTION("""COMPUTED_VALUE"""),499621.0)</f>
        <v>499621</v>
      </c>
      <c r="C2045" s="14" t="str">
        <f>IFERROR(__xludf.DUMMYFUNCTION("""COMPUTED_VALUE"""),"張軒豪")</f>
        <v>張軒豪</v>
      </c>
      <c r="D2045" s="16" t="str">
        <f>IFERROR(__xludf.DUMMYFUNCTION("""COMPUTED_VALUE"""),"swa*****x@gmail.com")</f>
        <v>swa*****x@gmail.com</v>
      </c>
      <c r="E2045" s="17" t="str">
        <f>IFERROR(__xludf.DUMMYFUNCTION("""COMPUTED_VALUE"""),"苗栗縣苗栗市建功國民小學")</f>
        <v>苗栗縣苗栗市建功國民小學</v>
      </c>
      <c r="F2045" s="14" t="str">
        <f>IFERROR(__xludf.DUMMYFUNCTION("""COMPUTED_VALUE"""),"五年級")</f>
        <v>五年級</v>
      </c>
      <c r="G2045" s="14" t="str">
        <f>IFERROR(__xludf.DUMMYFUNCTION("""COMPUTED_VALUE"""),"獎狀")</f>
        <v>獎狀</v>
      </c>
      <c r="H2045" s="8"/>
    </row>
    <row r="2046">
      <c r="A2046" s="18"/>
      <c r="B2046" s="14">
        <f>IFERROR(__xludf.DUMMYFUNCTION("""COMPUTED_VALUE"""),787641.0)</f>
        <v>787641</v>
      </c>
      <c r="C2046" s="14" t="str">
        <f>IFERROR(__xludf.DUMMYFUNCTION("""COMPUTED_VALUE"""),"賴品綸")</f>
        <v>賴品綸</v>
      </c>
      <c r="D2046" s="16" t="str">
        <f>IFERROR(__xludf.DUMMYFUNCTION("""COMPUTED_VALUE"""),"106*****ses.mlc.edu.tw")</f>
        <v>106*****ses.mlc.edu.tw</v>
      </c>
      <c r="E2046" s="17" t="str">
        <f>IFERROR(__xludf.DUMMYFUNCTION("""COMPUTED_VALUE"""),"苗栗縣苗栗市福星國民小學")</f>
        <v>苗栗縣苗栗市福星國民小學</v>
      </c>
      <c r="F2046" s="14" t="str">
        <f>IFERROR(__xludf.DUMMYFUNCTION("""COMPUTED_VALUE"""),"六年級")</f>
        <v>六年級</v>
      </c>
      <c r="G2046" s="14" t="str">
        <f>IFERROR(__xludf.DUMMYFUNCTION("""COMPUTED_VALUE"""),"獎狀")</f>
        <v>獎狀</v>
      </c>
      <c r="H2046" s="8"/>
    </row>
    <row r="2047">
      <c r="A2047" s="18"/>
      <c r="B2047" s="14">
        <f>IFERROR(__xludf.DUMMYFUNCTION("""COMPUTED_VALUE"""),763440.0)</f>
        <v>763440</v>
      </c>
      <c r="C2047" s="14" t="str">
        <f>IFERROR(__xludf.DUMMYFUNCTION("""COMPUTED_VALUE"""),"練禹辰")</f>
        <v>練禹辰</v>
      </c>
      <c r="D2047" s="16" t="str">
        <f>IFERROR(__xludf.DUMMYFUNCTION("""COMPUTED_VALUE"""),"wh1*****@mail.edu.tw")</f>
        <v>wh1*****@mail.edu.tw</v>
      </c>
      <c r="E2047" s="17" t="str">
        <f>IFERROR(__xludf.DUMMYFUNCTION("""COMPUTED_VALUE"""),"苗栗縣苗栗市文華國民小學")</f>
        <v>苗栗縣苗栗市文華國民小學</v>
      </c>
      <c r="F2047" s="14" t="str">
        <f>IFERROR(__xludf.DUMMYFUNCTION("""COMPUTED_VALUE"""),"三年級")</f>
        <v>三年級</v>
      </c>
      <c r="G2047" s="14" t="str">
        <f>IFERROR(__xludf.DUMMYFUNCTION("""COMPUTED_VALUE"""),"獎狀")</f>
        <v>獎狀</v>
      </c>
      <c r="H2047" s="8"/>
    </row>
    <row r="2048">
      <c r="A2048" s="18"/>
      <c r="B2048" s="14">
        <f>IFERROR(__xludf.DUMMYFUNCTION("""COMPUTED_VALUE"""),1214296.0)</f>
        <v>1214296</v>
      </c>
      <c r="C2048" s="14" t="str">
        <f>IFERROR(__xludf.DUMMYFUNCTION("""COMPUTED_VALUE"""),"王亮澄")</f>
        <v>王亮澄</v>
      </c>
      <c r="D2048" s="16" t="str">
        <f>IFERROR(__xludf.DUMMYFUNCTION("""COMPUTED_VALUE"""),"myw*****22@hotmail.com")</f>
        <v>myw*****22@hotmail.com</v>
      </c>
      <c r="E2048" s="17" t="str">
        <f>IFERROR(__xludf.DUMMYFUNCTION("""COMPUTED_VALUE"""),"苗栗縣苗栗市文華國民小學")</f>
        <v>苗栗縣苗栗市文華國民小學</v>
      </c>
      <c r="F2048" s="14" t="str">
        <f>IFERROR(__xludf.DUMMYFUNCTION("""COMPUTED_VALUE"""),"三年級")</f>
        <v>三年級</v>
      </c>
      <c r="G2048" s="14" t="str">
        <f>IFERROR(__xludf.DUMMYFUNCTION("""COMPUTED_VALUE"""),"●小禮物")</f>
        <v>●小禮物</v>
      </c>
      <c r="H2048" s="8"/>
    </row>
    <row r="2049">
      <c r="A2049" s="18"/>
      <c r="B2049" s="14">
        <f>IFERROR(__xludf.DUMMYFUNCTION("""COMPUTED_VALUE"""),1217259.0)</f>
        <v>1217259</v>
      </c>
      <c r="C2049" s="14" t="str">
        <f>IFERROR(__xludf.DUMMYFUNCTION("""COMPUTED_VALUE"""),"林裕翔")</f>
        <v>林裕翔</v>
      </c>
      <c r="D2049" s="16" t="str">
        <f>IFERROR(__xludf.DUMMYFUNCTION("""COMPUTED_VALUE"""),"wh1*****@whes.mlc.edu.tw")</f>
        <v>wh1*****@whes.mlc.edu.tw</v>
      </c>
      <c r="E2049" s="17" t="str">
        <f>IFERROR(__xludf.DUMMYFUNCTION("""COMPUTED_VALUE"""),"苗栗縣苗栗市文華國民小學")</f>
        <v>苗栗縣苗栗市文華國民小學</v>
      </c>
      <c r="F2049" s="14" t="str">
        <f>IFERROR(__xludf.DUMMYFUNCTION("""COMPUTED_VALUE"""),"三年級")</f>
        <v>三年級</v>
      </c>
      <c r="G2049" s="14" t="str">
        <f>IFERROR(__xludf.DUMMYFUNCTION("""COMPUTED_VALUE"""),"獎狀")</f>
        <v>獎狀</v>
      </c>
      <c r="H2049" s="8"/>
    </row>
    <row r="2050">
      <c r="A2050" s="18"/>
      <c r="B2050" s="14">
        <f>IFERROR(__xludf.DUMMYFUNCTION("""COMPUTED_VALUE"""),506770.0)</f>
        <v>506770</v>
      </c>
      <c r="C2050" s="14" t="str">
        <f>IFERROR(__xludf.DUMMYFUNCTION("""COMPUTED_VALUE"""),"練品妍")</f>
        <v>練品妍</v>
      </c>
      <c r="D2050" s="16" t="str">
        <f>IFERROR(__xludf.DUMMYFUNCTION("""COMPUTED_VALUE"""),"wh1*****@mail.edu.tw")</f>
        <v>wh1*****@mail.edu.tw</v>
      </c>
      <c r="E2050" s="17" t="str">
        <f>IFERROR(__xludf.DUMMYFUNCTION("""COMPUTED_VALUE"""),"苗栗縣苗栗市文華國民小學")</f>
        <v>苗栗縣苗栗市文華國民小學</v>
      </c>
      <c r="F2050" s="14" t="str">
        <f>IFERROR(__xludf.DUMMYFUNCTION("""COMPUTED_VALUE"""),"五年級")</f>
        <v>五年級</v>
      </c>
      <c r="G2050" s="14" t="str">
        <f>IFERROR(__xludf.DUMMYFUNCTION("""COMPUTED_VALUE"""),"獎狀")</f>
        <v>獎狀</v>
      </c>
      <c r="H2050" s="8"/>
    </row>
    <row r="2051">
      <c r="A2051" s="18"/>
      <c r="B2051" s="14">
        <f>IFERROR(__xludf.DUMMYFUNCTION("""COMPUTED_VALUE"""),496044.0)</f>
        <v>496044</v>
      </c>
      <c r="C2051" s="14" t="str">
        <f>IFERROR(__xludf.DUMMYFUNCTION("""COMPUTED_VALUE"""),"劉宇芯")</f>
        <v>劉宇芯</v>
      </c>
      <c r="D2051" s="16" t="str">
        <f>IFERROR(__xludf.DUMMYFUNCTION("""COMPUTED_VALUE"""),"wh1*****@mail.edu.tw")</f>
        <v>wh1*****@mail.edu.tw</v>
      </c>
      <c r="E2051" s="17" t="str">
        <f>IFERROR(__xludf.DUMMYFUNCTION("""COMPUTED_VALUE"""),"苗栗縣苗栗市文華國民小學")</f>
        <v>苗栗縣苗栗市文華國民小學</v>
      </c>
      <c r="F2051" s="14" t="str">
        <f>IFERROR(__xludf.DUMMYFUNCTION("""COMPUTED_VALUE"""),"六年級")</f>
        <v>六年級</v>
      </c>
      <c r="G2051" s="14" t="str">
        <f>IFERROR(__xludf.DUMMYFUNCTION("""COMPUTED_VALUE"""),"獎狀")</f>
        <v>獎狀</v>
      </c>
      <c r="H2051" s="8"/>
    </row>
    <row r="2052">
      <c r="A2052" s="18"/>
      <c r="B2052" s="14">
        <f>IFERROR(__xludf.DUMMYFUNCTION("""COMPUTED_VALUE"""),489441.0)</f>
        <v>489441</v>
      </c>
      <c r="C2052" s="14" t="str">
        <f>IFERROR(__xludf.DUMMYFUNCTION("""COMPUTED_VALUE"""),"廖婕茵")</f>
        <v>廖婕茵</v>
      </c>
      <c r="D2052" s="16" t="str">
        <f>IFERROR(__xludf.DUMMYFUNCTION("""COMPUTED_VALUE"""),"wh1*****@mail.edu.tw")</f>
        <v>wh1*****@mail.edu.tw</v>
      </c>
      <c r="E2052" s="17" t="str">
        <f>IFERROR(__xludf.DUMMYFUNCTION("""COMPUTED_VALUE"""),"苗栗縣苗栗市文華國民小學")</f>
        <v>苗栗縣苗栗市文華國民小學</v>
      </c>
      <c r="F2052" s="14" t="str">
        <f>IFERROR(__xludf.DUMMYFUNCTION("""COMPUTED_VALUE"""),"六年級")</f>
        <v>六年級</v>
      </c>
      <c r="G2052" s="14" t="str">
        <f>IFERROR(__xludf.DUMMYFUNCTION("""COMPUTED_VALUE"""),"獎狀")</f>
        <v>獎狀</v>
      </c>
      <c r="H2052" s="8"/>
    </row>
    <row r="2053">
      <c r="A2053" s="18"/>
      <c r="B2053" s="14">
        <f>IFERROR(__xludf.DUMMYFUNCTION("""COMPUTED_VALUE"""),490376.0)</f>
        <v>490376</v>
      </c>
      <c r="C2053" s="14" t="str">
        <f>IFERROR(__xludf.DUMMYFUNCTION("""COMPUTED_VALUE"""),"廖彩妍")</f>
        <v>廖彩妍</v>
      </c>
      <c r="D2053" s="16" t="str">
        <f>IFERROR(__xludf.DUMMYFUNCTION("""COMPUTED_VALUE"""),"wh1*****@mail.edu.tw")</f>
        <v>wh1*****@mail.edu.tw</v>
      </c>
      <c r="E2053" s="17" t="str">
        <f>IFERROR(__xludf.DUMMYFUNCTION("""COMPUTED_VALUE"""),"苗栗縣苗栗市文華國民小學")</f>
        <v>苗栗縣苗栗市文華國民小學</v>
      </c>
      <c r="F2053" s="14" t="str">
        <f>IFERROR(__xludf.DUMMYFUNCTION("""COMPUTED_VALUE"""),"六年級")</f>
        <v>六年級</v>
      </c>
      <c r="G2053" s="14" t="str">
        <f>IFERROR(__xludf.DUMMYFUNCTION("""COMPUTED_VALUE"""),"★禮券$200")</f>
        <v>★禮券$200</v>
      </c>
      <c r="H2053" s="8"/>
    </row>
    <row r="2054">
      <c r="A2054" s="18"/>
      <c r="B2054" s="14">
        <f>IFERROR(__xludf.DUMMYFUNCTION("""COMPUTED_VALUE"""),505364.0)</f>
        <v>505364</v>
      </c>
      <c r="C2054" s="14" t="str">
        <f>IFERROR(__xludf.DUMMYFUNCTION("""COMPUTED_VALUE"""),"劉金棟")</f>
        <v>劉金棟</v>
      </c>
      <c r="D2054" s="16" t="str">
        <f>IFERROR(__xludf.DUMMYFUNCTION("""COMPUTED_VALUE"""),"chi*****46@mail.edu.tw")</f>
        <v>chi*****46@mail.edu.tw</v>
      </c>
      <c r="E2054" s="17" t="str">
        <f>IFERROR(__xludf.DUMMYFUNCTION("""COMPUTED_VALUE"""),"苗栗縣苗栗市啟文國民小學")</f>
        <v>苗栗縣苗栗市啟文國民小學</v>
      </c>
      <c r="F2054" s="14" t="str">
        <f>IFERROR(__xludf.DUMMYFUNCTION("""COMPUTED_VALUE"""),"六年級")</f>
        <v>六年級</v>
      </c>
      <c r="G2054" s="14" t="str">
        <f>IFERROR(__xludf.DUMMYFUNCTION("""COMPUTED_VALUE"""),"獎狀")</f>
        <v>獎狀</v>
      </c>
      <c r="H2054" s="8"/>
    </row>
    <row r="2055">
      <c r="A2055" s="18"/>
      <c r="B2055" s="14">
        <f>IFERROR(__xludf.DUMMYFUNCTION("""COMPUTED_VALUE"""),331989.0)</f>
        <v>331989</v>
      </c>
      <c r="C2055" s="14" t="str">
        <f>IFERROR(__xludf.DUMMYFUNCTION("""COMPUTED_VALUE"""),"李柏勳")</f>
        <v>李柏勳</v>
      </c>
      <c r="D2055" s="16" t="str">
        <f>IFERROR(__xludf.DUMMYFUNCTION("""COMPUTED_VALUE"""),"poh*****525@mail.edu.tw")</f>
        <v>poh*****525@mail.edu.tw</v>
      </c>
      <c r="E2055" s="17" t="str">
        <f>IFERROR(__xludf.DUMMYFUNCTION("""COMPUTED_VALUE"""),"苗栗縣造橋鄉談文國民小學")</f>
        <v>苗栗縣造橋鄉談文國民小學</v>
      </c>
      <c r="F2055" s="14" t="str">
        <f>IFERROR(__xludf.DUMMYFUNCTION("""COMPUTED_VALUE"""),"六年級")</f>
        <v>六年級</v>
      </c>
      <c r="G2055" s="14" t="str">
        <f>IFERROR(__xludf.DUMMYFUNCTION("""COMPUTED_VALUE"""),"●小禮物")</f>
        <v>●小禮物</v>
      </c>
      <c r="H2055" s="8"/>
    </row>
    <row r="2056">
      <c r="A2056" s="18"/>
      <c r="B2056" s="14">
        <f>IFERROR(__xludf.DUMMYFUNCTION("""COMPUTED_VALUE"""),320259.0)</f>
        <v>320259</v>
      </c>
      <c r="C2056" s="14" t="str">
        <f>IFERROR(__xludf.DUMMYFUNCTION("""COMPUTED_VALUE"""),"何笠篊")</f>
        <v>何笠篊</v>
      </c>
      <c r="D2056" s="16" t="str">
        <f>IFERROR(__xludf.DUMMYFUNCTION("""COMPUTED_VALUE"""),"lih*****914@mail.edu.tw")</f>
        <v>lih*****914@mail.edu.tw</v>
      </c>
      <c r="E2056" s="17" t="str">
        <f>IFERROR(__xludf.DUMMYFUNCTION("""COMPUTED_VALUE"""),"苗栗縣造橋鄉談文國民小學")</f>
        <v>苗栗縣造橋鄉談文國民小學</v>
      </c>
      <c r="F2056" s="14" t="str">
        <f>IFERROR(__xludf.DUMMYFUNCTION("""COMPUTED_VALUE"""),"六年級")</f>
        <v>六年級</v>
      </c>
      <c r="G2056" s="14" t="str">
        <f>IFERROR(__xludf.DUMMYFUNCTION("""COMPUTED_VALUE"""),"獎狀")</f>
        <v>獎狀</v>
      </c>
      <c r="H2056" s="8"/>
    </row>
    <row r="2057">
      <c r="A2057" s="18"/>
      <c r="B2057" s="14">
        <f>IFERROR(__xludf.DUMMYFUNCTION("""COMPUTED_VALUE"""),331988.0)</f>
        <v>331988</v>
      </c>
      <c r="C2057" s="14" t="str">
        <f>IFERROR(__xludf.DUMMYFUNCTION("""COMPUTED_VALUE"""),"張家瑜")</f>
        <v>張家瑜</v>
      </c>
      <c r="D2057" s="16" t="str">
        <f>IFERROR(__xludf.DUMMYFUNCTION("""COMPUTED_VALUE"""),"jia*****23@mail.edu.tw")</f>
        <v>jia*****23@mail.edu.tw</v>
      </c>
      <c r="E2057" s="17" t="str">
        <f>IFERROR(__xludf.DUMMYFUNCTION("""COMPUTED_VALUE"""),"苗栗縣造橋鄉談文國民小學")</f>
        <v>苗栗縣造橋鄉談文國民小學</v>
      </c>
      <c r="F2057" s="14" t="str">
        <f>IFERROR(__xludf.DUMMYFUNCTION("""COMPUTED_VALUE"""),"六年級")</f>
        <v>六年級</v>
      </c>
      <c r="G2057" s="14" t="str">
        <f>IFERROR(__xludf.DUMMYFUNCTION("""COMPUTED_VALUE"""),"獎狀")</f>
        <v>獎狀</v>
      </c>
      <c r="H2057" s="8"/>
    </row>
    <row r="2058">
      <c r="A2058" s="18"/>
      <c r="B2058" s="14">
        <f>IFERROR(__xludf.DUMMYFUNCTION("""COMPUTED_VALUE"""),276729.0)</f>
        <v>276729</v>
      </c>
      <c r="C2058" s="14" t="str">
        <f>IFERROR(__xludf.DUMMYFUNCTION("""COMPUTED_VALUE"""),"張珈愷")</f>
        <v>張珈愷</v>
      </c>
      <c r="D2058" s="16" t="str">
        <f>IFERROR(__xludf.DUMMYFUNCTION("""COMPUTED_VALUE"""),"chi*****0912@mail.edu.tw")</f>
        <v>chi*****0912@mail.edu.tw</v>
      </c>
      <c r="E2058" s="17" t="str">
        <f>IFERROR(__xludf.DUMMYFUNCTION("""COMPUTED_VALUE"""),"苗栗縣造橋鄉談文國民小學")</f>
        <v>苗栗縣造橋鄉談文國民小學</v>
      </c>
      <c r="F2058" s="14" t="str">
        <f>IFERROR(__xludf.DUMMYFUNCTION("""COMPUTED_VALUE"""),"六年級")</f>
        <v>六年級</v>
      </c>
      <c r="G2058" s="14" t="str">
        <f>IFERROR(__xludf.DUMMYFUNCTION("""COMPUTED_VALUE"""),"獎狀")</f>
        <v>獎狀</v>
      </c>
      <c r="H2058" s="8"/>
    </row>
    <row r="2059">
      <c r="A2059" s="18"/>
      <c r="B2059" s="14">
        <f>IFERROR(__xludf.DUMMYFUNCTION("""COMPUTED_VALUE"""),482559.0)</f>
        <v>482559</v>
      </c>
      <c r="C2059" s="14" t="str">
        <f>IFERROR(__xludf.DUMMYFUNCTION("""COMPUTED_VALUE"""),"陳靖皓")</f>
        <v>陳靖皓</v>
      </c>
      <c r="D2059" s="16" t="str">
        <f>IFERROR(__xludf.DUMMYFUNCTION("""COMPUTED_VALUE"""),"mlc*****176@mail.edu.tw")</f>
        <v>mlc*****176@mail.edu.tw</v>
      </c>
      <c r="E2059" s="17" t="str">
        <f>IFERROR(__xludf.DUMMYFUNCTION("""COMPUTED_VALUE"""),"苗栗縣造橋鄉談文國民小學")</f>
        <v>苗栗縣造橋鄉談文國民小學</v>
      </c>
      <c r="F2059" s="14" t="str">
        <f>IFERROR(__xludf.DUMMYFUNCTION("""COMPUTED_VALUE"""),"六年級")</f>
        <v>六年級</v>
      </c>
      <c r="G2059" s="14" t="str">
        <f>IFERROR(__xludf.DUMMYFUNCTION("""COMPUTED_VALUE"""),"獎狀")</f>
        <v>獎狀</v>
      </c>
      <c r="H2059" s="8"/>
    </row>
    <row r="2060">
      <c r="A2060" s="18"/>
      <c r="B2060" s="14">
        <f>IFERROR(__xludf.DUMMYFUNCTION("""COMPUTED_VALUE"""),877021.0)</f>
        <v>877021</v>
      </c>
      <c r="C2060" s="14" t="str">
        <f>IFERROR(__xludf.DUMMYFUNCTION("""COMPUTED_VALUE"""),"鍾沛均")</f>
        <v>鍾沛均</v>
      </c>
      <c r="D2060" s="16" t="str">
        <f>IFERROR(__xludf.DUMMYFUNCTION("""COMPUTED_VALUE"""),"kke*****009@mail.edu.tw")</f>
        <v>kke*****009@mail.edu.tw</v>
      </c>
      <c r="E2060" s="17" t="str">
        <f>IFERROR(__xludf.DUMMYFUNCTION("""COMPUTED_VALUE"""),"苗栗縣公館鄉五穀國民小學")</f>
        <v>苗栗縣公館鄉五穀國民小學</v>
      </c>
      <c r="F2060" s="14" t="str">
        <f>IFERROR(__xludf.DUMMYFUNCTION("""COMPUTED_VALUE"""),"四年級")</f>
        <v>四年級</v>
      </c>
      <c r="G2060" s="14" t="str">
        <f>IFERROR(__xludf.DUMMYFUNCTION("""COMPUTED_VALUE"""),"●小禮物")</f>
        <v>●小禮物</v>
      </c>
      <c r="H2060" s="8"/>
    </row>
    <row r="2061">
      <c r="A2061" s="18"/>
      <c r="B2061" s="14">
        <f>IFERROR(__xludf.DUMMYFUNCTION("""COMPUTED_VALUE"""),457252.0)</f>
        <v>457252</v>
      </c>
      <c r="C2061" s="14" t="str">
        <f>IFERROR(__xludf.DUMMYFUNCTION("""COMPUTED_VALUE"""),"黃蓉")</f>
        <v>黃蓉</v>
      </c>
      <c r="D2061" s="16" t="str">
        <f>IFERROR(__xludf.DUMMYFUNCTION("""COMPUTED_VALUE"""),"dhe*****8@mail.edu.tw")</f>
        <v>dhe*****8@mail.edu.tw</v>
      </c>
      <c r="E2061" s="17" t="str">
        <f>IFERROR(__xludf.DUMMYFUNCTION("""COMPUTED_VALUE"""),"苗栗縣公館鄉南河國民小學")</f>
        <v>苗栗縣公館鄉南河國民小學</v>
      </c>
      <c r="F2061" s="14" t="str">
        <f>IFERROR(__xludf.DUMMYFUNCTION("""COMPUTED_VALUE"""),"五年級")</f>
        <v>五年級</v>
      </c>
      <c r="G2061" s="14" t="str">
        <f>IFERROR(__xludf.DUMMYFUNCTION("""COMPUTED_VALUE"""),"獎狀")</f>
        <v>獎狀</v>
      </c>
      <c r="H2061" s="8"/>
    </row>
    <row r="2062">
      <c r="A2062" s="18"/>
      <c r="B2062" s="14">
        <f>IFERROR(__xludf.DUMMYFUNCTION("""COMPUTED_VALUE"""),277258.0)</f>
        <v>277258</v>
      </c>
      <c r="C2062" s="14" t="str">
        <f>IFERROR(__xludf.DUMMYFUNCTION("""COMPUTED_VALUE"""),"吳育綾")</f>
        <v>吳育綾</v>
      </c>
      <c r="D2062" s="16" t="str">
        <f>IFERROR(__xludf.DUMMYFUNCTION("""COMPUTED_VALUE"""),"ail*****6@mail.edu.tw")</f>
        <v>ail*****6@mail.edu.tw</v>
      </c>
      <c r="E2062" s="17" t="str">
        <f>IFERROR(__xludf.DUMMYFUNCTION("""COMPUTED_VALUE"""),"苗栗縣公館鄉開礦國民小學")</f>
        <v>苗栗縣公館鄉開礦國民小學</v>
      </c>
      <c r="F2062" s="14" t="str">
        <f>IFERROR(__xludf.DUMMYFUNCTION("""COMPUTED_VALUE"""),"六年級")</f>
        <v>六年級</v>
      </c>
      <c r="G2062" s="14" t="str">
        <f>IFERROR(__xludf.DUMMYFUNCTION("""COMPUTED_VALUE"""),"●小禮物")</f>
        <v>●小禮物</v>
      </c>
      <c r="H2062" s="8"/>
    </row>
    <row r="2063">
      <c r="A2063" s="18"/>
      <c r="B2063" s="14">
        <f>IFERROR(__xludf.DUMMYFUNCTION("""COMPUTED_VALUE"""),809454.0)</f>
        <v>809454</v>
      </c>
      <c r="C2063" s="14" t="str">
        <f>IFERROR(__xludf.DUMMYFUNCTION("""COMPUTED_VALUE"""),"邱梓紘")</f>
        <v>邱梓紘</v>
      </c>
      <c r="D2063" s="16" t="str">
        <f>IFERROR(__xludf.DUMMYFUNCTION("""COMPUTED_VALUE"""),"fj1*****@mail.edu.tw")</f>
        <v>fj1*****@mail.edu.tw</v>
      </c>
      <c r="E2063" s="17" t="str">
        <f>IFERROR(__xludf.DUMMYFUNCTION("""COMPUTED_VALUE"""),"苗栗縣公館鄉福基國民小學")</f>
        <v>苗栗縣公館鄉福基國民小學</v>
      </c>
      <c r="F2063" s="14" t="str">
        <f>IFERROR(__xludf.DUMMYFUNCTION("""COMPUTED_VALUE"""),"四年級")</f>
        <v>四年級</v>
      </c>
      <c r="G2063" s="14" t="str">
        <f>IFERROR(__xludf.DUMMYFUNCTION("""COMPUTED_VALUE"""),"●小禮物")</f>
        <v>●小禮物</v>
      </c>
      <c r="H2063" s="8"/>
    </row>
    <row r="2064">
      <c r="A2064" s="18"/>
      <c r="B2064" s="14">
        <f>IFERROR(__xludf.DUMMYFUNCTION("""COMPUTED_VALUE"""),809457.0)</f>
        <v>809457</v>
      </c>
      <c r="C2064" s="14" t="str">
        <f>IFERROR(__xludf.DUMMYFUNCTION("""COMPUTED_VALUE"""),"鍾瑞華")</f>
        <v>鍾瑞華</v>
      </c>
      <c r="D2064" s="16" t="str">
        <f>IFERROR(__xludf.DUMMYFUNCTION("""COMPUTED_VALUE"""),"fj1*****@mail.edu.tw")</f>
        <v>fj1*****@mail.edu.tw</v>
      </c>
      <c r="E2064" s="17" t="str">
        <f>IFERROR(__xludf.DUMMYFUNCTION("""COMPUTED_VALUE"""),"苗栗縣公館鄉福基國民小學")</f>
        <v>苗栗縣公館鄉福基國民小學</v>
      </c>
      <c r="F2064" s="14" t="str">
        <f>IFERROR(__xludf.DUMMYFUNCTION("""COMPUTED_VALUE"""),"四年級")</f>
        <v>四年級</v>
      </c>
      <c r="G2064" s="14" t="str">
        <f>IFERROR(__xludf.DUMMYFUNCTION("""COMPUTED_VALUE"""),"獎狀")</f>
        <v>獎狀</v>
      </c>
      <c r="H2064" s="8"/>
    </row>
    <row r="2065">
      <c r="A2065" s="18"/>
      <c r="B2065" s="14">
        <f>IFERROR(__xludf.DUMMYFUNCTION("""COMPUTED_VALUE"""),482219.0)</f>
        <v>482219</v>
      </c>
      <c r="C2065" s="14" t="str">
        <f>IFERROR(__xludf.DUMMYFUNCTION("""COMPUTED_VALUE"""),"林巧蓁")</f>
        <v>林巧蓁</v>
      </c>
      <c r="D2065" s="16" t="str">
        <f>IFERROR(__xludf.DUMMYFUNCTION("""COMPUTED_VALUE"""),"fj1*****@mail.edu.tw")</f>
        <v>fj1*****@mail.edu.tw</v>
      </c>
      <c r="E2065" s="17" t="str">
        <f>IFERROR(__xludf.DUMMYFUNCTION("""COMPUTED_VALUE"""),"苗栗縣公館鄉福基國民小學")</f>
        <v>苗栗縣公館鄉福基國民小學</v>
      </c>
      <c r="F2065" s="14" t="str">
        <f>IFERROR(__xludf.DUMMYFUNCTION("""COMPUTED_VALUE"""),"五年級")</f>
        <v>五年級</v>
      </c>
      <c r="G2065" s="14" t="str">
        <f>IFERROR(__xludf.DUMMYFUNCTION("""COMPUTED_VALUE"""),"●小禮物")</f>
        <v>●小禮物</v>
      </c>
      <c r="H2065" s="8"/>
    </row>
    <row r="2066">
      <c r="A2066" s="18"/>
      <c r="B2066" s="14">
        <f>IFERROR(__xludf.DUMMYFUNCTION("""COMPUTED_VALUE"""),482201.0)</f>
        <v>482201</v>
      </c>
      <c r="C2066" s="14" t="str">
        <f>IFERROR(__xludf.DUMMYFUNCTION("""COMPUTED_VALUE"""),"林浩辰")</f>
        <v>林浩辰</v>
      </c>
      <c r="D2066" s="16" t="str">
        <f>IFERROR(__xludf.DUMMYFUNCTION("""COMPUTED_VALUE"""),"fj1*****@mail.edu.tw")</f>
        <v>fj1*****@mail.edu.tw</v>
      </c>
      <c r="E2066" s="17" t="str">
        <f>IFERROR(__xludf.DUMMYFUNCTION("""COMPUTED_VALUE"""),"苗栗縣公館鄉福基國民小學")</f>
        <v>苗栗縣公館鄉福基國民小學</v>
      </c>
      <c r="F2066" s="14" t="str">
        <f>IFERROR(__xludf.DUMMYFUNCTION("""COMPUTED_VALUE"""),"五年級")</f>
        <v>五年級</v>
      </c>
      <c r="G2066" s="14" t="str">
        <f>IFERROR(__xludf.DUMMYFUNCTION("""COMPUTED_VALUE"""),"●小禮物")</f>
        <v>●小禮物</v>
      </c>
      <c r="H2066" s="8"/>
    </row>
    <row r="2067">
      <c r="A2067" s="18"/>
      <c r="B2067" s="14">
        <f>IFERROR(__xludf.DUMMYFUNCTION("""COMPUTED_VALUE"""),482220.0)</f>
        <v>482220</v>
      </c>
      <c r="C2067" s="14" t="str">
        <f>IFERROR(__xludf.DUMMYFUNCTION("""COMPUTED_VALUE"""),"賴奕汝")</f>
        <v>賴奕汝</v>
      </c>
      <c r="D2067" s="16" t="str">
        <f>IFERROR(__xludf.DUMMYFUNCTION("""COMPUTED_VALUE"""),"fj1*****@mail.edu.tw")</f>
        <v>fj1*****@mail.edu.tw</v>
      </c>
      <c r="E2067" s="17" t="str">
        <f>IFERROR(__xludf.DUMMYFUNCTION("""COMPUTED_VALUE"""),"苗栗縣公館鄉福基國民小學")</f>
        <v>苗栗縣公館鄉福基國民小學</v>
      </c>
      <c r="F2067" s="14" t="str">
        <f>IFERROR(__xludf.DUMMYFUNCTION("""COMPUTED_VALUE"""),"五年級")</f>
        <v>五年級</v>
      </c>
      <c r="G2067" s="14" t="str">
        <f>IFERROR(__xludf.DUMMYFUNCTION("""COMPUTED_VALUE"""),"●小禮物")</f>
        <v>●小禮物</v>
      </c>
      <c r="H2067" s="8"/>
    </row>
    <row r="2068">
      <c r="A2068" s="18"/>
      <c r="B2068" s="14">
        <f>IFERROR(__xludf.DUMMYFUNCTION("""COMPUTED_VALUE"""),482214.0)</f>
        <v>482214</v>
      </c>
      <c r="C2068" s="14" t="str">
        <f>IFERROR(__xludf.DUMMYFUNCTION("""COMPUTED_VALUE"""),"譚欣辰")</f>
        <v>譚欣辰</v>
      </c>
      <c r="D2068" s="16" t="str">
        <f>IFERROR(__xludf.DUMMYFUNCTION("""COMPUTED_VALUE"""),"fj1*****@mail.edu.tw")</f>
        <v>fj1*****@mail.edu.tw</v>
      </c>
      <c r="E2068" s="17" t="str">
        <f>IFERROR(__xludf.DUMMYFUNCTION("""COMPUTED_VALUE"""),"苗栗縣公館鄉福基國民小學")</f>
        <v>苗栗縣公館鄉福基國民小學</v>
      </c>
      <c r="F2068" s="14" t="str">
        <f>IFERROR(__xludf.DUMMYFUNCTION("""COMPUTED_VALUE"""),"五年級")</f>
        <v>五年級</v>
      </c>
      <c r="G2068" s="14" t="str">
        <f>IFERROR(__xludf.DUMMYFUNCTION("""COMPUTED_VALUE"""),"●小禮物")</f>
        <v>●小禮物</v>
      </c>
      <c r="H2068" s="8"/>
    </row>
    <row r="2069">
      <c r="A2069" s="18"/>
      <c r="B2069" s="14">
        <f>IFERROR(__xludf.DUMMYFUNCTION("""COMPUTED_VALUE"""),482213.0)</f>
        <v>482213</v>
      </c>
      <c r="C2069" s="14" t="str">
        <f>IFERROR(__xludf.DUMMYFUNCTION("""COMPUTED_VALUE"""),"劉明達")</f>
        <v>劉明達</v>
      </c>
      <c r="D2069" s="16" t="str">
        <f>IFERROR(__xludf.DUMMYFUNCTION("""COMPUTED_VALUE"""),"fj1*****@mail.edu.tw")</f>
        <v>fj1*****@mail.edu.tw</v>
      </c>
      <c r="E2069" s="17" t="str">
        <f>IFERROR(__xludf.DUMMYFUNCTION("""COMPUTED_VALUE"""),"苗栗縣公館鄉福基國民小學")</f>
        <v>苗栗縣公館鄉福基國民小學</v>
      </c>
      <c r="F2069" s="14" t="str">
        <f>IFERROR(__xludf.DUMMYFUNCTION("""COMPUTED_VALUE"""),"五年級")</f>
        <v>五年級</v>
      </c>
      <c r="G2069" s="14" t="str">
        <f>IFERROR(__xludf.DUMMYFUNCTION("""COMPUTED_VALUE"""),"獎狀")</f>
        <v>獎狀</v>
      </c>
      <c r="H2069" s="8"/>
    </row>
    <row r="2070">
      <c r="A2070" s="18"/>
      <c r="B2070" s="14">
        <f>IFERROR(__xludf.DUMMYFUNCTION("""COMPUTED_VALUE"""),423650.0)</f>
        <v>423650</v>
      </c>
      <c r="C2070" s="14" t="str">
        <f>IFERROR(__xludf.DUMMYFUNCTION("""COMPUTED_VALUE"""),"黃詣宸")</f>
        <v>黃詣宸</v>
      </c>
      <c r="D2070" s="16" t="str">
        <f>IFERROR(__xludf.DUMMYFUNCTION("""COMPUTED_VALUE"""),"fj1*****@mail.edu.tw")</f>
        <v>fj1*****@mail.edu.tw</v>
      </c>
      <c r="E2070" s="17" t="str">
        <f>IFERROR(__xludf.DUMMYFUNCTION("""COMPUTED_VALUE"""),"苗栗縣公館鄉福基國民小學")</f>
        <v>苗栗縣公館鄉福基國民小學</v>
      </c>
      <c r="F2070" s="14" t="str">
        <f>IFERROR(__xludf.DUMMYFUNCTION("""COMPUTED_VALUE"""),"六年級")</f>
        <v>六年級</v>
      </c>
      <c r="G2070" s="14" t="str">
        <f>IFERROR(__xludf.DUMMYFUNCTION("""COMPUTED_VALUE"""),"●小禮物")</f>
        <v>●小禮物</v>
      </c>
      <c r="H2070" s="8"/>
    </row>
    <row r="2071">
      <c r="A2071" s="18"/>
      <c r="B2071" s="14">
        <f>IFERROR(__xludf.DUMMYFUNCTION("""COMPUTED_VALUE"""),362588.0)</f>
        <v>362588</v>
      </c>
      <c r="C2071" s="14" t="str">
        <f>IFERROR(__xludf.DUMMYFUNCTION("""COMPUTED_VALUE"""),"林沚亭")</f>
        <v>林沚亭</v>
      </c>
      <c r="D2071" s="16" t="str">
        <f>IFERROR(__xludf.DUMMYFUNCTION("""COMPUTED_VALUE"""),"fj1*****@mail.edu.tw")</f>
        <v>fj1*****@mail.edu.tw</v>
      </c>
      <c r="E2071" s="17" t="str">
        <f>IFERROR(__xludf.DUMMYFUNCTION("""COMPUTED_VALUE"""),"苗栗縣公館鄉福基國民小學")</f>
        <v>苗栗縣公館鄉福基國民小學</v>
      </c>
      <c r="F2071" s="14" t="str">
        <f>IFERROR(__xludf.DUMMYFUNCTION("""COMPUTED_VALUE"""),"六年級")</f>
        <v>六年級</v>
      </c>
      <c r="G2071" s="14" t="str">
        <f>IFERROR(__xludf.DUMMYFUNCTION("""COMPUTED_VALUE"""),"獎狀")</f>
        <v>獎狀</v>
      </c>
      <c r="H2071" s="8"/>
    </row>
    <row r="2072">
      <c r="A2072" s="18"/>
      <c r="B2072" s="14">
        <f>IFERROR(__xludf.DUMMYFUNCTION("""COMPUTED_VALUE"""),482199.0)</f>
        <v>482199</v>
      </c>
      <c r="C2072" s="14" t="str">
        <f>IFERROR(__xludf.DUMMYFUNCTION("""COMPUTED_VALUE"""),"邱妍心")</f>
        <v>邱妍心</v>
      </c>
      <c r="D2072" s="16" t="str">
        <f>IFERROR(__xludf.DUMMYFUNCTION("""COMPUTED_VALUE"""),"fj1*****@mail.edu.tw")</f>
        <v>fj1*****@mail.edu.tw</v>
      </c>
      <c r="E2072" s="17" t="str">
        <f>IFERROR(__xludf.DUMMYFUNCTION("""COMPUTED_VALUE"""),"苗栗縣公館鄉福基國民小學")</f>
        <v>苗栗縣公館鄉福基國民小學</v>
      </c>
      <c r="F2072" s="14" t="str">
        <f>IFERROR(__xludf.DUMMYFUNCTION("""COMPUTED_VALUE"""),"六年級")</f>
        <v>六年級</v>
      </c>
      <c r="G2072" s="14" t="str">
        <f>IFERROR(__xludf.DUMMYFUNCTION("""COMPUTED_VALUE"""),"獎狀")</f>
        <v>獎狀</v>
      </c>
      <c r="H2072" s="8"/>
    </row>
    <row r="2073">
      <c r="A2073" s="18"/>
      <c r="B2073" s="14">
        <f>IFERROR(__xludf.DUMMYFUNCTION("""COMPUTED_VALUE"""),1140858.0)</f>
        <v>1140858</v>
      </c>
      <c r="C2073" s="14" t="str">
        <f>IFERROR(__xludf.DUMMYFUNCTION("""COMPUTED_VALUE"""),"楓仁杰")</f>
        <v>楓仁杰</v>
      </c>
      <c r="D2073" s="16" t="str">
        <f>IFERROR(__xludf.DUMMYFUNCTION("""COMPUTED_VALUE"""),"fj1*****@mail.edu.tw")</f>
        <v>fj1*****@mail.edu.tw</v>
      </c>
      <c r="E2073" s="17" t="str">
        <f>IFERROR(__xludf.DUMMYFUNCTION("""COMPUTED_VALUE"""),"苗栗縣公館鄉福基國民小學")</f>
        <v>苗栗縣公館鄉福基國民小學</v>
      </c>
      <c r="F2073" s="14" t="str">
        <f>IFERROR(__xludf.DUMMYFUNCTION("""COMPUTED_VALUE"""),"六年級")</f>
        <v>六年級</v>
      </c>
      <c r="G2073" s="14" t="str">
        <f>IFERROR(__xludf.DUMMYFUNCTION("""COMPUTED_VALUE"""),"獎狀")</f>
        <v>獎狀</v>
      </c>
      <c r="H2073" s="8"/>
    </row>
    <row r="2074">
      <c r="A2074" s="18"/>
      <c r="B2074" s="14">
        <f>IFERROR(__xludf.DUMMYFUNCTION("""COMPUTED_VALUE"""),708270.0)</f>
        <v>708270</v>
      </c>
      <c r="C2074" s="14" t="str">
        <f>IFERROR(__xludf.DUMMYFUNCTION("""COMPUTED_VALUE"""),"張可勳")</f>
        <v>張可勳</v>
      </c>
      <c r="D2074" s="16" t="str">
        <f>IFERROR(__xludf.DUMMYFUNCTION("""COMPUTED_VALUE"""),"108*****s2.gges.mlc.edu.tw")</f>
        <v>108*****s2.gges.mlc.edu.tw</v>
      </c>
      <c r="E2074" s="17" t="str">
        <f>IFERROR(__xludf.DUMMYFUNCTION("""COMPUTED_VALUE"""),"苗栗縣公館鄉公館國民小學")</f>
        <v>苗栗縣公館鄉公館國民小學</v>
      </c>
      <c r="F2074" s="14" t="str">
        <f>IFERROR(__xludf.DUMMYFUNCTION("""COMPUTED_VALUE"""),"四年級")</f>
        <v>四年級</v>
      </c>
      <c r="G2074" s="14" t="str">
        <f>IFERROR(__xludf.DUMMYFUNCTION("""COMPUTED_VALUE"""),"●小禮物")</f>
        <v>●小禮物</v>
      </c>
      <c r="H2074" s="8"/>
    </row>
    <row r="2075">
      <c r="A2075" s="18"/>
      <c r="B2075" s="14">
        <f>IFERROR(__xludf.DUMMYFUNCTION("""COMPUTED_VALUE"""),497718.0)</f>
        <v>497718</v>
      </c>
      <c r="C2075" s="14" t="str">
        <f>IFERROR(__xludf.DUMMYFUNCTION("""COMPUTED_VALUE"""),"張惟晞")</f>
        <v>張惟晞</v>
      </c>
      <c r="D2075" s="16" t="str">
        <f>IFERROR(__xludf.DUMMYFUNCTION("""COMPUTED_VALUE"""),"gge*****19@mail.edu.tw")</f>
        <v>gge*****19@mail.edu.tw</v>
      </c>
      <c r="E2075" s="17" t="str">
        <f>IFERROR(__xludf.DUMMYFUNCTION("""COMPUTED_VALUE"""),"苗栗縣公館鄉公館國民小學")</f>
        <v>苗栗縣公館鄉公館國民小學</v>
      </c>
      <c r="F2075" s="14" t="str">
        <f>IFERROR(__xludf.DUMMYFUNCTION("""COMPUTED_VALUE"""),"五年級")</f>
        <v>五年級</v>
      </c>
      <c r="G2075" s="14" t="str">
        <f>IFERROR(__xludf.DUMMYFUNCTION("""COMPUTED_VALUE"""),"獎狀")</f>
        <v>獎狀</v>
      </c>
      <c r="H2075" s="8"/>
    </row>
    <row r="2076">
      <c r="A2076" s="18"/>
      <c r="B2076" s="14">
        <f>IFERROR(__xludf.DUMMYFUNCTION("""COMPUTED_VALUE"""),419703.0)</f>
        <v>419703</v>
      </c>
      <c r="C2076" s="14" t="str">
        <f>IFERROR(__xludf.DUMMYFUNCTION("""COMPUTED_VALUE"""),"江良禮")</f>
        <v>江良禮</v>
      </c>
      <c r="D2076" s="16" t="str">
        <f>IFERROR(__xludf.DUMMYFUNCTION("""COMPUTED_VALUE"""),"tan*****9487@gmail.com")</f>
        <v>tan*****9487@gmail.com</v>
      </c>
      <c r="E2076" s="17" t="str">
        <f>IFERROR(__xludf.DUMMYFUNCTION("""COMPUTED_VALUE"""),"苗栗縣公館鄉公館國民小學")</f>
        <v>苗栗縣公館鄉公館國民小學</v>
      </c>
      <c r="F2076" s="14" t="str">
        <f>IFERROR(__xludf.DUMMYFUNCTION("""COMPUTED_VALUE"""),"五年級")</f>
        <v>五年級</v>
      </c>
      <c r="G2076" s="14" t="str">
        <f>IFERROR(__xludf.DUMMYFUNCTION("""COMPUTED_VALUE"""),"獎狀")</f>
        <v>獎狀</v>
      </c>
      <c r="H2076" s="8"/>
    </row>
    <row r="2077">
      <c r="A2077" s="18"/>
      <c r="B2077" s="14">
        <f>IFERROR(__xludf.DUMMYFUNCTION("""COMPUTED_VALUE"""),866486.0)</f>
        <v>866486</v>
      </c>
      <c r="C2077" s="14" t="str">
        <f>IFERROR(__xludf.DUMMYFUNCTION("""COMPUTED_VALUE"""),"陳勁睿")</f>
        <v>陳勁睿</v>
      </c>
      <c r="D2077" s="16" t="str">
        <f>IFERROR(__xludf.DUMMYFUNCTION("""COMPUTED_VALUE"""),"054*****0705@stu.mlc.edu.tw")</f>
        <v>054*****0705@stu.mlc.edu.tw</v>
      </c>
      <c r="E2077" s="17" t="str">
        <f>IFERROR(__xludf.DUMMYFUNCTION("""COMPUTED_VALUE"""),"苗栗縣公館鄉鶴岡國民小學")</f>
        <v>苗栗縣公館鄉鶴岡國民小學</v>
      </c>
      <c r="F2077" s="14" t="str">
        <f>IFERROR(__xludf.DUMMYFUNCTION("""COMPUTED_VALUE"""),"五年級")</f>
        <v>五年級</v>
      </c>
      <c r="G2077" s="14" t="str">
        <f>IFERROR(__xludf.DUMMYFUNCTION("""COMPUTED_VALUE"""),"●小禮物")</f>
        <v>●小禮物</v>
      </c>
      <c r="H2077" s="8"/>
    </row>
    <row r="2078">
      <c r="A2078" s="18"/>
      <c r="B2078" s="14">
        <f>IFERROR(__xludf.DUMMYFUNCTION("""COMPUTED_VALUE"""),486547.0)</f>
        <v>486547</v>
      </c>
      <c r="C2078" s="14" t="str">
        <f>IFERROR(__xludf.DUMMYFUNCTION("""COMPUTED_VALUE"""),"陳竑睿")</f>
        <v>陳竑睿</v>
      </c>
      <c r="D2078" s="16" t="str">
        <f>IFERROR(__xludf.DUMMYFUNCTION("""COMPUTED_VALUE"""),"hge*****8@mail.edu.tw")</f>
        <v>hge*****8@mail.edu.tw</v>
      </c>
      <c r="E2078" s="17" t="str">
        <f>IFERROR(__xludf.DUMMYFUNCTION("""COMPUTED_VALUE"""),"苗栗縣公館鄉鶴岡國民小學")</f>
        <v>苗栗縣公館鄉鶴岡國民小學</v>
      </c>
      <c r="F2078" s="14" t="str">
        <f>IFERROR(__xludf.DUMMYFUNCTION("""COMPUTED_VALUE"""),"六年級")</f>
        <v>六年級</v>
      </c>
      <c r="G2078" s="14" t="str">
        <f>IFERROR(__xludf.DUMMYFUNCTION("""COMPUTED_VALUE"""),"獎狀")</f>
        <v>獎狀</v>
      </c>
      <c r="H2078" s="8"/>
    </row>
    <row r="2079">
      <c r="A2079" s="18"/>
      <c r="B2079" s="14">
        <f>IFERROR(__xludf.DUMMYFUNCTION("""COMPUTED_VALUE"""),495393.0)</f>
        <v>495393</v>
      </c>
      <c r="C2079" s="14" t="str">
        <f>IFERROR(__xludf.DUMMYFUNCTION("""COMPUTED_VALUE"""),"黃旭崇")</f>
        <v>黃旭崇</v>
      </c>
      <c r="D2079" s="16" t="str">
        <f>IFERROR(__xludf.DUMMYFUNCTION("""COMPUTED_VALUE"""),"a10*****mail.edu.tw")</f>
        <v>a10*****mail.edu.tw</v>
      </c>
      <c r="E2079" s="17" t="str">
        <f>IFERROR(__xludf.DUMMYFUNCTION("""COMPUTED_VALUE"""),"苗栗縣大湖鄉大湖國民小學")</f>
        <v>苗栗縣大湖鄉大湖國民小學</v>
      </c>
      <c r="F2079" s="14" t="str">
        <f>IFERROR(__xludf.DUMMYFUNCTION("""COMPUTED_VALUE"""),"六年級")</f>
        <v>六年級</v>
      </c>
      <c r="G2079" s="14" t="str">
        <f>IFERROR(__xludf.DUMMYFUNCTION("""COMPUTED_VALUE"""),"獎狀")</f>
        <v>獎狀</v>
      </c>
      <c r="H2079" s="8"/>
    </row>
    <row r="2080">
      <c r="A2080" s="18"/>
      <c r="B2080" s="14">
        <f>IFERROR(__xludf.DUMMYFUNCTION("""COMPUTED_VALUE"""),495335.0)</f>
        <v>495335</v>
      </c>
      <c r="C2080" s="14" t="str">
        <f>IFERROR(__xludf.DUMMYFUNCTION("""COMPUTED_VALUE"""),"吳源凱")</f>
        <v>吳源凱</v>
      </c>
      <c r="D2080" s="16" t="str">
        <f>IFERROR(__xludf.DUMMYFUNCTION("""COMPUTED_VALUE"""),"a10*****mail.edu.tw")</f>
        <v>a10*****mail.edu.tw</v>
      </c>
      <c r="E2080" s="17" t="str">
        <f>IFERROR(__xludf.DUMMYFUNCTION("""COMPUTED_VALUE"""),"苗栗縣大湖鄉大湖國民小學")</f>
        <v>苗栗縣大湖鄉大湖國民小學</v>
      </c>
      <c r="F2080" s="14" t="str">
        <f>IFERROR(__xludf.DUMMYFUNCTION("""COMPUTED_VALUE"""),"六年級")</f>
        <v>六年級</v>
      </c>
      <c r="G2080" s="14" t="str">
        <f>IFERROR(__xludf.DUMMYFUNCTION("""COMPUTED_VALUE"""),"獎狀")</f>
        <v>獎狀</v>
      </c>
      <c r="H2080" s="8"/>
    </row>
    <row r="2081">
      <c r="A2081" s="18"/>
      <c r="B2081" s="14">
        <f>IFERROR(__xludf.DUMMYFUNCTION("""COMPUTED_VALUE"""),493153.0)</f>
        <v>493153</v>
      </c>
      <c r="C2081" s="14" t="str">
        <f>IFERROR(__xludf.DUMMYFUNCTION("""COMPUTED_VALUE"""),"陳心慧")</f>
        <v>陳心慧</v>
      </c>
      <c r="D2081" s="16" t="str">
        <f>IFERROR(__xludf.DUMMYFUNCTION("""COMPUTED_VALUE"""),"aaa*****07@mail.edu.tw")</f>
        <v>aaa*****07@mail.edu.tw</v>
      </c>
      <c r="E2081" s="17" t="str">
        <f>IFERROR(__xludf.DUMMYFUNCTION("""COMPUTED_VALUE"""),"苗栗縣大湖鄉大湖國民小學")</f>
        <v>苗栗縣大湖鄉大湖國民小學</v>
      </c>
      <c r="F2081" s="14" t="str">
        <f>IFERROR(__xludf.DUMMYFUNCTION("""COMPUTED_VALUE"""),"六年級")</f>
        <v>六年級</v>
      </c>
      <c r="G2081" s="14" t="str">
        <f>IFERROR(__xludf.DUMMYFUNCTION("""COMPUTED_VALUE"""),"獎狀")</f>
        <v>獎狀</v>
      </c>
      <c r="H2081" s="8"/>
    </row>
    <row r="2082">
      <c r="A2082" s="18"/>
      <c r="B2082" s="14">
        <f>IFERROR(__xludf.DUMMYFUNCTION("""COMPUTED_VALUE"""),495372.0)</f>
        <v>495372</v>
      </c>
      <c r="C2082" s="14" t="str">
        <f>IFERROR(__xludf.DUMMYFUNCTION("""COMPUTED_VALUE"""),"溫元樂")</f>
        <v>溫元樂</v>
      </c>
      <c r="D2082" s="16" t="str">
        <f>IFERROR(__xludf.DUMMYFUNCTION("""COMPUTED_VALUE"""),"a10*****mail.edu.tw")</f>
        <v>a10*****mail.edu.tw</v>
      </c>
      <c r="E2082" s="17" t="str">
        <f>IFERROR(__xludf.DUMMYFUNCTION("""COMPUTED_VALUE"""),"苗栗縣大湖鄉大湖國民小學")</f>
        <v>苗栗縣大湖鄉大湖國民小學</v>
      </c>
      <c r="F2082" s="14" t="str">
        <f>IFERROR(__xludf.DUMMYFUNCTION("""COMPUTED_VALUE"""),"六年級")</f>
        <v>六年級</v>
      </c>
      <c r="G2082" s="14" t="str">
        <f>IFERROR(__xludf.DUMMYFUNCTION("""COMPUTED_VALUE"""),"獎狀")</f>
        <v>獎狀</v>
      </c>
      <c r="H2082" s="8"/>
    </row>
    <row r="2083">
      <c r="A2083" s="18"/>
      <c r="B2083" s="14">
        <f>IFERROR(__xludf.DUMMYFUNCTION("""COMPUTED_VALUE"""),808876.0)</f>
        <v>808876</v>
      </c>
      <c r="C2083" s="14" t="str">
        <f>IFERROR(__xludf.DUMMYFUNCTION("""COMPUTED_VALUE"""),"謝侑庭")</f>
        <v>謝侑庭</v>
      </c>
      <c r="D2083" s="16" t="str">
        <f>IFERROR(__xludf.DUMMYFUNCTION("""COMPUTED_VALUE"""),"k10*****mail.edu.tw")</f>
        <v>k10*****mail.edu.tw</v>
      </c>
      <c r="E2083" s="17" t="str">
        <f>IFERROR(__xludf.DUMMYFUNCTION("""COMPUTED_VALUE"""),"苗栗縣大湖鄉栗林國民小學")</f>
        <v>苗栗縣大湖鄉栗林國民小學</v>
      </c>
      <c r="F2083" s="14" t="str">
        <f>IFERROR(__xludf.DUMMYFUNCTION("""COMPUTED_VALUE"""),"四年級")</f>
        <v>四年級</v>
      </c>
      <c r="G2083" s="14" t="str">
        <f>IFERROR(__xludf.DUMMYFUNCTION("""COMPUTED_VALUE"""),"獎狀")</f>
        <v>獎狀</v>
      </c>
      <c r="H2083" s="8"/>
    </row>
    <row r="2084">
      <c r="A2084" s="18"/>
      <c r="B2084" s="14">
        <f>IFERROR(__xludf.DUMMYFUNCTION("""COMPUTED_VALUE"""),805334.0)</f>
        <v>805334</v>
      </c>
      <c r="C2084" s="14" t="str">
        <f>IFERROR(__xludf.DUMMYFUNCTION("""COMPUTED_VALUE"""),"王瑀喬")</f>
        <v>王瑀喬</v>
      </c>
      <c r="D2084" s="16" t="str">
        <f>IFERROR(__xludf.DUMMYFUNCTION("""COMPUTED_VALUE"""),"l10*****mail.edu.tw")</f>
        <v>l10*****mail.edu.tw</v>
      </c>
      <c r="E2084" s="17" t="str">
        <f>IFERROR(__xludf.DUMMYFUNCTION("""COMPUTED_VALUE"""),"苗栗縣大湖鄉栗林國民小學")</f>
        <v>苗栗縣大湖鄉栗林國民小學</v>
      </c>
      <c r="F2084" s="14" t="str">
        <f>IFERROR(__xludf.DUMMYFUNCTION("""COMPUTED_VALUE"""),"四年級")</f>
        <v>四年級</v>
      </c>
      <c r="G2084" s="14" t="str">
        <f>IFERROR(__xludf.DUMMYFUNCTION("""COMPUTED_VALUE"""),"●小禮物")</f>
        <v>●小禮物</v>
      </c>
      <c r="H2084" s="8"/>
    </row>
    <row r="2085">
      <c r="A2085" s="18"/>
      <c r="B2085" s="14">
        <f>IFERROR(__xludf.DUMMYFUNCTION("""COMPUTED_VALUE"""),804195.0)</f>
        <v>804195</v>
      </c>
      <c r="C2085" s="14" t="str">
        <f>IFERROR(__xludf.DUMMYFUNCTION("""COMPUTED_VALUE"""),"李昱德")</f>
        <v>李昱德</v>
      </c>
      <c r="D2085" s="16" t="str">
        <f>IFERROR(__xludf.DUMMYFUNCTION("""COMPUTED_VALUE"""),"l10*****mail.edu.tw")</f>
        <v>l10*****mail.edu.tw</v>
      </c>
      <c r="E2085" s="17" t="str">
        <f>IFERROR(__xludf.DUMMYFUNCTION("""COMPUTED_VALUE"""),"苗栗縣大湖鄉栗林國民小學")</f>
        <v>苗栗縣大湖鄉栗林國民小學</v>
      </c>
      <c r="F2085" s="14" t="str">
        <f>IFERROR(__xludf.DUMMYFUNCTION("""COMPUTED_VALUE"""),"四年級")</f>
        <v>四年級</v>
      </c>
      <c r="G2085" s="14" t="str">
        <f>IFERROR(__xludf.DUMMYFUNCTION("""COMPUTED_VALUE"""),"獎狀")</f>
        <v>獎狀</v>
      </c>
      <c r="H2085" s="8"/>
    </row>
    <row r="2086">
      <c r="A2086" s="18"/>
      <c r="B2086" s="14">
        <f>IFERROR(__xludf.DUMMYFUNCTION("""COMPUTED_VALUE"""),277540.0)</f>
        <v>277540</v>
      </c>
      <c r="C2086" s="14" t="str">
        <f>IFERROR(__xludf.DUMMYFUNCTION("""COMPUTED_VALUE"""),"余思齊")</f>
        <v>余思齊</v>
      </c>
      <c r="D2086" s="16" t="str">
        <f>IFERROR(__xludf.DUMMYFUNCTION("""COMPUTED_VALUE"""),"sle*****06@mail.edu.tw")</f>
        <v>sle*****06@mail.edu.tw</v>
      </c>
      <c r="E2086" s="17" t="str">
        <f>IFERROR(__xludf.DUMMYFUNCTION("""COMPUTED_VALUE"""),"苗栗縣銅鑼鄉興隆國民小學")</f>
        <v>苗栗縣銅鑼鄉興隆國民小學</v>
      </c>
      <c r="F2086" s="14" t="str">
        <f>IFERROR(__xludf.DUMMYFUNCTION("""COMPUTED_VALUE"""),"六年級")</f>
        <v>六年級</v>
      </c>
      <c r="G2086" s="14" t="str">
        <f>IFERROR(__xludf.DUMMYFUNCTION("""COMPUTED_VALUE"""),"●小禮物")</f>
        <v>●小禮物</v>
      </c>
      <c r="H2086" s="8"/>
    </row>
    <row r="2087">
      <c r="A2087" s="18"/>
      <c r="B2087" s="14">
        <f>IFERROR(__xludf.DUMMYFUNCTION("""COMPUTED_VALUE"""),277537.0)</f>
        <v>277537</v>
      </c>
      <c r="C2087" s="14" t="str">
        <f>IFERROR(__xludf.DUMMYFUNCTION("""COMPUTED_VALUE"""),"馬育淇")</f>
        <v>馬育淇</v>
      </c>
      <c r="D2087" s="16" t="str">
        <f>IFERROR(__xludf.DUMMYFUNCTION("""COMPUTED_VALUE"""),"sle*****12@mail.edu.tw")</f>
        <v>sle*****12@mail.edu.tw</v>
      </c>
      <c r="E2087" s="17" t="str">
        <f>IFERROR(__xludf.DUMMYFUNCTION("""COMPUTED_VALUE"""),"苗栗縣銅鑼鄉興隆國民小學")</f>
        <v>苗栗縣銅鑼鄉興隆國民小學</v>
      </c>
      <c r="F2087" s="14" t="str">
        <f>IFERROR(__xludf.DUMMYFUNCTION("""COMPUTED_VALUE"""),"六年級")</f>
        <v>六年級</v>
      </c>
      <c r="G2087" s="14" t="str">
        <f>IFERROR(__xludf.DUMMYFUNCTION("""COMPUTED_VALUE"""),"●小禮物")</f>
        <v>●小禮物</v>
      </c>
      <c r="H2087" s="8"/>
    </row>
    <row r="2088">
      <c r="A2088" s="18"/>
      <c r="B2088" s="14">
        <f>IFERROR(__xludf.DUMMYFUNCTION("""COMPUTED_VALUE"""),277543.0)</f>
        <v>277543</v>
      </c>
      <c r="C2088" s="14" t="str">
        <f>IFERROR(__xludf.DUMMYFUNCTION("""COMPUTED_VALUE"""),"魏紀禎")</f>
        <v>魏紀禎</v>
      </c>
      <c r="D2088" s="16" t="str">
        <f>IFERROR(__xludf.DUMMYFUNCTION("""COMPUTED_VALUE"""),"sle*****11@mail.edu.tw")</f>
        <v>sle*****11@mail.edu.tw</v>
      </c>
      <c r="E2088" s="17" t="str">
        <f>IFERROR(__xludf.DUMMYFUNCTION("""COMPUTED_VALUE"""),"苗栗縣銅鑼鄉興隆國民小學")</f>
        <v>苗栗縣銅鑼鄉興隆國民小學</v>
      </c>
      <c r="F2088" s="14" t="str">
        <f>IFERROR(__xludf.DUMMYFUNCTION("""COMPUTED_VALUE"""),"六年級")</f>
        <v>六年級</v>
      </c>
      <c r="G2088" s="14" t="str">
        <f>IFERROR(__xludf.DUMMYFUNCTION("""COMPUTED_VALUE"""),"●小禮物")</f>
        <v>●小禮物</v>
      </c>
      <c r="H2088" s="8"/>
    </row>
    <row r="2089">
      <c r="A2089" s="18"/>
      <c r="B2089" s="14">
        <f>IFERROR(__xludf.DUMMYFUNCTION("""COMPUTED_VALUE"""),277536.0)</f>
        <v>277536</v>
      </c>
      <c r="C2089" s="14" t="str">
        <f>IFERROR(__xludf.DUMMYFUNCTION("""COMPUTED_VALUE"""),"吳冠澔")</f>
        <v>吳冠澔</v>
      </c>
      <c r="D2089" s="16" t="str">
        <f>IFERROR(__xludf.DUMMYFUNCTION("""COMPUTED_VALUE"""),"sle*****01@mail.edu.tw")</f>
        <v>sle*****01@mail.edu.tw</v>
      </c>
      <c r="E2089" s="17" t="str">
        <f>IFERROR(__xludf.DUMMYFUNCTION("""COMPUTED_VALUE"""),"苗栗縣銅鑼鄉興隆國民小學")</f>
        <v>苗栗縣銅鑼鄉興隆國民小學</v>
      </c>
      <c r="F2089" s="14" t="str">
        <f>IFERROR(__xludf.DUMMYFUNCTION("""COMPUTED_VALUE"""),"六年級")</f>
        <v>六年級</v>
      </c>
      <c r="G2089" s="14" t="str">
        <f>IFERROR(__xludf.DUMMYFUNCTION("""COMPUTED_VALUE"""),"★禮券$200")</f>
        <v>★禮券$200</v>
      </c>
      <c r="H2089" s="8"/>
    </row>
    <row r="2090">
      <c r="A2090" s="18"/>
      <c r="B2090" s="14">
        <f>IFERROR(__xludf.DUMMYFUNCTION("""COMPUTED_VALUE"""),277544.0)</f>
        <v>277544</v>
      </c>
      <c r="C2090" s="14" t="str">
        <f>IFERROR(__xludf.DUMMYFUNCTION("""COMPUTED_VALUE"""),"吳羽潔")</f>
        <v>吳羽潔</v>
      </c>
      <c r="D2090" s="16" t="str">
        <f>IFERROR(__xludf.DUMMYFUNCTION("""COMPUTED_VALUE"""),"sle*****07@mail.edu.tw")</f>
        <v>sle*****07@mail.edu.tw</v>
      </c>
      <c r="E2090" s="17" t="str">
        <f>IFERROR(__xludf.DUMMYFUNCTION("""COMPUTED_VALUE"""),"苗栗縣銅鑼鄉興隆國民小學")</f>
        <v>苗栗縣銅鑼鄉興隆國民小學</v>
      </c>
      <c r="F2090" s="14" t="str">
        <f>IFERROR(__xludf.DUMMYFUNCTION("""COMPUTED_VALUE"""),"六年級")</f>
        <v>六年級</v>
      </c>
      <c r="G2090" s="14" t="str">
        <f>IFERROR(__xludf.DUMMYFUNCTION("""COMPUTED_VALUE"""),"獎狀")</f>
        <v>獎狀</v>
      </c>
      <c r="H2090" s="8"/>
    </row>
    <row r="2091">
      <c r="A2091" s="18"/>
      <c r="B2091" s="14">
        <f>IFERROR(__xludf.DUMMYFUNCTION("""COMPUTED_VALUE"""),277525.0)</f>
        <v>277525</v>
      </c>
      <c r="C2091" s="14" t="str">
        <f>IFERROR(__xludf.DUMMYFUNCTION("""COMPUTED_VALUE"""),"張芸齡")</f>
        <v>張芸齡</v>
      </c>
      <c r="D2091" s="16" t="str">
        <f>IFERROR(__xludf.DUMMYFUNCTION("""COMPUTED_VALUE"""),"sle*****08@mail.edu.tw")</f>
        <v>sle*****08@mail.edu.tw</v>
      </c>
      <c r="E2091" s="17" t="str">
        <f>IFERROR(__xludf.DUMMYFUNCTION("""COMPUTED_VALUE"""),"苗栗縣銅鑼鄉興隆國民小學")</f>
        <v>苗栗縣銅鑼鄉興隆國民小學</v>
      </c>
      <c r="F2091" s="14" t="str">
        <f>IFERROR(__xludf.DUMMYFUNCTION("""COMPUTED_VALUE"""),"六年級")</f>
        <v>六年級</v>
      </c>
      <c r="G2091" s="14" t="str">
        <f>IFERROR(__xludf.DUMMYFUNCTION("""COMPUTED_VALUE"""),"獎狀")</f>
        <v>獎狀</v>
      </c>
      <c r="H2091" s="8"/>
    </row>
    <row r="2092">
      <c r="A2092" s="18"/>
      <c r="B2092" s="14">
        <f>IFERROR(__xludf.DUMMYFUNCTION("""COMPUTED_VALUE"""),277541.0)</f>
        <v>277541</v>
      </c>
      <c r="C2092" s="14" t="str">
        <f>IFERROR(__xludf.DUMMYFUNCTION("""COMPUTED_VALUE"""),"吳冠毅")</f>
        <v>吳冠毅</v>
      </c>
      <c r="D2092" s="16" t="str">
        <f>IFERROR(__xludf.DUMMYFUNCTION("""COMPUTED_VALUE"""),"sle*****02@mail.edu.tw")</f>
        <v>sle*****02@mail.edu.tw</v>
      </c>
      <c r="E2092" s="17" t="str">
        <f>IFERROR(__xludf.DUMMYFUNCTION("""COMPUTED_VALUE"""),"苗栗縣銅鑼鄉興隆國民小學")</f>
        <v>苗栗縣銅鑼鄉興隆國民小學</v>
      </c>
      <c r="F2092" s="14" t="str">
        <f>IFERROR(__xludf.DUMMYFUNCTION("""COMPUTED_VALUE"""),"六年級")</f>
        <v>六年級</v>
      </c>
      <c r="G2092" s="14" t="str">
        <f>IFERROR(__xludf.DUMMYFUNCTION("""COMPUTED_VALUE"""),"獎狀")</f>
        <v>獎狀</v>
      </c>
      <c r="H2092" s="8"/>
    </row>
    <row r="2093">
      <c r="A2093" s="18"/>
      <c r="B2093" s="14">
        <f>IFERROR(__xludf.DUMMYFUNCTION("""COMPUTED_VALUE"""),1178195.0)</f>
        <v>1178195</v>
      </c>
      <c r="C2093" s="14" t="str">
        <f>IFERROR(__xludf.DUMMYFUNCTION("""COMPUTED_VALUE"""),"朱栩䨘")</f>
        <v>朱栩䨘</v>
      </c>
      <c r="D2093" s="16" t="str">
        <f>IFERROR(__xludf.DUMMYFUNCTION("""COMPUTED_VALUE"""),"mlc*****06@mail.edu.tw")</f>
        <v>mlc*****06@mail.edu.tw</v>
      </c>
      <c r="E2093" s="17" t="str">
        <f>IFERROR(__xludf.DUMMYFUNCTION("""COMPUTED_VALUE"""),"苗栗縣三義鄉育英國民小學")</f>
        <v>苗栗縣三義鄉育英國民小學</v>
      </c>
      <c r="F2093" s="14" t="str">
        <f>IFERROR(__xludf.DUMMYFUNCTION("""COMPUTED_VALUE"""),"三年級")</f>
        <v>三年級</v>
      </c>
      <c r="G2093" s="14" t="str">
        <f>IFERROR(__xludf.DUMMYFUNCTION("""COMPUTED_VALUE"""),"獎狀")</f>
        <v>獎狀</v>
      </c>
      <c r="H2093" s="8"/>
    </row>
    <row r="2094">
      <c r="A2094" s="18"/>
      <c r="B2094" s="14">
        <f>IFERROR(__xludf.DUMMYFUNCTION("""COMPUTED_VALUE"""),1178214.0)</f>
        <v>1178214</v>
      </c>
      <c r="C2094" s="14" t="str">
        <f>IFERROR(__xludf.DUMMYFUNCTION("""COMPUTED_VALUE"""),"陳思嫙")</f>
        <v>陳思嫙</v>
      </c>
      <c r="D2094" s="16" t="str">
        <f>IFERROR(__xludf.DUMMYFUNCTION("""COMPUTED_VALUE"""),"mlc*****08@mail.edu.tw")</f>
        <v>mlc*****08@mail.edu.tw</v>
      </c>
      <c r="E2094" s="17" t="str">
        <f>IFERROR(__xludf.DUMMYFUNCTION("""COMPUTED_VALUE"""),"苗栗縣三義鄉育英國民小學")</f>
        <v>苗栗縣三義鄉育英國民小學</v>
      </c>
      <c r="F2094" s="14" t="str">
        <f>IFERROR(__xludf.DUMMYFUNCTION("""COMPUTED_VALUE"""),"三年級")</f>
        <v>三年級</v>
      </c>
      <c r="G2094" s="14" t="str">
        <f>IFERROR(__xludf.DUMMYFUNCTION("""COMPUTED_VALUE"""),"獎狀")</f>
        <v>獎狀</v>
      </c>
      <c r="H2094" s="8"/>
    </row>
    <row r="2095">
      <c r="A2095" s="18"/>
      <c r="B2095" s="14">
        <f>IFERROR(__xludf.DUMMYFUNCTION("""COMPUTED_VALUE"""),1184724.0)</f>
        <v>1184724</v>
      </c>
      <c r="C2095" s="14" t="str">
        <f>IFERROR(__xludf.DUMMYFUNCTION("""COMPUTED_VALUE"""),"李雨葳")</f>
        <v>李雨葳</v>
      </c>
      <c r="D2095" s="16" t="str">
        <f>IFERROR(__xludf.DUMMYFUNCTION("""COMPUTED_VALUE"""),"yue*****5@yues.mlc.edu.tw")</f>
        <v>yue*****5@yues.mlc.edu.tw</v>
      </c>
      <c r="E2095" s="17" t="str">
        <f>IFERROR(__xludf.DUMMYFUNCTION("""COMPUTED_VALUE"""),"苗栗縣三義鄉育英國民小學")</f>
        <v>苗栗縣三義鄉育英國民小學</v>
      </c>
      <c r="F2095" s="14" t="str">
        <f>IFERROR(__xludf.DUMMYFUNCTION("""COMPUTED_VALUE"""),"三年級")</f>
        <v>三年級</v>
      </c>
      <c r="G2095" s="14" t="str">
        <f>IFERROR(__xludf.DUMMYFUNCTION("""COMPUTED_VALUE"""),"獎狀")</f>
        <v>獎狀</v>
      </c>
      <c r="H2095" s="8"/>
    </row>
    <row r="2096">
      <c r="A2096" s="18"/>
      <c r="B2096" s="14">
        <f>IFERROR(__xludf.DUMMYFUNCTION("""COMPUTED_VALUE"""),1184784.0)</f>
        <v>1184784</v>
      </c>
      <c r="C2096" s="14" t="str">
        <f>IFERROR(__xludf.DUMMYFUNCTION("""COMPUTED_VALUE"""),"徐于絜")</f>
        <v>徐于絜</v>
      </c>
      <c r="D2096" s="16" t="str">
        <f>IFERROR(__xludf.DUMMYFUNCTION("""COMPUTED_VALUE"""),"yue*****3@yues.mlc.edu.tw")</f>
        <v>yue*****3@yues.mlc.edu.tw</v>
      </c>
      <c r="E2096" s="17" t="str">
        <f>IFERROR(__xludf.DUMMYFUNCTION("""COMPUTED_VALUE"""),"苗栗縣三義鄉育英國民小學")</f>
        <v>苗栗縣三義鄉育英國民小學</v>
      </c>
      <c r="F2096" s="14" t="str">
        <f>IFERROR(__xludf.DUMMYFUNCTION("""COMPUTED_VALUE"""),"三年級")</f>
        <v>三年級</v>
      </c>
      <c r="G2096" s="14" t="str">
        <f>IFERROR(__xludf.DUMMYFUNCTION("""COMPUTED_VALUE"""),"獎狀")</f>
        <v>獎狀</v>
      </c>
      <c r="H2096" s="8"/>
    </row>
    <row r="2097">
      <c r="A2097" s="18"/>
      <c r="B2097" s="14">
        <f>IFERROR(__xludf.DUMMYFUNCTION("""COMPUTED_VALUE"""),1184768.0)</f>
        <v>1184768</v>
      </c>
      <c r="C2097" s="14" t="str">
        <f>IFERROR(__xludf.DUMMYFUNCTION("""COMPUTED_VALUE"""),"張訷凱")</f>
        <v>張訷凱</v>
      </c>
      <c r="D2097" s="16" t="str">
        <f>IFERROR(__xludf.DUMMYFUNCTION("""COMPUTED_VALUE"""),"yue*****2@yues.mlc.edu.tw")</f>
        <v>yue*****2@yues.mlc.edu.tw</v>
      </c>
      <c r="E2097" s="17" t="str">
        <f>IFERROR(__xludf.DUMMYFUNCTION("""COMPUTED_VALUE"""),"苗栗縣三義鄉育英國民小學")</f>
        <v>苗栗縣三義鄉育英國民小學</v>
      </c>
      <c r="F2097" s="14" t="str">
        <f>IFERROR(__xludf.DUMMYFUNCTION("""COMPUTED_VALUE"""),"三年級")</f>
        <v>三年級</v>
      </c>
      <c r="G2097" s="14" t="str">
        <f>IFERROR(__xludf.DUMMYFUNCTION("""COMPUTED_VALUE"""),"獎狀")</f>
        <v>獎狀</v>
      </c>
      <c r="H2097" s="8"/>
    </row>
    <row r="2098">
      <c r="A2098" s="18"/>
      <c r="B2098" s="14">
        <f>IFERROR(__xludf.DUMMYFUNCTION("""COMPUTED_VALUE"""),1036602.0)</f>
        <v>1036602</v>
      </c>
      <c r="C2098" s="14" t="str">
        <f>IFERROR(__xludf.DUMMYFUNCTION("""COMPUTED_VALUE"""),"劉采庭")</f>
        <v>劉采庭</v>
      </c>
      <c r="D2098" s="16" t="str">
        <f>IFERROR(__xludf.DUMMYFUNCTION("""COMPUTED_VALUE"""),"yue*****4@yues.mlc.edu.tw")</f>
        <v>yue*****4@yues.mlc.edu.tw</v>
      </c>
      <c r="E2098" s="17" t="str">
        <f>IFERROR(__xludf.DUMMYFUNCTION("""COMPUTED_VALUE"""),"苗栗縣三義鄉育英國民小學")</f>
        <v>苗栗縣三義鄉育英國民小學</v>
      </c>
      <c r="F2098" s="14" t="str">
        <f>IFERROR(__xludf.DUMMYFUNCTION("""COMPUTED_VALUE"""),"三年級")</f>
        <v>三年級</v>
      </c>
      <c r="G2098" s="14" t="str">
        <f>IFERROR(__xludf.DUMMYFUNCTION("""COMPUTED_VALUE"""),"獎狀")</f>
        <v>獎狀</v>
      </c>
      <c r="H2098" s="8"/>
    </row>
    <row r="2099">
      <c r="A2099" s="18"/>
      <c r="B2099" s="14">
        <f>IFERROR(__xludf.DUMMYFUNCTION("""COMPUTED_VALUE"""),1184762.0)</f>
        <v>1184762</v>
      </c>
      <c r="C2099" s="14" t="str">
        <f>IFERROR(__xludf.DUMMYFUNCTION("""COMPUTED_VALUE"""),"賴宥丞")</f>
        <v>賴宥丞</v>
      </c>
      <c r="D2099" s="16" t="str">
        <f>IFERROR(__xludf.DUMMYFUNCTION("""COMPUTED_VALUE"""),"yue*****1@yues.mlc.edu.tw")</f>
        <v>yue*****1@yues.mlc.edu.tw</v>
      </c>
      <c r="E2099" s="17" t="str">
        <f>IFERROR(__xludf.DUMMYFUNCTION("""COMPUTED_VALUE"""),"苗栗縣三義鄉育英國民小學")</f>
        <v>苗栗縣三義鄉育英國民小學</v>
      </c>
      <c r="F2099" s="14" t="str">
        <f>IFERROR(__xludf.DUMMYFUNCTION("""COMPUTED_VALUE"""),"三年級")</f>
        <v>三年級</v>
      </c>
      <c r="G2099" s="14" t="str">
        <f>IFERROR(__xludf.DUMMYFUNCTION("""COMPUTED_VALUE"""),"獎狀")</f>
        <v>獎狀</v>
      </c>
      <c r="H2099" s="8"/>
    </row>
    <row r="2100">
      <c r="A2100" s="18"/>
      <c r="B2100" s="14">
        <f>IFERROR(__xludf.DUMMYFUNCTION("""COMPUTED_VALUE"""),875143.0)</f>
        <v>875143</v>
      </c>
      <c r="C2100" s="14" t="str">
        <f>IFERROR(__xludf.DUMMYFUNCTION("""COMPUTED_VALUE"""),"徐苡恩")</f>
        <v>徐苡恩</v>
      </c>
      <c r="D2100" s="16" t="str">
        <f>IFERROR(__xludf.DUMMYFUNCTION("""COMPUTED_VALUE"""),"yue*****6@yues.mlc.edu.tw")</f>
        <v>yue*****6@yues.mlc.edu.tw</v>
      </c>
      <c r="E2100" s="17" t="str">
        <f>IFERROR(__xludf.DUMMYFUNCTION("""COMPUTED_VALUE"""),"苗栗縣三義鄉育英國民小學")</f>
        <v>苗栗縣三義鄉育英國民小學</v>
      </c>
      <c r="F2100" s="14" t="str">
        <f>IFERROR(__xludf.DUMMYFUNCTION("""COMPUTED_VALUE"""),"四年級")</f>
        <v>四年級</v>
      </c>
      <c r="G2100" s="14" t="str">
        <f>IFERROR(__xludf.DUMMYFUNCTION("""COMPUTED_VALUE"""),"●小禮物")</f>
        <v>●小禮物</v>
      </c>
      <c r="H2100" s="8"/>
    </row>
    <row r="2101">
      <c r="A2101" s="18"/>
      <c r="B2101" s="14">
        <f>IFERROR(__xludf.DUMMYFUNCTION("""COMPUTED_VALUE"""),873986.0)</f>
        <v>873986</v>
      </c>
      <c r="C2101" s="14" t="str">
        <f>IFERROR(__xludf.DUMMYFUNCTION("""COMPUTED_VALUE"""),"賴又慈")</f>
        <v>賴又慈</v>
      </c>
      <c r="D2101" s="16" t="str">
        <f>IFERROR(__xludf.DUMMYFUNCTION("""COMPUTED_VALUE"""),"yue*****2@yues.mlc.edu.tw")</f>
        <v>yue*****2@yues.mlc.edu.tw</v>
      </c>
      <c r="E2101" s="17" t="str">
        <f>IFERROR(__xludf.DUMMYFUNCTION("""COMPUTED_VALUE"""),"苗栗縣三義鄉育英國民小學")</f>
        <v>苗栗縣三義鄉育英國民小學</v>
      </c>
      <c r="F2101" s="14" t="str">
        <f>IFERROR(__xludf.DUMMYFUNCTION("""COMPUTED_VALUE"""),"四年級")</f>
        <v>四年級</v>
      </c>
      <c r="G2101" s="14" t="str">
        <f>IFERROR(__xludf.DUMMYFUNCTION("""COMPUTED_VALUE"""),"獎狀")</f>
        <v>獎狀</v>
      </c>
      <c r="H2101" s="8"/>
    </row>
    <row r="2102">
      <c r="A2102" s="18"/>
      <c r="B2102" s="14">
        <f>IFERROR(__xludf.DUMMYFUNCTION("""COMPUTED_VALUE"""),856539.0)</f>
        <v>856539</v>
      </c>
      <c r="C2102" s="14" t="str">
        <f>IFERROR(__xludf.DUMMYFUNCTION("""COMPUTED_VALUE"""),"朱品霓")</f>
        <v>朱品霓</v>
      </c>
      <c r="D2102" s="16" t="str">
        <f>IFERROR(__xludf.DUMMYFUNCTION("""COMPUTED_VALUE"""),"mlc*****03@mail.edu.tw")</f>
        <v>mlc*****03@mail.edu.tw</v>
      </c>
      <c r="E2102" s="17" t="str">
        <f>IFERROR(__xludf.DUMMYFUNCTION("""COMPUTED_VALUE"""),"苗栗縣三義鄉育英國民小學")</f>
        <v>苗栗縣三義鄉育英國民小學</v>
      </c>
      <c r="F2102" s="14" t="str">
        <f>IFERROR(__xludf.DUMMYFUNCTION("""COMPUTED_VALUE"""),"四年級")</f>
        <v>四年級</v>
      </c>
      <c r="G2102" s="14" t="str">
        <f>IFERROR(__xludf.DUMMYFUNCTION("""COMPUTED_VALUE"""),"●小禮物")</f>
        <v>●小禮物</v>
      </c>
      <c r="H2102" s="8"/>
    </row>
    <row r="2103">
      <c r="A2103" s="18"/>
      <c r="B2103" s="14">
        <f>IFERROR(__xludf.DUMMYFUNCTION("""COMPUTED_VALUE"""),857602.0)</f>
        <v>857602</v>
      </c>
      <c r="C2103" s="14" t="str">
        <f>IFERROR(__xludf.DUMMYFUNCTION("""COMPUTED_VALUE"""),"黃佩琪")</f>
        <v>黃佩琪</v>
      </c>
      <c r="D2103" s="16" t="str">
        <f>IFERROR(__xludf.DUMMYFUNCTION("""COMPUTED_VALUE"""),"peg*****8007@mail.edu.tw")</f>
        <v>peg*****8007@mail.edu.tw</v>
      </c>
      <c r="E2103" s="17" t="str">
        <f>IFERROR(__xludf.DUMMYFUNCTION("""COMPUTED_VALUE"""),"苗栗縣三義鄉育英國民小學")</f>
        <v>苗栗縣三義鄉育英國民小學</v>
      </c>
      <c r="F2103" s="14" t="str">
        <f>IFERROR(__xludf.DUMMYFUNCTION("""COMPUTED_VALUE"""),"四年級")</f>
        <v>四年級</v>
      </c>
      <c r="G2103" s="14" t="str">
        <f>IFERROR(__xludf.DUMMYFUNCTION("""COMPUTED_VALUE"""),"●小禮物")</f>
        <v>●小禮物</v>
      </c>
      <c r="H2103" s="8"/>
    </row>
    <row r="2104">
      <c r="A2104" s="18"/>
      <c r="B2104" s="14">
        <f>IFERROR(__xludf.DUMMYFUNCTION("""COMPUTED_VALUE"""),174547.0)</f>
        <v>174547</v>
      </c>
      <c r="C2104" s="14" t="str">
        <f>IFERROR(__xludf.DUMMYFUNCTION("""COMPUTED_VALUE"""),"何泊泉")</f>
        <v>何泊泉</v>
      </c>
      <c r="D2104" s="16" t="str">
        <f>IFERROR(__xludf.DUMMYFUNCTION("""COMPUTED_VALUE"""),"mlc*****7@mail.edu.tw")</f>
        <v>mlc*****7@mail.edu.tw</v>
      </c>
      <c r="E2104" s="17" t="str">
        <f>IFERROR(__xludf.DUMMYFUNCTION("""COMPUTED_VALUE"""),"苗栗縣三義鄉育英國民小學")</f>
        <v>苗栗縣三義鄉育英國民小學</v>
      </c>
      <c r="F2104" s="14" t="str">
        <f>IFERROR(__xludf.DUMMYFUNCTION("""COMPUTED_VALUE"""),"五年級")</f>
        <v>五年級</v>
      </c>
      <c r="G2104" s="14" t="str">
        <f>IFERROR(__xludf.DUMMYFUNCTION("""COMPUTED_VALUE"""),"獎狀")</f>
        <v>獎狀</v>
      </c>
      <c r="H2104" s="8"/>
    </row>
    <row r="2105">
      <c r="A2105" s="18"/>
      <c r="B2105" s="14">
        <f>IFERROR(__xludf.DUMMYFUNCTION("""COMPUTED_VALUE"""),174543.0)</f>
        <v>174543</v>
      </c>
      <c r="C2105" s="14" t="str">
        <f>IFERROR(__xludf.DUMMYFUNCTION("""COMPUTED_VALUE"""),"吳沛璇")</f>
        <v>吳沛璇</v>
      </c>
      <c r="D2105" s="16" t="str">
        <f>IFERROR(__xludf.DUMMYFUNCTION("""COMPUTED_VALUE"""),"mlc*****9@mail.edu.tw")</f>
        <v>mlc*****9@mail.edu.tw</v>
      </c>
      <c r="E2105" s="17" t="str">
        <f>IFERROR(__xludf.DUMMYFUNCTION("""COMPUTED_VALUE"""),"苗栗縣三義鄉育英國民小學")</f>
        <v>苗栗縣三義鄉育英國民小學</v>
      </c>
      <c r="F2105" s="14" t="str">
        <f>IFERROR(__xludf.DUMMYFUNCTION("""COMPUTED_VALUE"""),"五年級")</f>
        <v>五年級</v>
      </c>
      <c r="G2105" s="14" t="str">
        <f>IFERROR(__xludf.DUMMYFUNCTION("""COMPUTED_VALUE"""),"獎狀")</f>
        <v>獎狀</v>
      </c>
      <c r="H2105" s="8"/>
    </row>
    <row r="2106">
      <c r="A2106" s="18"/>
      <c r="B2106" s="14">
        <f>IFERROR(__xludf.DUMMYFUNCTION("""COMPUTED_VALUE"""),480694.0)</f>
        <v>480694</v>
      </c>
      <c r="C2106" s="14" t="str">
        <f>IFERROR(__xludf.DUMMYFUNCTION("""COMPUTED_VALUE"""),"劉冠廷")</f>
        <v>劉冠廷</v>
      </c>
      <c r="D2106" s="16" t="str">
        <f>IFERROR(__xludf.DUMMYFUNCTION("""COMPUTED_VALUE"""),"yuy*****01@mail.edu.tw")</f>
        <v>yuy*****01@mail.edu.tw</v>
      </c>
      <c r="E2106" s="17" t="str">
        <f>IFERROR(__xludf.DUMMYFUNCTION("""COMPUTED_VALUE"""),"苗栗縣三義鄉育英國民小學")</f>
        <v>苗栗縣三義鄉育英國民小學</v>
      </c>
      <c r="F2106" s="14" t="str">
        <f>IFERROR(__xludf.DUMMYFUNCTION("""COMPUTED_VALUE"""),"五年級")</f>
        <v>五年級</v>
      </c>
      <c r="G2106" s="14" t="str">
        <f>IFERROR(__xludf.DUMMYFUNCTION("""COMPUTED_VALUE"""),"●小禮物")</f>
        <v>●小禮物</v>
      </c>
      <c r="H2106" s="8"/>
    </row>
    <row r="2107">
      <c r="A2107" s="18"/>
      <c r="B2107" s="14">
        <f>IFERROR(__xludf.DUMMYFUNCTION("""COMPUTED_VALUE"""),174546.0)</f>
        <v>174546</v>
      </c>
      <c r="C2107" s="14" t="str">
        <f>IFERROR(__xludf.DUMMYFUNCTION("""COMPUTED_VALUE"""),"吳易澐")</f>
        <v>吳易澐</v>
      </c>
      <c r="D2107" s="16" t="str">
        <f>IFERROR(__xludf.DUMMYFUNCTION("""COMPUTED_VALUE"""),"mlc*****8@mail.edu.tw")</f>
        <v>mlc*****8@mail.edu.tw</v>
      </c>
      <c r="E2107" s="17" t="str">
        <f>IFERROR(__xludf.DUMMYFUNCTION("""COMPUTED_VALUE"""),"苗栗縣三義鄉育英國民小學")</f>
        <v>苗栗縣三義鄉育英國民小學</v>
      </c>
      <c r="F2107" s="14" t="str">
        <f>IFERROR(__xludf.DUMMYFUNCTION("""COMPUTED_VALUE"""),"五年級")</f>
        <v>五年級</v>
      </c>
      <c r="G2107" s="14" t="str">
        <f>IFERROR(__xludf.DUMMYFUNCTION("""COMPUTED_VALUE"""),"獎狀")</f>
        <v>獎狀</v>
      </c>
      <c r="H2107" s="8"/>
    </row>
    <row r="2108">
      <c r="A2108" s="18"/>
      <c r="B2108" s="14">
        <f>IFERROR(__xludf.DUMMYFUNCTION("""COMPUTED_VALUE"""),480703.0)</f>
        <v>480703</v>
      </c>
      <c r="C2108" s="14" t="str">
        <f>IFERROR(__xludf.DUMMYFUNCTION("""COMPUTED_VALUE"""),"賴永翎")</f>
        <v>賴永翎</v>
      </c>
      <c r="D2108" s="16" t="str">
        <f>IFERROR(__xludf.DUMMYFUNCTION("""COMPUTED_VALUE"""),"yuy*****04@mail.edu.tw")</f>
        <v>yuy*****04@mail.edu.tw</v>
      </c>
      <c r="E2108" s="17" t="str">
        <f>IFERROR(__xludf.DUMMYFUNCTION("""COMPUTED_VALUE"""),"苗栗縣三義鄉育英國民小學")</f>
        <v>苗栗縣三義鄉育英國民小學</v>
      </c>
      <c r="F2108" s="14" t="str">
        <f>IFERROR(__xludf.DUMMYFUNCTION("""COMPUTED_VALUE"""),"五年級")</f>
        <v>五年級</v>
      </c>
      <c r="G2108" s="14" t="str">
        <f>IFERROR(__xludf.DUMMYFUNCTION("""COMPUTED_VALUE"""),"獎狀")</f>
        <v>獎狀</v>
      </c>
      <c r="H2108" s="8"/>
    </row>
    <row r="2109">
      <c r="A2109" s="18"/>
      <c r="B2109" s="14">
        <f>IFERROR(__xludf.DUMMYFUNCTION("""COMPUTED_VALUE"""),174542.0)</f>
        <v>174542</v>
      </c>
      <c r="C2109" s="14" t="str">
        <f>IFERROR(__xludf.DUMMYFUNCTION("""COMPUTED_VALUE"""),"李育鴻")</f>
        <v>李育鴻</v>
      </c>
      <c r="D2109" s="16" t="str">
        <f>IFERROR(__xludf.DUMMYFUNCTION("""COMPUTED_VALUE"""),"mlc*****6@mail.edu.tw")</f>
        <v>mlc*****6@mail.edu.tw</v>
      </c>
      <c r="E2109" s="17" t="str">
        <f>IFERROR(__xludf.DUMMYFUNCTION("""COMPUTED_VALUE"""),"苗栗縣三義鄉育英國民小學")</f>
        <v>苗栗縣三義鄉育英國民小學</v>
      </c>
      <c r="F2109" s="14" t="str">
        <f>IFERROR(__xludf.DUMMYFUNCTION("""COMPUTED_VALUE"""),"六年級")</f>
        <v>六年級</v>
      </c>
      <c r="G2109" s="14" t="str">
        <f>IFERROR(__xludf.DUMMYFUNCTION("""COMPUTED_VALUE"""),"獎狀")</f>
        <v>獎狀</v>
      </c>
      <c r="H2109" s="8"/>
    </row>
    <row r="2110">
      <c r="A2110" s="18"/>
      <c r="B2110" s="14">
        <f>IFERROR(__xludf.DUMMYFUNCTION("""COMPUTED_VALUE"""),174541.0)</f>
        <v>174541</v>
      </c>
      <c r="C2110" s="14" t="str">
        <f>IFERROR(__xludf.DUMMYFUNCTION("""COMPUTED_VALUE"""),"賴煒翔")</f>
        <v>賴煒翔</v>
      </c>
      <c r="D2110" s="16" t="str">
        <f>IFERROR(__xludf.DUMMYFUNCTION("""COMPUTED_VALUE"""),"mlc*****7@mail.edu.tw")</f>
        <v>mlc*****7@mail.edu.tw</v>
      </c>
      <c r="E2110" s="17" t="str">
        <f>IFERROR(__xludf.DUMMYFUNCTION("""COMPUTED_VALUE"""),"苗栗縣三義鄉育英國民小學")</f>
        <v>苗栗縣三義鄉育英國民小學</v>
      </c>
      <c r="F2110" s="14" t="str">
        <f>IFERROR(__xludf.DUMMYFUNCTION("""COMPUTED_VALUE"""),"六年級")</f>
        <v>六年級</v>
      </c>
      <c r="G2110" s="14" t="str">
        <f>IFERROR(__xludf.DUMMYFUNCTION("""COMPUTED_VALUE"""),"獎狀")</f>
        <v>獎狀</v>
      </c>
      <c r="H2110" s="8"/>
    </row>
    <row r="2111">
      <c r="A2111" s="18"/>
      <c r="B2111" s="14">
        <f>IFERROR(__xludf.DUMMYFUNCTION("""COMPUTED_VALUE"""),1011169.0)</f>
        <v>1011169</v>
      </c>
      <c r="C2111" s="14" t="str">
        <f>IFERROR(__xludf.DUMMYFUNCTION("""COMPUTED_VALUE"""),"鍾佾潭")</f>
        <v>鍾佾潭</v>
      </c>
      <c r="D2111" s="16" t="str">
        <f>IFERROR(__xludf.DUMMYFUNCTION("""COMPUTED_VALUE"""),"yue*****4@yues.mlc.edu.tw")</f>
        <v>yue*****4@yues.mlc.edu.tw</v>
      </c>
      <c r="E2111" s="17" t="str">
        <f>IFERROR(__xludf.DUMMYFUNCTION("""COMPUTED_VALUE"""),"苗栗縣三義鄉育英國民小學")</f>
        <v>苗栗縣三義鄉育英國民小學</v>
      </c>
      <c r="F2111" s="14" t="str">
        <f>IFERROR(__xludf.DUMMYFUNCTION("""COMPUTED_VALUE"""),"六年級")</f>
        <v>六年級</v>
      </c>
      <c r="G2111" s="14" t="str">
        <f>IFERROR(__xludf.DUMMYFUNCTION("""COMPUTED_VALUE"""),"●小禮物")</f>
        <v>●小禮物</v>
      </c>
      <c r="H2111" s="8"/>
    </row>
    <row r="2112">
      <c r="A2112" s="18"/>
      <c r="B2112" s="14">
        <f>IFERROR(__xludf.DUMMYFUNCTION("""COMPUTED_VALUE"""),1007247.0)</f>
        <v>1007247</v>
      </c>
      <c r="C2112" s="14" t="str">
        <f>IFERROR(__xludf.DUMMYFUNCTION("""COMPUTED_VALUE"""),"林祐琮")</f>
        <v>林祐琮</v>
      </c>
      <c r="D2112" s="16" t="str">
        <f>IFERROR(__xludf.DUMMYFUNCTION("""COMPUTED_VALUE"""),"yue*****8@yues.mlc.edu.tw")</f>
        <v>yue*****8@yues.mlc.edu.tw</v>
      </c>
      <c r="E2112" s="17" t="str">
        <f>IFERROR(__xludf.DUMMYFUNCTION("""COMPUTED_VALUE"""),"苗栗縣三義鄉育英國民小學")</f>
        <v>苗栗縣三義鄉育英國民小學</v>
      </c>
      <c r="F2112" s="14" t="str">
        <f>IFERROR(__xludf.DUMMYFUNCTION("""COMPUTED_VALUE"""),"六年級")</f>
        <v>六年級</v>
      </c>
      <c r="G2112" s="14" t="str">
        <f>IFERROR(__xludf.DUMMYFUNCTION("""COMPUTED_VALUE"""),"獎狀")</f>
        <v>獎狀</v>
      </c>
      <c r="H2112" s="8"/>
    </row>
    <row r="2113">
      <c r="A2113" s="18"/>
      <c r="B2113" s="14">
        <f>IFERROR(__xludf.DUMMYFUNCTION("""COMPUTED_VALUE"""),1007274.0)</f>
        <v>1007274</v>
      </c>
      <c r="C2113" s="14" t="str">
        <f>IFERROR(__xludf.DUMMYFUNCTION("""COMPUTED_VALUE"""),"陳建銘")</f>
        <v>陳建銘</v>
      </c>
      <c r="D2113" s="16" t="str">
        <f>IFERROR(__xludf.DUMMYFUNCTION("""COMPUTED_VALUE"""),"yue*****6@yues.mlc.edu.tw")</f>
        <v>yue*****6@yues.mlc.edu.tw</v>
      </c>
      <c r="E2113" s="17" t="str">
        <f>IFERROR(__xludf.DUMMYFUNCTION("""COMPUTED_VALUE"""),"苗栗縣三義鄉育英國民小學")</f>
        <v>苗栗縣三義鄉育英國民小學</v>
      </c>
      <c r="F2113" s="14" t="str">
        <f>IFERROR(__xludf.DUMMYFUNCTION("""COMPUTED_VALUE"""),"六年級")</f>
        <v>六年級</v>
      </c>
      <c r="G2113" s="14" t="str">
        <f>IFERROR(__xludf.DUMMYFUNCTION("""COMPUTED_VALUE"""),"獎狀")</f>
        <v>獎狀</v>
      </c>
      <c r="H2113" s="8"/>
    </row>
    <row r="2114">
      <c r="A2114" s="18"/>
      <c r="B2114" s="14">
        <f>IFERROR(__xludf.DUMMYFUNCTION("""COMPUTED_VALUE"""),868779.0)</f>
        <v>868779</v>
      </c>
      <c r="C2114" s="14" t="str">
        <f>IFERROR(__xludf.DUMMYFUNCTION("""COMPUTED_VALUE"""),"徐可馨")</f>
        <v>徐可馨</v>
      </c>
      <c r="D2114" s="16" t="str">
        <f>IFERROR(__xludf.DUMMYFUNCTION("""COMPUTED_VALUE"""),"cce*****0108018@mail.edu.tw")</f>
        <v>cce*****0108018@mail.edu.tw</v>
      </c>
      <c r="E2114" s="17" t="str">
        <f>IFERROR(__xludf.DUMMYFUNCTION("""COMPUTED_VALUE"""),"苗栗縣三義鄉僑成國民小學")</f>
        <v>苗栗縣三義鄉僑成國民小學</v>
      </c>
      <c r="F2114" s="14" t="str">
        <f>IFERROR(__xludf.DUMMYFUNCTION("""COMPUTED_VALUE"""),"四年級")</f>
        <v>四年級</v>
      </c>
      <c r="G2114" s="14" t="str">
        <f>IFERROR(__xludf.DUMMYFUNCTION("""COMPUTED_VALUE"""),"獎狀")</f>
        <v>獎狀</v>
      </c>
      <c r="H2114" s="8"/>
    </row>
    <row r="2115">
      <c r="A2115" s="18"/>
      <c r="B2115" s="14">
        <f>IFERROR(__xludf.DUMMYFUNCTION("""COMPUTED_VALUE"""),588122.0)</f>
        <v>588122</v>
      </c>
      <c r="C2115" s="14" t="str">
        <f>IFERROR(__xludf.DUMMYFUNCTION("""COMPUTED_VALUE"""),"彭傳恩")</f>
        <v>彭傳恩</v>
      </c>
      <c r="D2115" s="16" t="str">
        <f>IFERROR(__xludf.DUMMYFUNCTION("""COMPUTED_VALUE"""),"107*****js.mlc.edu.tw")</f>
        <v>107*****js.mlc.edu.tw</v>
      </c>
      <c r="E2115" s="17" t="str">
        <f>IFERROR(__xludf.DUMMYFUNCTION("""COMPUTED_VALUE"""),"苗栗縣三義鄉建中國民小學")</f>
        <v>苗栗縣三義鄉建中國民小學</v>
      </c>
      <c r="F2115" s="14" t="str">
        <f>IFERROR(__xludf.DUMMYFUNCTION("""COMPUTED_VALUE"""),"五年級")</f>
        <v>五年級</v>
      </c>
      <c r="G2115" s="14" t="str">
        <f>IFERROR(__xludf.DUMMYFUNCTION("""COMPUTED_VALUE"""),"●小禮物")</f>
        <v>●小禮物</v>
      </c>
      <c r="H2115" s="8"/>
    </row>
    <row r="2116">
      <c r="A2116" s="18"/>
      <c r="B2116" s="14">
        <f>IFERROR(__xludf.DUMMYFUNCTION("""COMPUTED_VALUE"""),828701.0)</f>
        <v>828701</v>
      </c>
      <c r="C2116" s="14" t="str">
        <f>IFERROR(__xludf.DUMMYFUNCTION("""COMPUTED_VALUE"""),"黃冠穎")</f>
        <v>黃冠穎</v>
      </c>
      <c r="D2116" s="16" t="str">
        <f>IFERROR(__xludf.DUMMYFUNCTION("""COMPUTED_VALUE"""),"107*****js.mlc.edu.tw")</f>
        <v>107*****js.mlc.edu.tw</v>
      </c>
      <c r="E2116" s="17" t="str">
        <f>IFERROR(__xludf.DUMMYFUNCTION("""COMPUTED_VALUE"""),"苗栗縣三義鄉建中國民小學")</f>
        <v>苗栗縣三義鄉建中國民小學</v>
      </c>
      <c r="F2116" s="14" t="str">
        <f>IFERROR(__xludf.DUMMYFUNCTION("""COMPUTED_VALUE"""),"五年級")</f>
        <v>五年級</v>
      </c>
      <c r="G2116" s="14" t="str">
        <f>IFERROR(__xludf.DUMMYFUNCTION("""COMPUTED_VALUE"""),"●小禮物")</f>
        <v>●小禮物</v>
      </c>
      <c r="H2116" s="8"/>
    </row>
    <row r="2117">
      <c r="A2117" s="18"/>
      <c r="B2117" s="14">
        <f>IFERROR(__xludf.DUMMYFUNCTION("""COMPUTED_VALUE"""),588128.0)</f>
        <v>588128</v>
      </c>
      <c r="C2117" s="14" t="str">
        <f>IFERROR(__xludf.DUMMYFUNCTION("""COMPUTED_VALUE"""),"黃御宸")</f>
        <v>黃御宸</v>
      </c>
      <c r="D2117" s="16" t="str">
        <f>IFERROR(__xludf.DUMMYFUNCTION("""COMPUTED_VALUE"""),"107*****js.mlc.edu.tw")</f>
        <v>107*****js.mlc.edu.tw</v>
      </c>
      <c r="E2117" s="17" t="str">
        <f>IFERROR(__xludf.DUMMYFUNCTION("""COMPUTED_VALUE"""),"苗栗縣三義鄉建中國民小學")</f>
        <v>苗栗縣三義鄉建中國民小學</v>
      </c>
      <c r="F2117" s="14" t="str">
        <f>IFERROR(__xludf.DUMMYFUNCTION("""COMPUTED_VALUE"""),"五年級")</f>
        <v>五年級</v>
      </c>
      <c r="G2117" s="14" t="str">
        <f>IFERROR(__xludf.DUMMYFUNCTION("""COMPUTED_VALUE"""),"★禮券$200")</f>
        <v>★禮券$200</v>
      </c>
      <c r="H2117" s="8"/>
    </row>
    <row r="2118">
      <c r="A2118" s="18"/>
      <c r="B2118" s="14">
        <f>IFERROR(__xludf.DUMMYFUNCTION("""COMPUTED_VALUE"""),588129.0)</f>
        <v>588129</v>
      </c>
      <c r="C2118" s="14" t="str">
        <f>IFERROR(__xludf.DUMMYFUNCTION("""COMPUTED_VALUE"""),"林家渝")</f>
        <v>林家渝</v>
      </c>
      <c r="D2118" s="16" t="str">
        <f>IFERROR(__xludf.DUMMYFUNCTION("""COMPUTED_VALUE"""),"107*****js.mlc.edu.tw")</f>
        <v>107*****js.mlc.edu.tw</v>
      </c>
      <c r="E2118" s="17" t="str">
        <f>IFERROR(__xludf.DUMMYFUNCTION("""COMPUTED_VALUE"""),"苗栗縣三義鄉建中國民小學")</f>
        <v>苗栗縣三義鄉建中國民小學</v>
      </c>
      <c r="F2118" s="14" t="str">
        <f>IFERROR(__xludf.DUMMYFUNCTION("""COMPUTED_VALUE"""),"五年級")</f>
        <v>五年級</v>
      </c>
      <c r="G2118" s="14" t="str">
        <f>IFERROR(__xludf.DUMMYFUNCTION("""COMPUTED_VALUE"""),"獎狀")</f>
        <v>獎狀</v>
      </c>
      <c r="H2118" s="8"/>
    </row>
    <row r="2119">
      <c r="A2119" s="18"/>
      <c r="B2119" s="14">
        <f>IFERROR(__xludf.DUMMYFUNCTION("""COMPUTED_VALUE"""),518539.0)</f>
        <v>518539</v>
      </c>
      <c r="C2119" s="14" t="str">
        <f>IFERROR(__xludf.DUMMYFUNCTION("""COMPUTED_VALUE"""),"吳嘉琪")</f>
        <v>吳嘉琪</v>
      </c>
      <c r="D2119" s="16" t="str">
        <f>IFERROR(__xludf.DUMMYFUNCTION("""COMPUTED_VALUE"""),"106*****js.mlc.edu.tw")</f>
        <v>106*****js.mlc.edu.tw</v>
      </c>
      <c r="E2119" s="17" t="str">
        <f>IFERROR(__xludf.DUMMYFUNCTION("""COMPUTED_VALUE"""),"苗栗縣三義鄉建中國民小學")</f>
        <v>苗栗縣三義鄉建中國民小學</v>
      </c>
      <c r="F2119" s="14" t="str">
        <f>IFERROR(__xludf.DUMMYFUNCTION("""COMPUTED_VALUE"""),"六年級")</f>
        <v>六年級</v>
      </c>
      <c r="G2119" s="14" t="str">
        <f>IFERROR(__xludf.DUMMYFUNCTION("""COMPUTED_VALUE"""),"●小禮物")</f>
        <v>●小禮物</v>
      </c>
      <c r="H2119" s="8"/>
    </row>
    <row r="2120">
      <c r="A2120" s="18"/>
      <c r="B2120" s="14">
        <f>IFERROR(__xludf.DUMMYFUNCTION("""COMPUTED_VALUE"""),518533.0)</f>
        <v>518533</v>
      </c>
      <c r="C2120" s="14" t="str">
        <f>IFERROR(__xludf.DUMMYFUNCTION("""COMPUTED_VALUE"""),"宋唯甄")</f>
        <v>宋唯甄</v>
      </c>
      <c r="D2120" s="16" t="str">
        <f>IFERROR(__xludf.DUMMYFUNCTION("""COMPUTED_VALUE"""),"106*****js.mlc.edu.tw")</f>
        <v>106*****js.mlc.edu.tw</v>
      </c>
      <c r="E2120" s="17" t="str">
        <f>IFERROR(__xludf.DUMMYFUNCTION("""COMPUTED_VALUE"""),"苗栗縣三義鄉建中國民小學")</f>
        <v>苗栗縣三義鄉建中國民小學</v>
      </c>
      <c r="F2120" s="14" t="str">
        <f>IFERROR(__xludf.DUMMYFUNCTION("""COMPUTED_VALUE"""),"六年級")</f>
        <v>六年級</v>
      </c>
      <c r="G2120" s="14" t="str">
        <f>IFERROR(__xludf.DUMMYFUNCTION("""COMPUTED_VALUE"""),"●小禮物")</f>
        <v>●小禮物</v>
      </c>
      <c r="H2120" s="8"/>
    </row>
    <row r="2121">
      <c r="A2121" s="18"/>
      <c r="B2121" s="14">
        <f>IFERROR(__xludf.DUMMYFUNCTION("""COMPUTED_VALUE"""),518571.0)</f>
        <v>518571</v>
      </c>
      <c r="C2121" s="14" t="str">
        <f>IFERROR(__xludf.DUMMYFUNCTION("""COMPUTED_VALUE"""),"湯宥庭")</f>
        <v>湯宥庭</v>
      </c>
      <c r="D2121" s="16" t="str">
        <f>IFERROR(__xludf.DUMMYFUNCTION("""COMPUTED_VALUE"""),"106*****js.mlc.edu.tw")</f>
        <v>106*****js.mlc.edu.tw</v>
      </c>
      <c r="E2121" s="17" t="str">
        <f>IFERROR(__xludf.DUMMYFUNCTION("""COMPUTED_VALUE"""),"苗栗縣三義鄉建中國民小學")</f>
        <v>苗栗縣三義鄉建中國民小學</v>
      </c>
      <c r="F2121" s="14" t="str">
        <f>IFERROR(__xludf.DUMMYFUNCTION("""COMPUTED_VALUE"""),"六年級")</f>
        <v>六年級</v>
      </c>
      <c r="G2121" s="14" t="str">
        <f>IFERROR(__xludf.DUMMYFUNCTION("""COMPUTED_VALUE"""),"●小禮物")</f>
        <v>●小禮物</v>
      </c>
      <c r="H2121" s="8"/>
    </row>
    <row r="2122">
      <c r="A2122" s="18"/>
      <c r="B2122" s="14">
        <f>IFERROR(__xludf.DUMMYFUNCTION("""COMPUTED_VALUE"""),530598.0)</f>
        <v>530598</v>
      </c>
      <c r="C2122" s="14" t="str">
        <f>IFERROR(__xludf.DUMMYFUNCTION("""COMPUTED_VALUE"""),"邱姵禎")</f>
        <v>邱姵禎</v>
      </c>
      <c r="D2122" s="16" t="str">
        <f>IFERROR(__xludf.DUMMYFUNCTION("""COMPUTED_VALUE"""),"106*****js.mlc.edu.tw")</f>
        <v>106*****js.mlc.edu.tw</v>
      </c>
      <c r="E2122" s="17" t="str">
        <f>IFERROR(__xludf.DUMMYFUNCTION("""COMPUTED_VALUE"""),"苗栗縣三義鄉建中國民小學")</f>
        <v>苗栗縣三義鄉建中國民小學</v>
      </c>
      <c r="F2122" s="14" t="str">
        <f>IFERROR(__xludf.DUMMYFUNCTION("""COMPUTED_VALUE"""),"六年級")</f>
        <v>六年級</v>
      </c>
      <c r="G2122" s="14" t="str">
        <f>IFERROR(__xludf.DUMMYFUNCTION("""COMPUTED_VALUE"""),"獎狀")</f>
        <v>獎狀</v>
      </c>
      <c r="H2122" s="8"/>
    </row>
    <row r="2123">
      <c r="A2123" s="18"/>
      <c r="B2123" s="14">
        <f>IFERROR(__xludf.DUMMYFUNCTION("""COMPUTED_VALUE"""),518573.0)</f>
        <v>518573</v>
      </c>
      <c r="C2123" s="14" t="str">
        <f>IFERROR(__xludf.DUMMYFUNCTION("""COMPUTED_VALUE"""),"彭怡瑄")</f>
        <v>彭怡瑄</v>
      </c>
      <c r="D2123" s="16" t="str">
        <f>IFERROR(__xludf.DUMMYFUNCTION("""COMPUTED_VALUE"""),"106*****js.mlc.edu.tw")</f>
        <v>106*****js.mlc.edu.tw</v>
      </c>
      <c r="E2123" s="17" t="str">
        <f>IFERROR(__xludf.DUMMYFUNCTION("""COMPUTED_VALUE"""),"苗栗縣三義鄉建中國民小學")</f>
        <v>苗栗縣三義鄉建中國民小學</v>
      </c>
      <c r="F2123" s="14" t="str">
        <f>IFERROR(__xludf.DUMMYFUNCTION("""COMPUTED_VALUE"""),"六年級")</f>
        <v>六年級</v>
      </c>
      <c r="G2123" s="14" t="str">
        <f>IFERROR(__xludf.DUMMYFUNCTION("""COMPUTED_VALUE"""),"獎狀")</f>
        <v>獎狀</v>
      </c>
      <c r="H2123" s="8"/>
    </row>
    <row r="2124">
      <c r="A2124" s="18"/>
      <c r="B2124" s="14">
        <f>IFERROR(__xludf.DUMMYFUNCTION("""COMPUTED_VALUE"""),535544.0)</f>
        <v>535544</v>
      </c>
      <c r="C2124" s="14" t="str">
        <f>IFERROR(__xludf.DUMMYFUNCTION("""COMPUTED_VALUE"""),"劉育銘")</f>
        <v>劉育銘</v>
      </c>
      <c r="D2124" s="16" t="str">
        <f>IFERROR(__xludf.DUMMYFUNCTION("""COMPUTED_VALUE"""),"106*****js.mlc.edu.tw")</f>
        <v>106*****js.mlc.edu.tw</v>
      </c>
      <c r="E2124" s="17" t="str">
        <f>IFERROR(__xludf.DUMMYFUNCTION("""COMPUTED_VALUE"""),"苗栗縣三義鄉建中國民小學")</f>
        <v>苗栗縣三義鄉建中國民小學</v>
      </c>
      <c r="F2124" s="14" t="str">
        <f>IFERROR(__xludf.DUMMYFUNCTION("""COMPUTED_VALUE"""),"六年級")</f>
        <v>六年級</v>
      </c>
      <c r="G2124" s="14" t="str">
        <f>IFERROR(__xludf.DUMMYFUNCTION("""COMPUTED_VALUE"""),"獎狀")</f>
        <v>獎狀</v>
      </c>
      <c r="H2124" s="8"/>
    </row>
    <row r="2125">
      <c r="A2125" s="18"/>
      <c r="B2125" s="14">
        <f>IFERROR(__xludf.DUMMYFUNCTION("""COMPUTED_VALUE"""),518540.0)</f>
        <v>518540</v>
      </c>
      <c r="C2125" s="14" t="str">
        <f>IFERROR(__xludf.DUMMYFUNCTION("""COMPUTED_VALUE"""),"徐湘芸")</f>
        <v>徐湘芸</v>
      </c>
      <c r="D2125" s="16" t="str">
        <f>IFERROR(__xludf.DUMMYFUNCTION("""COMPUTED_VALUE"""),"106*****js.mlc.edu.tw")</f>
        <v>106*****js.mlc.edu.tw</v>
      </c>
      <c r="E2125" s="17" t="str">
        <f>IFERROR(__xludf.DUMMYFUNCTION("""COMPUTED_VALUE"""),"苗栗縣三義鄉建中國民小學")</f>
        <v>苗栗縣三義鄉建中國民小學</v>
      </c>
      <c r="F2125" s="14" t="str">
        <f>IFERROR(__xludf.DUMMYFUNCTION("""COMPUTED_VALUE"""),"六年級")</f>
        <v>六年級</v>
      </c>
      <c r="G2125" s="14" t="str">
        <f>IFERROR(__xludf.DUMMYFUNCTION("""COMPUTED_VALUE"""),"●小禮物")</f>
        <v>●小禮物</v>
      </c>
      <c r="H2125" s="8"/>
    </row>
    <row r="2126">
      <c r="A2126" s="18"/>
      <c r="B2126" s="14">
        <f>IFERROR(__xludf.DUMMYFUNCTION("""COMPUTED_VALUE"""),518587.0)</f>
        <v>518587</v>
      </c>
      <c r="C2126" s="14" t="str">
        <f>IFERROR(__xludf.DUMMYFUNCTION("""COMPUTED_VALUE"""),"彭維翊")</f>
        <v>彭維翊</v>
      </c>
      <c r="D2126" s="16" t="str">
        <f>IFERROR(__xludf.DUMMYFUNCTION("""COMPUTED_VALUE"""),"106*****js.mlc.edu.tw")</f>
        <v>106*****js.mlc.edu.tw</v>
      </c>
      <c r="E2126" s="17" t="str">
        <f>IFERROR(__xludf.DUMMYFUNCTION("""COMPUTED_VALUE"""),"苗栗縣三義鄉建中國民小學")</f>
        <v>苗栗縣三義鄉建中國民小學</v>
      </c>
      <c r="F2126" s="14" t="str">
        <f>IFERROR(__xludf.DUMMYFUNCTION("""COMPUTED_VALUE"""),"六年級")</f>
        <v>六年級</v>
      </c>
      <c r="G2126" s="14" t="str">
        <f>IFERROR(__xludf.DUMMYFUNCTION("""COMPUTED_VALUE"""),"●小禮物")</f>
        <v>●小禮物</v>
      </c>
      <c r="H2126" s="8"/>
    </row>
    <row r="2127">
      <c r="A2127" s="18"/>
      <c r="B2127" s="14">
        <f>IFERROR(__xludf.DUMMYFUNCTION("""COMPUTED_VALUE"""),518537.0)</f>
        <v>518537</v>
      </c>
      <c r="C2127" s="14" t="str">
        <f>IFERROR(__xludf.DUMMYFUNCTION("""COMPUTED_VALUE"""),"湯昀展")</f>
        <v>湯昀展</v>
      </c>
      <c r="D2127" s="16" t="str">
        <f>IFERROR(__xludf.DUMMYFUNCTION("""COMPUTED_VALUE"""),"106*****js.mlc.edu.tw")</f>
        <v>106*****js.mlc.edu.tw</v>
      </c>
      <c r="E2127" s="17" t="str">
        <f>IFERROR(__xludf.DUMMYFUNCTION("""COMPUTED_VALUE"""),"苗栗縣三義鄉建中國民小學")</f>
        <v>苗栗縣三義鄉建中國民小學</v>
      </c>
      <c r="F2127" s="14" t="str">
        <f>IFERROR(__xludf.DUMMYFUNCTION("""COMPUTED_VALUE"""),"六年級")</f>
        <v>六年級</v>
      </c>
      <c r="G2127" s="14" t="str">
        <f>IFERROR(__xludf.DUMMYFUNCTION("""COMPUTED_VALUE"""),"●小禮物")</f>
        <v>●小禮物</v>
      </c>
      <c r="H2127" s="8"/>
    </row>
    <row r="2128">
      <c r="A2128" s="18"/>
      <c r="B2128" s="14">
        <f>IFERROR(__xludf.DUMMYFUNCTION("""COMPUTED_VALUE"""),530605.0)</f>
        <v>530605</v>
      </c>
      <c r="C2128" s="14" t="str">
        <f>IFERROR(__xludf.DUMMYFUNCTION("""COMPUTED_VALUE"""),"徐崇恩")</f>
        <v>徐崇恩</v>
      </c>
      <c r="D2128" s="16" t="str">
        <f>IFERROR(__xludf.DUMMYFUNCTION("""COMPUTED_VALUE"""),"106*****js.mlc.edu.tw")</f>
        <v>106*****js.mlc.edu.tw</v>
      </c>
      <c r="E2128" s="17" t="str">
        <f>IFERROR(__xludf.DUMMYFUNCTION("""COMPUTED_VALUE"""),"苗栗縣三義鄉建中國民小學")</f>
        <v>苗栗縣三義鄉建中國民小學</v>
      </c>
      <c r="F2128" s="14" t="str">
        <f>IFERROR(__xludf.DUMMYFUNCTION("""COMPUTED_VALUE"""),"六年級")</f>
        <v>六年級</v>
      </c>
      <c r="G2128" s="14" t="str">
        <f>IFERROR(__xludf.DUMMYFUNCTION("""COMPUTED_VALUE"""),"獎狀")</f>
        <v>獎狀</v>
      </c>
      <c r="H2128" s="8"/>
    </row>
    <row r="2129">
      <c r="A2129" s="18"/>
      <c r="B2129" s="14">
        <f>IFERROR(__xludf.DUMMYFUNCTION("""COMPUTED_VALUE"""),498313.0)</f>
        <v>498313</v>
      </c>
      <c r="C2129" s="14" t="str">
        <f>IFERROR(__xludf.DUMMYFUNCTION("""COMPUTED_VALUE"""),"洪采甯")</f>
        <v>洪采甯</v>
      </c>
      <c r="D2129" s="16" t="str">
        <f>IFERROR(__xludf.DUMMYFUNCTION("""COMPUTED_VALUE"""),"106*****js.mlc.edu.tw")</f>
        <v>106*****js.mlc.edu.tw</v>
      </c>
      <c r="E2129" s="17" t="str">
        <f>IFERROR(__xludf.DUMMYFUNCTION("""COMPUTED_VALUE"""),"苗栗縣三義鄉建中國民小學")</f>
        <v>苗栗縣三義鄉建中國民小學</v>
      </c>
      <c r="F2129" s="14" t="str">
        <f>IFERROR(__xludf.DUMMYFUNCTION("""COMPUTED_VALUE"""),"六年級")</f>
        <v>六年級</v>
      </c>
      <c r="G2129" s="14" t="str">
        <f>IFERROR(__xludf.DUMMYFUNCTION("""COMPUTED_VALUE"""),"●小禮物")</f>
        <v>●小禮物</v>
      </c>
      <c r="H2129" s="8"/>
    </row>
    <row r="2130">
      <c r="A2130" s="18"/>
      <c r="B2130" s="14">
        <f>IFERROR(__xludf.DUMMYFUNCTION("""COMPUTED_VALUE"""),496606.0)</f>
        <v>496606</v>
      </c>
      <c r="C2130" s="14" t="str">
        <f>IFERROR(__xludf.DUMMYFUNCTION("""COMPUTED_VALUE"""),"孫榛吟")</f>
        <v>孫榛吟</v>
      </c>
      <c r="D2130" s="16" t="str">
        <f>IFERROR(__xludf.DUMMYFUNCTION("""COMPUTED_VALUE"""),"106*****js.mlc.edu.tw")</f>
        <v>106*****js.mlc.edu.tw</v>
      </c>
      <c r="E2130" s="17" t="str">
        <f>IFERROR(__xludf.DUMMYFUNCTION("""COMPUTED_VALUE"""),"苗栗縣三義鄉建中國民小學")</f>
        <v>苗栗縣三義鄉建中國民小學</v>
      </c>
      <c r="F2130" s="14" t="str">
        <f>IFERROR(__xludf.DUMMYFUNCTION("""COMPUTED_VALUE"""),"六年級")</f>
        <v>六年級</v>
      </c>
      <c r="G2130" s="14" t="str">
        <f>IFERROR(__xludf.DUMMYFUNCTION("""COMPUTED_VALUE"""),"●小禮物")</f>
        <v>●小禮物</v>
      </c>
      <c r="H2130" s="8"/>
    </row>
    <row r="2131">
      <c r="A2131" s="18"/>
      <c r="B2131" s="14">
        <f>IFERROR(__xludf.DUMMYFUNCTION("""COMPUTED_VALUE"""),518529.0)</f>
        <v>518529</v>
      </c>
      <c r="C2131" s="14" t="str">
        <f>IFERROR(__xludf.DUMMYFUNCTION("""COMPUTED_VALUE"""),"彭晨君")</f>
        <v>彭晨君</v>
      </c>
      <c r="D2131" s="16" t="str">
        <f>IFERROR(__xludf.DUMMYFUNCTION("""COMPUTED_VALUE"""),"106*****js.mlc.edu.tw")</f>
        <v>106*****js.mlc.edu.tw</v>
      </c>
      <c r="E2131" s="17" t="str">
        <f>IFERROR(__xludf.DUMMYFUNCTION("""COMPUTED_VALUE"""),"苗栗縣三義鄉建中國民小學")</f>
        <v>苗栗縣三義鄉建中國民小學</v>
      </c>
      <c r="F2131" s="14" t="str">
        <f>IFERROR(__xludf.DUMMYFUNCTION("""COMPUTED_VALUE"""),"六年級")</f>
        <v>六年級</v>
      </c>
      <c r="G2131" s="14" t="str">
        <f>IFERROR(__xludf.DUMMYFUNCTION("""COMPUTED_VALUE"""),"●小禮物")</f>
        <v>●小禮物</v>
      </c>
      <c r="H2131" s="8"/>
    </row>
    <row r="2132">
      <c r="A2132" s="18"/>
      <c r="B2132" s="14">
        <f>IFERROR(__xludf.DUMMYFUNCTION("""COMPUTED_VALUE"""),530612.0)</f>
        <v>530612</v>
      </c>
      <c r="C2132" s="14" t="str">
        <f>IFERROR(__xludf.DUMMYFUNCTION("""COMPUTED_VALUE"""),"賴郁昕")</f>
        <v>賴郁昕</v>
      </c>
      <c r="D2132" s="16" t="str">
        <f>IFERROR(__xludf.DUMMYFUNCTION("""COMPUTED_VALUE"""),"106*****js.mlc.edu.tw")</f>
        <v>106*****js.mlc.edu.tw</v>
      </c>
      <c r="E2132" s="17" t="str">
        <f>IFERROR(__xludf.DUMMYFUNCTION("""COMPUTED_VALUE"""),"苗栗縣三義鄉建中國民小學")</f>
        <v>苗栗縣三義鄉建中國民小學</v>
      </c>
      <c r="F2132" s="14" t="str">
        <f>IFERROR(__xludf.DUMMYFUNCTION("""COMPUTED_VALUE"""),"六年級")</f>
        <v>六年級</v>
      </c>
      <c r="G2132" s="14" t="str">
        <f>IFERROR(__xludf.DUMMYFUNCTION("""COMPUTED_VALUE"""),"●小禮物")</f>
        <v>●小禮物</v>
      </c>
      <c r="H2132" s="8"/>
    </row>
    <row r="2133">
      <c r="A2133" s="18"/>
      <c r="B2133" s="14">
        <f>IFERROR(__xludf.DUMMYFUNCTION("""COMPUTED_VALUE"""),518569.0)</f>
        <v>518569</v>
      </c>
      <c r="C2133" s="14" t="str">
        <f>IFERROR(__xludf.DUMMYFUNCTION("""COMPUTED_VALUE"""),"吳于安")</f>
        <v>吳于安</v>
      </c>
      <c r="D2133" s="16" t="str">
        <f>IFERROR(__xludf.DUMMYFUNCTION("""COMPUTED_VALUE"""),"106*****js.mlc.edu.tw")</f>
        <v>106*****js.mlc.edu.tw</v>
      </c>
      <c r="E2133" s="17" t="str">
        <f>IFERROR(__xludf.DUMMYFUNCTION("""COMPUTED_VALUE"""),"苗栗縣三義鄉建中國民小學")</f>
        <v>苗栗縣三義鄉建中國民小學</v>
      </c>
      <c r="F2133" s="14" t="str">
        <f>IFERROR(__xludf.DUMMYFUNCTION("""COMPUTED_VALUE"""),"六年級")</f>
        <v>六年級</v>
      </c>
      <c r="G2133" s="14" t="str">
        <f>IFERROR(__xludf.DUMMYFUNCTION("""COMPUTED_VALUE"""),"獎狀")</f>
        <v>獎狀</v>
      </c>
      <c r="H2133" s="8"/>
    </row>
    <row r="2134">
      <c r="A2134" s="18"/>
      <c r="B2134" s="14">
        <f>IFERROR(__xludf.DUMMYFUNCTION("""COMPUTED_VALUE"""),518585.0)</f>
        <v>518585</v>
      </c>
      <c r="C2134" s="14" t="str">
        <f>IFERROR(__xludf.DUMMYFUNCTION("""COMPUTED_VALUE"""),"邱喬渝")</f>
        <v>邱喬渝</v>
      </c>
      <c r="D2134" s="16" t="str">
        <f>IFERROR(__xludf.DUMMYFUNCTION("""COMPUTED_VALUE"""),"106*****js.mlc.edu.tw")</f>
        <v>106*****js.mlc.edu.tw</v>
      </c>
      <c r="E2134" s="17" t="str">
        <f>IFERROR(__xludf.DUMMYFUNCTION("""COMPUTED_VALUE"""),"苗栗縣三義鄉建中國民小學")</f>
        <v>苗栗縣三義鄉建中國民小學</v>
      </c>
      <c r="F2134" s="14" t="str">
        <f>IFERROR(__xludf.DUMMYFUNCTION("""COMPUTED_VALUE"""),"六年級")</f>
        <v>六年級</v>
      </c>
      <c r="G2134" s="14" t="str">
        <f>IFERROR(__xludf.DUMMYFUNCTION("""COMPUTED_VALUE"""),"獎狀")</f>
        <v>獎狀</v>
      </c>
      <c r="H2134" s="8"/>
    </row>
    <row r="2135">
      <c r="A2135" s="18"/>
      <c r="B2135" s="14">
        <f>IFERROR(__xludf.DUMMYFUNCTION("""COMPUTED_VALUE"""),530609.0)</f>
        <v>530609</v>
      </c>
      <c r="C2135" s="14" t="str">
        <f>IFERROR(__xludf.DUMMYFUNCTION("""COMPUTED_VALUE"""),"梁喭誠")</f>
        <v>梁喭誠</v>
      </c>
      <c r="D2135" s="16" t="str">
        <f>IFERROR(__xludf.DUMMYFUNCTION("""COMPUTED_VALUE"""),"106*****js.mlc.edu.tw")</f>
        <v>106*****js.mlc.edu.tw</v>
      </c>
      <c r="E2135" s="17" t="str">
        <f>IFERROR(__xludf.DUMMYFUNCTION("""COMPUTED_VALUE"""),"苗栗縣三義鄉建中國民小學")</f>
        <v>苗栗縣三義鄉建中國民小學</v>
      </c>
      <c r="F2135" s="14" t="str">
        <f>IFERROR(__xludf.DUMMYFUNCTION("""COMPUTED_VALUE"""),"六年級")</f>
        <v>六年級</v>
      </c>
      <c r="G2135" s="14" t="str">
        <f>IFERROR(__xludf.DUMMYFUNCTION("""COMPUTED_VALUE"""),"獎狀")</f>
        <v>獎狀</v>
      </c>
      <c r="H2135" s="8"/>
    </row>
    <row r="2136">
      <c r="A2136" s="18"/>
      <c r="B2136" s="14">
        <f>IFERROR(__xludf.DUMMYFUNCTION("""COMPUTED_VALUE"""),518549.0)</f>
        <v>518549</v>
      </c>
      <c r="C2136" s="14" t="str">
        <f>IFERROR(__xludf.DUMMYFUNCTION("""COMPUTED_VALUE"""),"葉沁沂")</f>
        <v>葉沁沂</v>
      </c>
      <c r="D2136" s="16" t="str">
        <f>IFERROR(__xludf.DUMMYFUNCTION("""COMPUTED_VALUE"""),"106*****js.mlc.edu.tw")</f>
        <v>106*****js.mlc.edu.tw</v>
      </c>
      <c r="E2136" s="17" t="str">
        <f>IFERROR(__xludf.DUMMYFUNCTION("""COMPUTED_VALUE"""),"苗栗縣三義鄉建中國民小學")</f>
        <v>苗栗縣三義鄉建中國民小學</v>
      </c>
      <c r="F2136" s="14" t="str">
        <f>IFERROR(__xludf.DUMMYFUNCTION("""COMPUTED_VALUE"""),"六年級")</f>
        <v>六年級</v>
      </c>
      <c r="G2136" s="14" t="str">
        <f>IFERROR(__xludf.DUMMYFUNCTION("""COMPUTED_VALUE"""),"獎狀")</f>
        <v>獎狀</v>
      </c>
      <c r="H2136" s="8"/>
    </row>
    <row r="2137">
      <c r="A2137" s="18"/>
      <c r="B2137" s="14">
        <f>IFERROR(__xludf.DUMMYFUNCTION("""COMPUTED_VALUE"""),518580.0)</f>
        <v>518580</v>
      </c>
      <c r="C2137" s="14" t="str">
        <f>IFERROR(__xludf.DUMMYFUNCTION("""COMPUTED_VALUE"""),"蘇詩芸")</f>
        <v>蘇詩芸</v>
      </c>
      <c r="D2137" s="16" t="str">
        <f>IFERROR(__xludf.DUMMYFUNCTION("""COMPUTED_VALUE"""),"106*****js.mlc.edu.tw")</f>
        <v>106*****js.mlc.edu.tw</v>
      </c>
      <c r="E2137" s="17" t="str">
        <f>IFERROR(__xludf.DUMMYFUNCTION("""COMPUTED_VALUE"""),"苗栗縣三義鄉建中國民小學")</f>
        <v>苗栗縣三義鄉建中國民小學</v>
      </c>
      <c r="F2137" s="14" t="str">
        <f>IFERROR(__xludf.DUMMYFUNCTION("""COMPUTED_VALUE"""),"六年級")</f>
        <v>六年級</v>
      </c>
      <c r="G2137" s="14" t="str">
        <f>IFERROR(__xludf.DUMMYFUNCTION("""COMPUTED_VALUE"""),"獎狀")</f>
        <v>獎狀</v>
      </c>
      <c r="H2137" s="8"/>
    </row>
    <row r="2138">
      <c r="A2138" s="18"/>
      <c r="B2138" s="14">
        <f>IFERROR(__xludf.DUMMYFUNCTION("""COMPUTED_VALUE"""),495841.0)</f>
        <v>495841</v>
      </c>
      <c r="C2138" s="14" t="str">
        <f>IFERROR(__xludf.DUMMYFUNCTION("""COMPUTED_VALUE"""),"王思涵")</f>
        <v>王思涵</v>
      </c>
      <c r="D2138" s="16" t="str">
        <f>IFERROR(__xludf.DUMMYFUNCTION("""COMPUTED_VALUE"""),"mlc*****2107006@mail.edu.tw")</f>
        <v>mlc*****2107006@mail.edu.tw</v>
      </c>
      <c r="E2138" s="17" t="str">
        <f>IFERROR(__xludf.DUMMYFUNCTION("""COMPUTED_VALUE"""),"苗栗縣卓蘭鎮內灣國民小學")</f>
        <v>苗栗縣卓蘭鎮內灣國民小學</v>
      </c>
      <c r="F2138" s="14" t="str">
        <f>IFERROR(__xludf.DUMMYFUNCTION("""COMPUTED_VALUE"""),"五年級")</f>
        <v>五年級</v>
      </c>
      <c r="G2138" s="14" t="str">
        <f>IFERROR(__xludf.DUMMYFUNCTION("""COMPUTED_VALUE"""),"●小禮物")</f>
        <v>●小禮物</v>
      </c>
      <c r="H2138" s="8"/>
    </row>
    <row r="2139">
      <c r="A2139" s="18"/>
      <c r="B2139" s="14">
        <f>IFERROR(__xludf.DUMMYFUNCTION("""COMPUTED_VALUE"""),495844.0)</f>
        <v>495844</v>
      </c>
      <c r="C2139" s="14" t="str">
        <f>IFERROR(__xludf.DUMMYFUNCTION("""COMPUTED_VALUE"""),"林亮岑")</f>
        <v>林亮岑</v>
      </c>
      <c r="D2139" s="16" t="str">
        <f>IFERROR(__xludf.DUMMYFUNCTION("""COMPUTED_VALUE"""),"mlc*****2107007@mail.edu.tw")</f>
        <v>mlc*****2107007@mail.edu.tw</v>
      </c>
      <c r="E2139" s="17" t="str">
        <f>IFERROR(__xludf.DUMMYFUNCTION("""COMPUTED_VALUE"""),"苗栗縣卓蘭鎮內灣國民小學")</f>
        <v>苗栗縣卓蘭鎮內灣國民小學</v>
      </c>
      <c r="F2139" s="14" t="str">
        <f>IFERROR(__xludf.DUMMYFUNCTION("""COMPUTED_VALUE"""),"五年級")</f>
        <v>五年級</v>
      </c>
      <c r="G2139" s="14" t="str">
        <f>IFERROR(__xludf.DUMMYFUNCTION("""COMPUTED_VALUE"""),"●小禮物")</f>
        <v>●小禮物</v>
      </c>
      <c r="H2139" s="8"/>
    </row>
    <row r="2140">
      <c r="A2140" s="18"/>
      <c r="B2140" s="14">
        <f>IFERROR(__xludf.DUMMYFUNCTION("""COMPUTED_VALUE"""),495778.0)</f>
        <v>495778</v>
      </c>
      <c r="C2140" s="14" t="str">
        <f>IFERROR(__xludf.DUMMYFUNCTION("""COMPUTED_VALUE"""),"詹俊宥")</f>
        <v>詹俊宥</v>
      </c>
      <c r="D2140" s="16" t="str">
        <f>IFERROR(__xludf.DUMMYFUNCTION("""COMPUTED_VALUE"""),"mlc*****2107003@mail.edu.tw")</f>
        <v>mlc*****2107003@mail.edu.tw</v>
      </c>
      <c r="E2140" s="17" t="str">
        <f>IFERROR(__xludf.DUMMYFUNCTION("""COMPUTED_VALUE"""),"苗栗縣卓蘭鎮內灣國民小學")</f>
        <v>苗栗縣卓蘭鎮內灣國民小學</v>
      </c>
      <c r="F2140" s="14" t="str">
        <f>IFERROR(__xludf.DUMMYFUNCTION("""COMPUTED_VALUE"""),"五年級")</f>
        <v>五年級</v>
      </c>
      <c r="G2140" s="14" t="str">
        <f>IFERROR(__xludf.DUMMYFUNCTION("""COMPUTED_VALUE"""),"●小禮物")</f>
        <v>●小禮物</v>
      </c>
      <c r="H2140" s="8"/>
    </row>
    <row r="2141">
      <c r="A2141" s="18"/>
      <c r="B2141" s="14">
        <f>IFERROR(__xludf.DUMMYFUNCTION("""COMPUTED_VALUE"""),445683.0)</f>
        <v>445683</v>
      </c>
      <c r="C2141" s="14" t="str">
        <f>IFERROR(__xludf.DUMMYFUNCTION("""COMPUTED_VALUE"""),"徐妤瑄")</f>
        <v>徐妤瑄</v>
      </c>
      <c r="D2141" s="16" t="str">
        <f>IFERROR(__xludf.DUMMYFUNCTION("""COMPUTED_VALUE"""),"gs1*****@mail.edu.tw")</f>
        <v>gs1*****@mail.edu.tw</v>
      </c>
      <c r="E2141" s="17" t="str">
        <f>IFERROR(__xludf.DUMMYFUNCTION("""COMPUTED_VALUE"""),"苗栗縣卓蘭鎮景山國民小學")</f>
        <v>苗栗縣卓蘭鎮景山國民小學</v>
      </c>
      <c r="F2141" s="14" t="str">
        <f>IFERROR(__xludf.DUMMYFUNCTION("""COMPUTED_VALUE"""),"五年級")</f>
        <v>五年級</v>
      </c>
      <c r="G2141" s="14" t="str">
        <f>IFERROR(__xludf.DUMMYFUNCTION("""COMPUTED_VALUE"""),"●小禮物")</f>
        <v>●小禮物</v>
      </c>
      <c r="H2141" s="8"/>
    </row>
    <row r="2142">
      <c r="A2142" s="18"/>
      <c r="B2142" s="14">
        <f>IFERROR(__xludf.DUMMYFUNCTION("""COMPUTED_VALUE"""),445681.0)</f>
        <v>445681</v>
      </c>
      <c r="C2142" s="14" t="str">
        <f>IFERROR(__xludf.DUMMYFUNCTION("""COMPUTED_VALUE"""),"黃偉庭")</f>
        <v>黃偉庭</v>
      </c>
      <c r="D2142" s="16" t="str">
        <f>IFERROR(__xludf.DUMMYFUNCTION("""COMPUTED_VALUE"""),"gs1*****@mail.edu.tw")</f>
        <v>gs1*****@mail.edu.tw</v>
      </c>
      <c r="E2142" s="17" t="str">
        <f>IFERROR(__xludf.DUMMYFUNCTION("""COMPUTED_VALUE"""),"苗栗縣卓蘭鎮景山國民小學")</f>
        <v>苗栗縣卓蘭鎮景山國民小學</v>
      </c>
      <c r="F2142" s="14" t="str">
        <f>IFERROR(__xludf.DUMMYFUNCTION("""COMPUTED_VALUE"""),"五年級")</f>
        <v>五年級</v>
      </c>
      <c r="G2142" s="14" t="str">
        <f>IFERROR(__xludf.DUMMYFUNCTION("""COMPUTED_VALUE"""),"●小禮物")</f>
        <v>●小禮物</v>
      </c>
      <c r="H2142" s="8"/>
    </row>
    <row r="2143">
      <c r="A2143" s="18"/>
      <c r="B2143" s="14">
        <f>IFERROR(__xludf.DUMMYFUNCTION("""COMPUTED_VALUE"""),445679.0)</f>
        <v>445679</v>
      </c>
      <c r="C2143" s="14" t="str">
        <f>IFERROR(__xludf.DUMMYFUNCTION("""COMPUTED_VALUE"""),"黃偉翔")</f>
        <v>黃偉翔</v>
      </c>
      <c r="D2143" s="16" t="str">
        <f>IFERROR(__xludf.DUMMYFUNCTION("""COMPUTED_VALUE"""),"gs0*****107001@mail.edu.tw")</f>
        <v>gs0*****107001@mail.edu.tw</v>
      </c>
      <c r="E2143" s="17" t="str">
        <f>IFERROR(__xludf.DUMMYFUNCTION("""COMPUTED_VALUE"""),"苗栗縣卓蘭鎮景山國民小學")</f>
        <v>苗栗縣卓蘭鎮景山國民小學</v>
      </c>
      <c r="F2143" s="14" t="str">
        <f>IFERROR(__xludf.DUMMYFUNCTION("""COMPUTED_VALUE"""),"五年級")</f>
        <v>五年級</v>
      </c>
      <c r="G2143" s="14" t="str">
        <f>IFERROR(__xludf.DUMMYFUNCTION("""COMPUTED_VALUE"""),"●小禮物")</f>
        <v>●小禮物</v>
      </c>
      <c r="H2143" s="8"/>
    </row>
    <row r="2144">
      <c r="A2144" s="18"/>
      <c r="B2144" s="14">
        <f>IFERROR(__xludf.DUMMYFUNCTION("""COMPUTED_VALUE"""),303723.0)</f>
        <v>303723</v>
      </c>
      <c r="C2144" s="14" t="str">
        <f>IFERROR(__xludf.DUMMYFUNCTION("""COMPUTED_VALUE"""),"詹鈞傑")</f>
        <v>詹鈞傑</v>
      </c>
      <c r="D2144" s="16" t="str">
        <f>IFERROR(__xludf.DUMMYFUNCTION("""COMPUTED_VALUE"""),"jak*****04@mail.edu.tw")</f>
        <v>jak*****04@mail.edu.tw</v>
      </c>
      <c r="E2144" s="17" t="str">
        <f>IFERROR(__xludf.DUMMYFUNCTION("""COMPUTED_VALUE"""),"苗栗縣卓蘭鎮景山國民小學")</f>
        <v>苗栗縣卓蘭鎮景山國民小學</v>
      </c>
      <c r="F2144" s="14" t="str">
        <f>IFERROR(__xludf.DUMMYFUNCTION("""COMPUTED_VALUE"""),"五年級")</f>
        <v>五年級</v>
      </c>
      <c r="G2144" s="14" t="str">
        <f>IFERROR(__xludf.DUMMYFUNCTION("""COMPUTED_VALUE"""),"獎狀")</f>
        <v>獎狀</v>
      </c>
      <c r="H2144" s="8"/>
    </row>
    <row r="2145">
      <c r="A2145" s="18"/>
      <c r="B2145" s="14">
        <f>IFERROR(__xludf.DUMMYFUNCTION("""COMPUTED_VALUE"""),445682.0)</f>
        <v>445682</v>
      </c>
      <c r="C2145" s="14" t="str">
        <f>IFERROR(__xludf.DUMMYFUNCTION("""COMPUTED_VALUE"""),"廖欣儀")</f>
        <v>廖欣儀</v>
      </c>
      <c r="D2145" s="16" t="str">
        <f>IFERROR(__xludf.DUMMYFUNCTION("""COMPUTED_VALUE"""),"gs1*****@mail.edu.tw")</f>
        <v>gs1*****@mail.edu.tw</v>
      </c>
      <c r="E2145" s="17" t="str">
        <f>IFERROR(__xludf.DUMMYFUNCTION("""COMPUTED_VALUE"""),"苗栗縣卓蘭鎮景山國民小學")</f>
        <v>苗栗縣卓蘭鎮景山國民小學</v>
      </c>
      <c r="F2145" s="14" t="str">
        <f>IFERROR(__xludf.DUMMYFUNCTION("""COMPUTED_VALUE"""),"五年級")</f>
        <v>五年級</v>
      </c>
      <c r="G2145" s="14" t="str">
        <f>IFERROR(__xludf.DUMMYFUNCTION("""COMPUTED_VALUE"""),"獎狀")</f>
        <v>獎狀</v>
      </c>
      <c r="H2145" s="8"/>
    </row>
    <row r="2146">
      <c r="A2146" s="18"/>
      <c r="B2146" s="14">
        <f>IFERROR(__xludf.DUMMYFUNCTION("""COMPUTED_VALUE"""),422842.0)</f>
        <v>422842</v>
      </c>
      <c r="C2146" s="14" t="str">
        <f>IFERROR(__xludf.DUMMYFUNCTION("""COMPUTED_VALUE"""),"陳家賢")</f>
        <v>陳家賢</v>
      </c>
      <c r="D2146" s="16" t="str">
        <f>IFERROR(__xludf.DUMMYFUNCTION("""COMPUTED_VALUE"""),"gs0*****106002@mail.edu.tw")</f>
        <v>gs0*****106002@mail.edu.tw</v>
      </c>
      <c r="E2146" s="17" t="str">
        <f>IFERROR(__xludf.DUMMYFUNCTION("""COMPUTED_VALUE"""),"苗栗縣卓蘭鎮景山國民小學")</f>
        <v>苗栗縣卓蘭鎮景山國民小學</v>
      </c>
      <c r="F2146" s="14" t="str">
        <f>IFERROR(__xludf.DUMMYFUNCTION("""COMPUTED_VALUE"""),"六年級")</f>
        <v>六年級</v>
      </c>
      <c r="G2146" s="14" t="str">
        <f>IFERROR(__xludf.DUMMYFUNCTION("""COMPUTED_VALUE"""),"獎狀")</f>
        <v>獎狀</v>
      </c>
      <c r="H2146" s="8"/>
    </row>
    <row r="2147">
      <c r="A2147" s="18"/>
      <c r="B2147" s="14">
        <f>IFERROR(__xludf.DUMMYFUNCTION("""COMPUTED_VALUE"""),422839.0)</f>
        <v>422839</v>
      </c>
      <c r="C2147" s="14" t="str">
        <f>IFERROR(__xludf.DUMMYFUNCTION("""COMPUTED_VALUE"""),"黃仁杰")</f>
        <v>黃仁杰</v>
      </c>
      <c r="D2147" s="16" t="str">
        <f>IFERROR(__xludf.DUMMYFUNCTION("""COMPUTED_VALUE"""),"gs0*****106001@mail.edu.tw")</f>
        <v>gs0*****106001@mail.edu.tw</v>
      </c>
      <c r="E2147" s="17" t="str">
        <f>IFERROR(__xludf.DUMMYFUNCTION("""COMPUTED_VALUE"""),"苗栗縣卓蘭鎮景山國民小學")</f>
        <v>苗栗縣卓蘭鎮景山國民小學</v>
      </c>
      <c r="F2147" s="14" t="str">
        <f>IFERROR(__xludf.DUMMYFUNCTION("""COMPUTED_VALUE"""),"六年級")</f>
        <v>六年級</v>
      </c>
      <c r="G2147" s="14" t="str">
        <f>IFERROR(__xludf.DUMMYFUNCTION("""COMPUTED_VALUE"""),"獎狀")</f>
        <v>獎狀</v>
      </c>
      <c r="H2147" s="8"/>
    </row>
    <row r="2148">
      <c r="A2148" s="18"/>
      <c r="B2148" s="14">
        <f>IFERROR(__xludf.DUMMYFUNCTION("""COMPUTED_VALUE"""),422843.0)</f>
        <v>422843</v>
      </c>
      <c r="C2148" s="14" t="str">
        <f>IFERROR(__xludf.DUMMYFUNCTION("""COMPUTED_VALUE"""),"謝嘉軒")</f>
        <v>謝嘉軒</v>
      </c>
      <c r="D2148" s="16" t="str">
        <f>IFERROR(__xludf.DUMMYFUNCTION("""COMPUTED_VALUE"""),"gs0*****106003@mail.edu.tw")</f>
        <v>gs0*****106003@mail.edu.tw</v>
      </c>
      <c r="E2148" s="17" t="str">
        <f>IFERROR(__xludf.DUMMYFUNCTION("""COMPUTED_VALUE"""),"苗栗縣卓蘭鎮景山國民小學")</f>
        <v>苗栗縣卓蘭鎮景山國民小學</v>
      </c>
      <c r="F2148" s="14" t="str">
        <f>IFERROR(__xludf.DUMMYFUNCTION("""COMPUTED_VALUE"""),"六年級")</f>
        <v>六年級</v>
      </c>
      <c r="G2148" s="14" t="str">
        <f>IFERROR(__xludf.DUMMYFUNCTION("""COMPUTED_VALUE"""),"獎狀")</f>
        <v>獎狀</v>
      </c>
      <c r="H2148" s="8"/>
    </row>
    <row r="2149">
      <c r="A2149" s="18"/>
      <c r="B2149" s="14">
        <f>IFERROR(__xludf.DUMMYFUNCTION("""COMPUTED_VALUE"""),951350.0)</f>
        <v>951350</v>
      </c>
      <c r="C2149" s="14" t="str">
        <f>IFERROR(__xludf.DUMMYFUNCTION("""COMPUTED_VALUE"""),"林玟邑")</f>
        <v>林玟邑</v>
      </c>
      <c r="D2149" s="16" t="str">
        <f>IFERROR(__xludf.DUMMYFUNCTION("""COMPUTED_VALUE"""),"107*****les.mlc.edu.tw")</f>
        <v>107*****les.mlc.edu.tw</v>
      </c>
      <c r="E2149" s="17" t="str">
        <f>IFERROR(__xludf.DUMMYFUNCTION("""COMPUTED_VALUE"""),"苗栗縣卓蘭鎮卓蘭國民小學")</f>
        <v>苗栗縣卓蘭鎮卓蘭國民小學</v>
      </c>
      <c r="F2149" s="14" t="str">
        <f>IFERROR(__xludf.DUMMYFUNCTION("""COMPUTED_VALUE"""),"五年級")</f>
        <v>五年級</v>
      </c>
      <c r="G2149" s="14" t="str">
        <f>IFERROR(__xludf.DUMMYFUNCTION("""COMPUTED_VALUE"""),"獎狀")</f>
        <v>獎狀</v>
      </c>
      <c r="H2149" s="8"/>
    </row>
    <row r="2150">
      <c r="A2150" s="18"/>
      <c r="B2150" s="14">
        <f>IFERROR(__xludf.DUMMYFUNCTION("""COMPUTED_VALUE"""),485946.0)</f>
        <v>485946</v>
      </c>
      <c r="C2150" s="14" t="str">
        <f>IFERROR(__xludf.DUMMYFUNCTION("""COMPUTED_VALUE"""),"江瑀晨")</f>
        <v>江瑀晨</v>
      </c>
      <c r="D2150" s="16" t="str">
        <f>IFERROR(__xludf.DUMMYFUNCTION("""COMPUTED_VALUE"""),"fte*****11@mail.edu.tw")</f>
        <v>fte*****11@mail.edu.tw</v>
      </c>
      <c r="E2150" s="17" t="str">
        <f>IFERROR(__xludf.DUMMYFUNCTION("""COMPUTED_VALUE"""),"苗栗縣卓蘭鎮豐田國民小學")</f>
        <v>苗栗縣卓蘭鎮豐田國民小學</v>
      </c>
      <c r="F2150" s="14" t="str">
        <f>IFERROR(__xludf.DUMMYFUNCTION("""COMPUTED_VALUE"""),"五年級")</f>
        <v>五年級</v>
      </c>
      <c r="G2150" s="14" t="str">
        <f>IFERROR(__xludf.DUMMYFUNCTION("""COMPUTED_VALUE"""),"●小禮物")</f>
        <v>●小禮物</v>
      </c>
      <c r="H2150" s="8"/>
    </row>
    <row r="2151">
      <c r="A2151" s="18"/>
      <c r="B2151" s="14">
        <f>IFERROR(__xludf.DUMMYFUNCTION("""COMPUTED_VALUE"""),485927.0)</f>
        <v>485927</v>
      </c>
      <c r="C2151" s="14" t="str">
        <f>IFERROR(__xludf.DUMMYFUNCTION("""COMPUTED_VALUE"""),"黃丞毅")</f>
        <v>黃丞毅</v>
      </c>
      <c r="D2151" s="16" t="str">
        <f>IFERROR(__xludf.DUMMYFUNCTION("""COMPUTED_VALUE"""),"fte*****2164001@mail.edu.tw")</f>
        <v>fte*****2164001@mail.edu.tw</v>
      </c>
      <c r="E2151" s="17" t="str">
        <f>IFERROR(__xludf.DUMMYFUNCTION("""COMPUTED_VALUE"""),"苗栗縣卓蘭鎮豐田國民小學")</f>
        <v>苗栗縣卓蘭鎮豐田國民小學</v>
      </c>
      <c r="F2151" s="14" t="str">
        <f>IFERROR(__xludf.DUMMYFUNCTION("""COMPUTED_VALUE"""),"五年級")</f>
        <v>五年級</v>
      </c>
      <c r="G2151" s="14" t="str">
        <f>IFERROR(__xludf.DUMMYFUNCTION("""COMPUTED_VALUE"""),"●小禮物")</f>
        <v>●小禮物</v>
      </c>
      <c r="H2151" s="8"/>
    </row>
    <row r="2152">
      <c r="A2152" s="18"/>
      <c r="B2152" s="14">
        <f>IFERROR(__xludf.DUMMYFUNCTION("""COMPUTED_VALUE"""),485933.0)</f>
        <v>485933</v>
      </c>
      <c r="C2152" s="14" t="str">
        <f>IFERROR(__xludf.DUMMYFUNCTION("""COMPUTED_VALUE"""),"黃柏文")</f>
        <v>黃柏文</v>
      </c>
      <c r="D2152" s="16" t="str">
        <f>IFERROR(__xludf.DUMMYFUNCTION("""COMPUTED_VALUE"""),"fte*****03@mail.edu.tw")</f>
        <v>fte*****03@mail.edu.tw</v>
      </c>
      <c r="E2152" s="17" t="str">
        <f>IFERROR(__xludf.DUMMYFUNCTION("""COMPUTED_VALUE"""),"苗栗縣卓蘭鎮豐田國民小學")</f>
        <v>苗栗縣卓蘭鎮豐田國民小學</v>
      </c>
      <c r="F2152" s="14" t="str">
        <f>IFERROR(__xludf.DUMMYFUNCTION("""COMPUTED_VALUE"""),"五年級")</f>
        <v>五年級</v>
      </c>
      <c r="G2152" s="14" t="str">
        <f>IFERROR(__xludf.DUMMYFUNCTION("""COMPUTED_VALUE"""),"●小禮物")</f>
        <v>●小禮物</v>
      </c>
      <c r="H2152" s="8"/>
    </row>
    <row r="2153">
      <c r="A2153" s="18"/>
      <c r="B2153" s="14">
        <f>IFERROR(__xludf.DUMMYFUNCTION("""COMPUTED_VALUE"""),485935.0)</f>
        <v>485935</v>
      </c>
      <c r="C2153" s="14" t="str">
        <f>IFERROR(__xludf.DUMMYFUNCTION("""COMPUTED_VALUE"""),"詹朝欽")</f>
        <v>詹朝欽</v>
      </c>
      <c r="D2153" s="16" t="str">
        <f>IFERROR(__xludf.DUMMYFUNCTION("""COMPUTED_VALUE"""),"fte*****07@mail.edu.tw")</f>
        <v>fte*****07@mail.edu.tw</v>
      </c>
      <c r="E2153" s="17" t="str">
        <f>IFERROR(__xludf.DUMMYFUNCTION("""COMPUTED_VALUE"""),"苗栗縣卓蘭鎮豐田國民小學")</f>
        <v>苗栗縣卓蘭鎮豐田國民小學</v>
      </c>
      <c r="F2153" s="14" t="str">
        <f>IFERROR(__xludf.DUMMYFUNCTION("""COMPUTED_VALUE"""),"五年級")</f>
        <v>五年級</v>
      </c>
      <c r="G2153" s="14" t="str">
        <f>IFERROR(__xludf.DUMMYFUNCTION("""COMPUTED_VALUE"""),"●小禮物")</f>
        <v>●小禮物</v>
      </c>
      <c r="H2153" s="8"/>
    </row>
    <row r="2154">
      <c r="A2154" s="18"/>
      <c r="B2154" s="14">
        <f>IFERROR(__xludf.DUMMYFUNCTION("""COMPUTED_VALUE"""),485930.0)</f>
        <v>485930</v>
      </c>
      <c r="C2154" s="14" t="str">
        <f>IFERROR(__xludf.DUMMYFUNCTION("""COMPUTED_VALUE"""),"徐瑋家")</f>
        <v>徐瑋家</v>
      </c>
      <c r="D2154" s="16" t="str">
        <f>IFERROR(__xludf.DUMMYFUNCTION("""COMPUTED_VALUE"""),"fte*****02@mail.edu.tw")</f>
        <v>fte*****02@mail.edu.tw</v>
      </c>
      <c r="E2154" s="17" t="str">
        <f>IFERROR(__xludf.DUMMYFUNCTION("""COMPUTED_VALUE"""),"苗栗縣卓蘭鎮豐田國民小學")</f>
        <v>苗栗縣卓蘭鎮豐田國民小學</v>
      </c>
      <c r="F2154" s="14" t="str">
        <f>IFERROR(__xludf.DUMMYFUNCTION("""COMPUTED_VALUE"""),"五年級")</f>
        <v>五年級</v>
      </c>
      <c r="G2154" s="14" t="str">
        <f>IFERROR(__xludf.DUMMYFUNCTION("""COMPUTED_VALUE"""),"獎狀")</f>
        <v>獎狀</v>
      </c>
      <c r="H2154" s="8"/>
    </row>
    <row r="2155">
      <c r="A2155" s="18"/>
      <c r="B2155" s="14">
        <f>IFERROR(__xludf.DUMMYFUNCTION("""COMPUTED_VALUE"""),485936.0)</f>
        <v>485936</v>
      </c>
      <c r="C2155" s="14" t="str">
        <f>IFERROR(__xludf.DUMMYFUNCTION("""COMPUTED_VALUE"""),"張雅翎")</f>
        <v>張雅翎</v>
      </c>
      <c r="D2155" s="16" t="str">
        <f>IFERROR(__xludf.DUMMYFUNCTION("""COMPUTED_VALUE"""),"fte*****08@mail.edu.tw")</f>
        <v>fte*****08@mail.edu.tw</v>
      </c>
      <c r="E2155" s="17" t="str">
        <f>IFERROR(__xludf.DUMMYFUNCTION("""COMPUTED_VALUE"""),"苗栗縣卓蘭鎮豐田國民小學")</f>
        <v>苗栗縣卓蘭鎮豐田國民小學</v>
      </c>
      <c r="F2155" s="14" t="str">
        <f>IFERROR(__xludf.DUMMYFUNCTION("""COMPUTED_VALUE"""),"五年級")</f>
        <v>五年級</v>
      </c>
      <c r="G2155" s="14" t="str">
        <f>IFERROR(__xludf.DUMMYFUNCTION("""COMPUTED_VALUE"""),"獎狀")</f>
        <v>獎狀</v>
      </c>
      <c r="H2155" s="8"/>
    </row>
    <row r="2156">
      <c r="A2156" s="18"/>
      <c r="B2156" s="14">
        <f>IFERROR(__xludf.DUMMYFUNCTION("""COMPUTED_VALUE"""),485934.0)</f>
        <v>485934</v>
      </c>
      <c r="C2156" s="14" t="str">
        <f>IFERROR(__xludf.DUMMYFUNCTION("""COMPUTED_VALUE"""),"陳秉程")</f>
        <v>陳秉程</v>
      </c>
      <c r="D2156" s="16" t="str">
        <f>IFERROR(__xludf.DUMMYFUNCTION("""COMPUTED_VALUE"""),"fte*****05@mail.edu.tw")</f>
        <v>fte*****05@mail.edu.tw</v>
      </c>
      <c r="E2156" s="17" t="str">
        <f>IFERROR(__xludf.DUMMYFUNCTION("""COMPUTED_VALUE"""),"苗栗縣卓蘭鎮豐田國民小學")</f>
        <v>苗栗縣卓蘭鎮豐田國民小學</v>
      </c>
      <c r="F2156" s="14" t="str">
        <f>IFERROR(__xludf.DUMMYFUNCTION("""COMPUTED_VALUE"""),"五年級")</f>
        <v>五年級</v>
      </c>
      <c r="G2156" s="14" t="str">
        <f>IFERROR(__xludf.DUMMYFUNCTION("""COMPUTED_VALUE"""),"獎狀")</f>
        <v>獎狀</v>
      </c>
      <c r="H2156" s="8"/>
    </row>
    <row r="2157">
      <c r="A2157" s="18"/>
      <c r="B2157" s="14">
        <f>IFERROR(__xludf.DUMMYFUNCTION("""COMPUTED_VALUE"""),485939.0)</f>
        <v>485939</v>
      </c>
      <c r="C2157" s="14" t="str">
        <f>IFERROR(__xludf.DUMMYFUNCTION("""COMPUTED_VALUE"""),"黃琳媜")</f>
        <v>黃琳媜</v>
      </c>
      <c r="D2157" s="16" t="str">
        <f>IFERROR(__xludf.DUMMYFUNCTION("""COMPUTED_VALUE"""),"fte*****09@mail.edu.tw")</f>
        <v>fte*****09@mail.edu.tw</v>
      </c>
      <c r="E2157" s="17" t="str">
        <f>IFERROR(__xludf.DUMMYFUNCTION("""COMPUTED_VALUE"""),"苗栗縣卓蘭鎮豐田國民小學")</f>
        <v>苗栗縣卓蘭鎮豐田國民小學</v>
      </c>
      <c r="F2157" s="14" t="str">
        <f>IFERROR(__xludf.DUMMYFUNCTION("""COMPUTED_VALUE"""),"五年級")</f>
        <v>五年級</v>
      </c>
      <c r="G2157" s="14" t="str">
        <f>IFERROR(__xludf.DUMMYFUNCTION("""COMPUTED_VALUE"""),"獎狀")</f>
        <v>獎狀</v>
      </c>
      <c r="H2157" s="8"/>
    </row>
    <row r="2158">
      <c r="A2158" s="18"/>
      <c r="B2158" s="14">
        <f>IFERROR(__xludf.DUMMYFUNCTION("""COMPUTED_VALUE"""),485964.0)</f>
        <v>485964</v>
      </c>
      <c r="C2158" s="14" t="str">
        <f>IFERROR(__xludf.DUMMYFUNCTION("""COMPUTED_VALUE"""),"詹瑀歆")</f>
        <v>詹瑀歆</v>
      </c>
      <c r="D2158" s="16" t="str">
        <f>IFERROR(__xludf.DUMMYFUNCTION("""COMPUTED_VALUE"""),"fte*****13@mail.edu.tw")</f>
        <v>fte*****13@mail.edu.tw</v>
      </c>
      <c r="E2158" s="17" t="str">
        <f>IFERROR(__xludf.DUMMYFUNCTION("""COMPUTED_VALUE"""),"苗栗縣卓蘭鎮豐田國民小學")</f>
        <v>苗栗縣卓蘭鎮豐田國民小學</v>
      </c>
      <c r="F2158" s="14" t="str">
        <f>IFERROR(__xludf.DUMMYFUNCTION("""COMPUTED_VALUE"""),"五年級")</f>
        <v>五年級</v>
      </c>
      <c r="G2158" s="14" t="str">
        <f>IFERROR(__xludf.DUMMYFUNCTION("""COMPUTED_VALUE"""),"獎狀")</f>
        <v>獎狀</v>
      </c>
      <c r="H2158" s="8"/>
    </row>
    <row r="2159">
      <c r="A2159" s="18"/>
      <c r="B2159" s="14">
        <f>IFERROR(__xludf.DUMMYFUNCTION("""COMPUTED_VALUE"""),485950.0)</f>
        <v>485950</v>
      </c>
      <c r="C2159" s="14" t="str">
        <f>IFERROR(__xludf.DUMMYFUNCTION("""COMPUTED_VALUE"""),"詹璨美")</f>
        <v>詹璨美</v>
      </c>
      <c r="D2159" s="16" t="str">
        <f>IFERROR(__xludf.DUMMYFUNCTION("""COMPUTED_VALUE"""),"fte*****12@mail.edu.tw")</f>
        <v>fte*****12@mail.edu.tw</v>
      </c>
      <c r="E2159" s="17" t="str">
        <f>IFERROR(__xludf.DUMMYFUNCTION("""COMPUTED_VALUE"""),"苗栗縣卓蘭鎮豐田國民小學")</f>
        <v>苗栗縣卓蘭鎮豐田國民小學</v>
      </c>
      <c r="F2159" s="14" t="str">
        <f>IFERROR(__xludf.DUMMYFUNCTION("""COMPUTED_VALUE"""),"五年級")</f>
        <v>五年級</v>
      </c>
      <c r="G2159" s="14" t="str">
        <f>IFERROR(__xludf.DUMMYFUNCTION("""COMPUTED_VALUE"""),"獎狀")</f>
        <v>獎狀</v>
      </c>
      <c r="H2159" s="8"/>
    </row>
    <row r="2160">
      <c r="A2160" s="18"/>
      <c r="B2160" s="14">
        <f>IFERROR(__xludf.DUMMYFUNCTION("""COMPUTED_VALUE"""),485941.0)</f>
        <v>485941</v>
      </c>
      <c r="C2160" s="14" t="str">
        <f>IFERROR(__xludf.DUMMYFUNCTION("""COMPUTED_VALUE"""),"謝炘芮")</f>
        <v>謝炘芮</v>
      </c>
      <c r="D2160" s="16" t="str">
        <f>IFERROR(__xludf.DUMMYFUNCTION("""COMPUTED_VALUE"""),"fte*****10@mail.edu.tw")</f>
        <v>fte*****10@mail.edu.tw</v>
      </c>
      <c r="E2160" s="17" t="str">
        <f>IFERROR(__xludf.DUMMYFUNCTION("""COMPUTED_VALUE"""),"苗栗縣卓蘭鎮豐田國民小學")</f>
        <v>苗栗縣卓蘭鎮豐田國民小學</v>
      </c>
      <c r="F2160" s="14" t="str">
        <f>IFERROR(__xludf.DUMMYFUNCTION("""COMPUTED_VALUE"""),"五年級")</f>
        <v>五年級</v>
      </c>
      <c r="G2160" s="14" t="str">
        <f>IFERROR(__xludf.DUMMYFUNCTION("""COMPUTED_VALUE"""),"獎狀")</f>
        <v>獎狀</v>
      </c>
      <c r="H2160" s="8"/>
    </row>
    <row r="2161">
      <c r="A2161" s="18"/>
      <c r="B2161" s="14">
        <f>IFERROR(__xludf.DUMMYFUNCTION("""COMPUTED_VALUE"""),484842.0)</f>
        <v>484842</v>
      </c>
      <c r="C2161" s="14" t="str">
        <f>IFERROR(__xludf.DUMMYFUNCTION("""COMPUTED_VALUE"""),"劉珮妤")</f>
        <v>劉珮妤</v>
      </c>
      <c r="D2161" s="16" t="str">
        <f>IFERROR(__xludf.DUMMYFUNCTION("""COMPUTED_VALUE"""),"fte*****08@mail.edu.tw")</f>
        <v>fte*****08@mail.edu.tw</v>
      </c>
      <c r="E2161" s="17" t="str">
        <f>IFERROR(__xludf.DUMMYFUNCTION("""COMPUTED_VALUE"""),"苗栗縣卓蘭鎮豐田國民小學")</f>
        <v>苗栗縣卓蘭鎮豐田國民小學</v>
      </c>
      <c r="F2161" s="14" t="str">
        <f>IFERROR(__xludf.DUMMYFUNCTION("""COMPUTED_VALUE"""),"六年級")</f>
        <v>六年級</v>
      </c>
      <c r="G2161" s="14" t="str">
        <f>IFERROR(__xludf.DUMMYFUNCTION("""COMPUTED_VALUE"""),"●小禮物")</f>
        <v>●小禮物</v>
      </c>
      <c r="H2161" s="8"/>
    </row>
    <row r="2162">
      <c r="A2162" s="18"/>
      <c r="B2162" s="14">
        <f>IFERROR(__xludf.DUMMYFUNCTION("""COMPUTED_VALUE"""),484818.0)</f>
        <v>484818</v>
      </c>
      <c r="C2162" s="14" t="str">
        <f>IFERROR(__xludf.DUMMYFUNCTION("""COMPUTED_VALUE"""),"吳尚澄")</f>
        <v>吳尚澄</v>
      </c>
      <c r="D2162" s="16" t="str">
        <f>IFERROR(__xludf.DUMMYFUNCTION("""COMPUTED_VALUE"""),"fte*****01@mail.edu.tw")</f>
        <v>fte*****01@mail.edu.tw</v>
      </c>
      <c r="E2162" s="17" t="str">
        <f>IFERROR(__xludf.DUMMYFUNCTION("""COMPUTED_VALUE"""),"苗栗縣卓蘭鎮豐田國民小學")</f>
        <v>苗栗縣卓蘭鎮豐田國民小學</v>
      </c>
      <c r="F2162" s="14" t="str">
        <f>IFERROR(__xludf.DUMMYFUNCTION("""COMPUTED_VALUE"""),"六年級")</f>
        <v>六年級</v>
      </c>
      <c r="G2162" s="14" t="str">
        <f>IFERROR(__xludf.DUMMYFUNCTION("""COMPUTED_VALUE"""),"獎狀")</f>
        <v>獎狀</v>
      </c>
      <c r="H2162" s="8"/>
    </row>
    <row r="2163">
      <c r="A2163" s="18"/>
      <c r="B2163" s="14">
        <f>IFERROR(__xludf.DUMMYFUNCTION("""COMPUTED_VALUE"""),484852.0)</f>
        <v>484852</v>
      </c>
      <c r="C2163" s="14" t="str">
        <f>IFERROR(__xludf.DUMMYFUNCTION("""COMPUTED_VALUE"""),"李佳薇")</f>
        <v>李佳薇</v>
      </c>
      <c r="D2163" s="16" t="str">
        <f>IFERROR(__xludf.DUMMYFUNCTION("""COMPUTED_VALUE"""),"fte*****10@mail.edu.tw")</f>
        <v>fte*****10@mail.edu.tw</v>
      </c>
      <c r="E2163" s="17" t="str">
        <f>IFERROR(__xludf.DUMMYFUNCTION("""COMPUTED_VALUE"""),"苗栗縣卓蘭鎮豐田國民小學")</f>
        <v>苗栗縣卓蘭鎮豐田國民小學</v>
      </c>
      <c r="F2163" s="14" t="str">
        <f>IFERROR(__xludf.DUMMYFUNCTION("""COMPUTED_VALUE"""),"六年級")</f>
        <v>六年級</v>
      </c>
      <c r="G2163" s="14" t="str">
        <f>IFERROR(__xludf.DUMMYFUNCTION("""COMPUTED_VALUE"""),"獎狀")</f>
        <v>獎狀</v>
      </c>
      <c r="H2163" s="8"/>
    </row>
    <row r="2164">
      <c r="A2164" s="18"/>
      <c r="B2164" s="14">
        <f>IFERROR(__xludf.DUMMYFUNCTION("""COMPUTED_VALUE"""),484823.0)</f>
        <v>484823</v>
      </c>
      <c r="C2164" s="14" t="str">
        <f>IFERROR(__xludf.DUMMYFUNCTION("""COMPUTED_VALUE"""),"徐立銘")</f>
        <v>徐立銘</v>
      </c>
      <c r="D2164" s="16" t="str">
        <f>IFERROR(__xludf.DUMMYFUNCTION("""COMPUTED_VALUE"""),"fte*****04@mail.edu.tw")</f>
        <v>fte*****04@mail.edu.tw</v>
      </c>
      <c r="E2164" s="17" t="str">
        <f>IFERROR(__xludf.DUMMYFUNCTION("""COMPUTED_VALUE"""),"苗栗縣卓蘭鎮豐田國民小學")</f>
        <v>苗栗縣卓蘭鎮豐田國民小學</v>
      </c>
      <c r="F2164" s="14" t="str">
        <f>IFERROR(__xludf.DUMMYFUNCTION("""COMPUTED_VALUE"""),"六年級")</f>
        <v>六年級</v>
      </c>
      <c r="G2164" s="14" t="str">
        <f>IFERROR(__xludf.DUMMYFUNCTION("""COMPUTED_VALUE"""),"獎狀")</f>
        <v>獎狀</v>
      </c>
      <c r="H2164" s="8"/>
    </row>
    <row r="2165">
      <c r="A2165" s="18"/>
      <c r="B2165" s="14">
        <f>IFERROR(__xludf.DUMMYFUNCTION("""COMPUTED_VALUE"""),484853.0)</f>
        <v>484853</v>
      </c>
      <c r="C2165" s="14" t="str">
        <f>IFERROR(__xludf.DUMMYFUNCTION("""COMPUTED_VALUE"""),"連伊岑")</f>
        <v>連伊岑</v>
      </c>
      <c r="D2165" s="16" t="str">
        <f>IFERROR(__xludf.DUMMYFUNCTION("""COMPUTED_VALUE"""),"fte*****11@mail.edu.tw")</f>
        <v>fte*****11@mail.edu.tw</v>
      </c>
      <c r="E2165" s="17" t="str">
        <f>IFERROR(__xludf.DUMMYFUNCTION("""COMPUTED_VALUE"""),"苗栗縣卓蘭鎮豐田國民小學")</f>
        <v>苗栗縣卓蘭鎮豐田國民小學</v>
      </c>
      <c r="F2165" s="14" t="str">
        <f>IFERROR(__xludf.DUMMYFUNCTION("""COMPUTED_VALUE"""),"六年級")</f>
        <v>六年級</v>
      </c>
      <c r="G2165" s="14" t="str">
        <f>IFERROR(__xludf.DUMMYFUNCTION("""COMPUTED_VALUE"""),"獎狀")</f>
        <v>獎狀</v>
      </c>
      <c r="H2165" s="8"/>
    </row>
    <row r="2166">
      <c r="A2166" s="18"/>
      <c r="B2166" s="14">
        <f>IFERROR(__xludf.DUMMYFUNCTION("""COMPUTED_VALUE"""),484836.0)</f>
        <v>484836</v>
      </c>
      <c r="C2166" s="14" t="str">
        <f>IFERROR(__xludf.DUMMYFUNCTION("""COMPUTED_VALUE"""),"蔡沛樺")</f>
        <v>蔡沛樺</v>
      </c>
      <c r="D2166" s="16" t="str">
        <f>IFERROR(__xludf.DUMMYFUNCTION("""COMPUTED_VALUE"""),"fte*****07@mail.edu.tw")</f>
        <v>fte*****07@mail.edu.tw</v>
      </c>
      <c r="E2166" s="17" t="str">
        <f>IFERROR(__xludf.DUMMYFUNCTION("""COMPUTED_VALUE"""),"苗栗縣卓蘭鎮豐田國民小學")</f>
        <v>苗栗縣卓蘭鎮豐田國民小學</v>
      </c>
      <c r="F2166" s="14" t="str">
        <f>IFERROR(__xludf.DUMMYFUNCTION("""COMPUTED_VALUE"""),"六年級")</f>
        <v>六年級</v>
      </c>
      <c r="G2166" s="14" t="str">
        <f>IFERROR(__xludf.DUMMYFUNCTION("""COMPUTED_VALUE"""),"獎狀")</f>
        <v>獎狀</v>
      </c>
      <c r="H2166" s="8"/>
    </row>
    <row r="2167">
      <c r="A2167" s="18"/>
      <c r="B2167" s="14">
        <f>IFERROR(__xludf.DUMMYFUNCTION("""COMPUTED_VALUE"""),484849.0)</f>
        <v>484849</v>
      </c>
      <c r="C2167" s="14" t="str">
        <f>IFERROR(__xludf.DUMMYFUNCTION("""COMPUTED_VALUE"""),"賴沂岑")</f>
        <v>賴沂岑</v>
      </c>
      <c r="D2167" s="16" t="str">
        <f>IFERROR(__xludf.DUMMYFUNCTION("""COMPUTED_VALUE"""),"fte*****09@mail.edu.tw")</f>
        <v>fte*****09@mail.edu.tw</v>
      </c>
      <c r="E2167" s="17" t="str">
        <f>IFERROR(__xludf.DUMMYFUNCTION("""COMPUTED_VALUE"""),"苗栗縣卓蘭鎮豐田國民小學")</f>
        <v>苗栗縣卓蘭鎮豐田國民小學</v>
      </c>
      <c r="F2167" s="14" t="str">
        <f>IFERROR(__xludf.DUMMYFUNCTION("""COMPUTED_VALUE"""),"六年級")</f>
        <v>六年級</v>
      </c>
      <c r="G2167" s="14" t="str">
        <f>IFERROR(__xludf.DUMMYFUNCTION("""COMPUTED_VALUE"""),"獎狀")</f>
        <v>獎狀</v>
      </c>
      <c r="H2167" s="8"/>
    </row>
    <row r="2168">
      <c r="A2168" s="18"/>
      <c r="B2168" s="14">
        <f>IFERROR(__xludf.DUMMYFUNCTION("""COMPUTED_VALUE"""),1192929.0)</f>
        <v>1192929</v>
      </c>
      <c r="C2168" s="14" t="str">
        <f>IFERROR(__xludf.DUMMYFUNCTION("""COMPUTED_VALUE"""),"孫曼薰")</f>
        <v>孫曼薰</v>
      </c>
      <c r="D2168" s="16" t="str">
        <f>IFERROR(__xludf.DUMMYFUNCTION("""COMPUTED_VALUE"""),"emm*****mail.edu.tw")</f>
        <v>emm*****mail.edu.tw</v>
      </c>
      <c r="E2168" s="17" t="str">
        <f>IFERROR(__xludf.DUMMYFUNCTION("""COMPUTED_VALUE"""),"臺中市東區力行國民小學")</f>
        <v>臺中市東區力行國民小學</v>
      </c>
      <c r="F2168" s="14" t="str">
        <f>IFERROR(__xludf.DUMMYFUNCTION("""COMPUTED_VALUE"""),"三年級")</f>
        <v>三年級</v>
      </c>
      <c r="G2168" s="14" t="str">
        <f>IFERROR(__xludf.DUMMYFUNCTION("""COMPUTED_VALUE"""),"獎狀")</f>
        <v>獎狀</v>
      </c>
      <c r="H2168" s="8"/>
    </row>
    <row r="2169">
      <c r="A2169" s="18"/>
      <c r="B2169" s="14">
        <f>IFERROR(__xludf.DUMMYFUNCTION("""COMPUTED_VALUE"""),1134675.0)</f>
        <v>1134675</v>
      </c>
      <c r="C2169" s="14" t="str">
        <f>IFERROR(__xludf.DUMMYFUNCTION("""COMPUTED_VALUE"""),"田成典")</f>
        <v>田成典</v>
      </c>
      <c r="D2169" s="16" t="str">
        <f>IFERROR(__xludf.DUMMYFUNCTION("""COMPUTED_VALUE"""),"tc.*****3@mail.edu.tw")</f>
        <v>tc.*****3@mail.edu.tw</v>
      </c>
      <c r="E2169" s="17" t="str">
        <f>IFERROR(__xludf.DUMMYFUNCTION("""COMPUTED_VALUE"""),"臺中市東區臺中國民小學")</f>
        <v>臺中市東區臺中國民小學</v>
      </c>
      <c r="F2169" s="14" t="str">
        <f>IFERROR(__xludf.DUMMYFUNCTION("""COMPUTED_VALUE"""),"五年級")</f>
        <v>五年級</v>
      </c>
      <c r="G2169" s="14" t="str">
        <f>IFERROR(__xludf.DUMMYFUNCTION("""COMPUTED_VALUE"""),"獎狀")</f>
        <v>獎狀</v>
      </c>
      <c r="H2169" s="8"/>
    </row>
    <row r="2170">
      <c r="A2170" s="18"/>
      <c r="B2170" s="14">
        <f>IFERROR(__xludf.DUMMYFUNCTION("""COMPUTED_VALUE"""),750773.0)</f>
        <v>750773</v>
      </c>
      <c r="C2170" s="14" t="str">
        <f>IFERROR(__xludf.DUMMYFUNCTION("""COMPUTED_VALUE"""),"曾乙可")</f>
        <v>曾乙可</v>
      </c>
      <c r="D2170" s="16" t="str">
        <f>IFERROR(__xludf.DUMMYFUNCTION("""COMPUTED_VALUE"""),"tc.*****8@mail.edu.tw")</f>
        <v>tc.*****8@mail.edu.tw</v>
      </c>
      <c r="E2170" s="17" t="str">
        <f>IFERROR(__xludf.DUMMYFUNCTION("""COMPUTED_VALUE"""),"臺中市南區信義國民小學")</f>
        <v>臺中市南區信義國民小學</v>
      </c>
      <c r="F2170" s="14" t="str">
        <f>IFERROR(__xludf.DUMMYFUNCTION("""COMPUTED_VALUE"""),"五年級")</f>
        <v>五年級</v>
      </c>
      <c r="G2170" s="14" t="str">
        <f>IFERROR(__xludf.DUMMYFUNCTION("""COMPUTED_VALUE"""),"獎狀")</f>
        <v>獎狀</v>
      </c>
      <c r="H2170" s="8"/>
    </row>
    <row r="2171">
      <c r="A2171" s="18"/>
      <c r="B2171" s="14">
        <f>IFERROR(__xludf.DUMMYFUNCTION("""COMPUTED_VALUE"""),864260.0)</f>
        <v>864260</v>
      </c>
      <c r="C2171" s="14" t="str">
        <f>IFERROR(__xludf.DUMMYFUNCTION("""COMPUTED_VALUE"""),"楊恩亞")</f>
        <v>楊恩亞</v>
      </c>
      <c r="D2171" s="16" t="str">
        <f>IFERROR(__xludf.DUMMYFUNCTION("""COMPUTED_VALUE"""),"832*****t.tc.edu.tw")</f>
        <v>832*****t.tc.edu.tw</v>
      </c>
      <c r="E2171" s="17" t="str">
        <f>IFERROR(__xludf.DUMMYFUNCTION("""COMPUTED_VALUE"""),"臺中市南區國光國民小學")</f>
        <v>臺中市南區國光國民小學</v>
      </c>
      <c r="F2171" s="14" t="str">
        <f>IFERROR(__xludf.DUMMYFUNCTION("""COMPUTED_VALUE"""),"四年級")</f>
        <v>四年級</v>
      </c>
      <c r="G2171" s="14" t="str">
        <f>IFERROR(__xludf.DUMMYFUNCTION("""COMPUTED_VALUE"""),"獎狀")</f>
        <v>獎狀</v>
      </c>
      <c r="H2171" s="8"/>
    </row>
    <row r="2172">
      <c r="A2172" s="18"/>
      <c r="B2172" s="14">
        <f>IFERROR(__xludf.DUMMYFUNCTION("""COMPUTED_VALUE"""),1135396.0)</f>
        <v>1135396</v>
      </c>
      <c r="C2172" s="14" t="str">
        <f>IFERROR(__xludf.DUMMYFUNCTION("""COMPUTED_VALUE"""),"柯昀希")</f>
        <v>柯昀希</v>
      </c>
      <c r="D2172" s="16" t="str">
        <f>IFERROR(__xludf.DUMMYFUNCTION("""COMPUTED_VALUE"""),"mom*****14@gmail.com")</f>
        <v>mom*****14@gmail.com</v>
      </c>
      <c r="E2172" s="17" t="str">
        <f>IFERROR(__xludf.DUMMYFUNCTION("""COMPUTED_VALUE"""),"臺中市南區國光國民小學")</f>
        <v>臺中市南區國光國民小學</v>
      </c>
      <c r="F2172" s="14" t="str">
        <f>IFERROR(__xludf.DUMMYFUNCTION("""COMPUTED_VALUE"""),"四年級")</f>
        <v>四年級</v>
      </c>
      <c r="G2172" s="14" t="str">
        <f>IFERROR(__xludf.DUMMYFUNCTION("""COMPUTED_VALUE"""),"獎狀")</f>
        <v>獎狀</v>
      </c>
      <c r="H2172" s="8"/>
    </row>
    <row r="2173">
      <c r="A2173" s="18"/>
      <c r="B2173" s="14">
        <f>IFERROR(__xludf.DUMMYFUNCTION("""COMPUTED_VALUE"""),431580.0)</f>
        <v>431580</v>
      </c>
      <c r="C2173" s="14" t="str">
        <f>IFERROR(__xludf.DUMMYFUNCTION("""COMPUTED_VALUE"""),"孫浚浩")</f>
        <v>孫浚浩</v>
      </c>
      <c r="D2173" s="16" t="str">
        <f>IFERROR(__xludf.DUMMYFUNCTION("""COMPUTED_VALUE"""),"jaz*****@mail.edu.tw")</f>
        <v>jaz*****@mail.edu.tw</v>
      </c>
      <c r="E2173" s="17" t="str">
        <f>IFERROR(__xludf.DUMMYFUNCTION("""COMPUTED_VALUE"""),"臺中市南區和平國民小學")</f>
        <v>臺中市南區和平國民小學</v>
      </c>
      <c r="F2173" s="14" t="str">
        <f>IFERROR(__xludf.DUMMYFUNCTION("""COMPUTED_VALUE"""),"四年級")</f>
        <v>四年級</v>
      </c>
      <c r="G2173" s="14" t="str">
        <f>IFERROR(__xludf.DUMMYFUNCTION("""COMPUTED_VALUE"""),"●小禮物")</f>
        <v>●小禮物</v>
      </c>
      <c r="H2173" s="8"/>
    </row>
    <row r="2174">
      <c r="A2174" s="18"/>
      <c r="B2174" s="14">
        <f>IFERROR(__xludf.DUMMYFUNCTION("""COMPUTED_VALUE"""),869871.0)</f>
        <v>869871</v>
      </c>
      <c r="C2174" s="14" t="str">
        <f>IFERROR(__xludf.DUMMYFUNCTION("""COMPUTED_VALUE"""),"林楷杰")</f>
        <v>林楷杰</v>
      </c>
      <c r="D2174" s="16" t="str">
        <f>IFERROR(__xludf.DUMMYFUNCTION("""COMPUTED_VALUE"""),"d83*****mail.edu.tw")</f>
        <v>d83*****mail.edu.tw</v>
      </c>
      <c r="E2174" s="17" t="str">
        <f>IFERROR(__xludf.DUMMYFUNCTION("""COMPUTED_VALUE"""),"臺中市南區和平國民小學")</f>
        <v>臺中市南區和平國民小學</v>
      </c>
      <c r="F2174" s="14" t="str">
        <f>IFERROR(__xludf.DUMMYFUNCTION("""COMPUTED_VALUE"""),"四年級")</f>
        <v>四年級</v>
      </c>
      <c r="G2174" s="14" t="str">
        <f>IFERROR(__xludf.DUMMYFUNCTION("""COMPUTED_VALUE"""),"●小禮物")</f>
        <v>●小禮物</v>
      </c>
      <c r="H2174" s="8"/>
    </row>
    <row r="2175">
      <c r="A2175" s="18"/>
      <c r="B2175" s="14">
        <f>IFERROR(__xludf.DUMMYFUNCTION("""COMPUTED_VALUE"""),364259.0)</f>
        <v>364259</v>
      </c>
      <c r="C2175" s="14" t="str">
        <f>IFERROR(__xludf.DUMMYFUNCTION("""COMPUTED_VALUE"""),"孫芮鈺")</f>
        <v>孫芮鈺</v>
      </c>
      <c r="D2175" s="16" t="str">
        <f>IFERROR(__xludf.DUMMYFUNCTION("""COMPUTED_VALUE"""),"fan*****7@mail.edu.tw")</f>
        <v>fan*****7@mail.edu.tw</v>
      </c>
      <c r="E2175" s="17" t="str">
        <f>IFERROR(__xludf.DUMMYFUNCTION("""COMPUTED_VALUE"""),"臺中市南區和平國民小學")</f>
        <v>臺中市南區和平國民小學</v>
      </c>
      <c r="F2175" s="14" t="str">
        <f>IFERROR(__xludf.DUMMYFUNCTION("""COMPUTED_VALUE"""),"五年級")</f>
        <v>五年級</v>
      </c>
      <c r="G2175" s="14" t="str">
        <f>IFERROR(__xludf.DUMMYFUNCTION("""COMPUTED_VALUE"""),"獎狀")</f>
        <v>獎狀</v>
      </c>
      <c r="H2175" s="8"/>
    </row>
    <row r="2176">
      <c r="A2176" s="18"/>
      <c r="B2176" s="14">
        <f>IFERROR(__xludf.DUMMYFUNCTION("""COMPUTED_VALUE"""),653389.0)</f>
        <v>653389</v>
      </c>
      <c r="C2176" s="14" t="str">
        <f>IFERROR(__xludf.DUMMYFUNCTION("""COMPUTED_VALUE"""),"鄭恩雅")</f>
        <v>鄭恩雅</v>
      </c>
      <c r="D2176" s="16" t="str">
        <f>IFERROR(__xludf.DUMMYFUNCTION("""COMPUTED_VALUE"""),"708*****t.tc.edu.tw")</f>
        <v>708*****t.tc.edu.tw</v>
      </c>
      <c r="E2176" s="17" t="str">
        <f>IFERROR(__xludf.DUMMYFUNCTION("""COMPUTED_VALUE"""),"臺中市南區樹義國民小學")</f>
        <v>臺中市南區樹義國民小學</v>
      </c>
      <c r="F2176" s="14" t="str">
        <f>IFERROR(__xludf.DUMMYFUNCTION("""COMPUTED_VALUE"""),"五年級")</f>
        <v>五年級</v>
      </c>
      <c r="G2176" s="14" t="str">
        <f>IFERROR(__xludf.DUMMYFUNCTION("""COMPUTED_VALUE"""),"獎狀")</f>
        <v>獎狀</v>
      </c>
      <c r="H2176" s="8"/>
    </row>
    <row r="2177">
      <c r="A2177" s="18"/>
      <c r="B2177" s="14">
        <f>IFERROR(__xludf.DUMMYFUNCTION("""COMPUTED_VALUE"""),1094719.0)</f>
        <v>1094719</v>
      </c>
      <c r="C2177" s="14" t="str">
        <f>IFERROR(__xludf.DUMMYFUNCTION("""COMPUTED_VALUE"""),"戴煥宸")</f>
        <v>戴煥宸</v>
      </c>
      <c r="D2177" s="16" t="str">
        <f>IFERROR(__xludf.DUMMYFUNCTION("""COMPUTED_VALUE"""),"g89*****yahoo.com.tw")</f>
        <v>g89*****yahoo.com.tw</v>
      </c>
      <c r="E2177" s="17" t="str">
        <f>IFERROR(__xludf.DUMMYFUNCTION("""COMPUTED_VALUE"""),"臺中市西區忠孝國民小學")</f>
        <v>臺中市西區忠孝國民小學</v>
      </c>
      <c r="F2177" s="14" t="str">
        <f>IFERROR(__xludf.DUMMYFUNCTION("""COMPUTED_VALUE"""),"三年級")</f>
        <v>三年級</v>
      </c>
      <c r="G2177" s="14" t="str">
        <f>IFERROR(__xludf.DUMMYFUNCTION("""COMPUTED_VALUE"""),"獎狀")</f>
        <v>獎狀</v>
      </c>
      <c r="H2177" s="8"/>
    </row>
    <row r="2178">
      <c r="A2178" s="18"/>
      <c r="B2178" s="14">
        <f>IFERROR(__xludf.DUMMYFUNCTION("""COMPUTED_VALUE"""),1091084.0)</f>
        <v>1091084</v>
      </c>
      <c r="C2178" s="14" t="str">
        <f>IFERROR(__xludf.DUMMYFUNCTION("""COMPUTED_VALUE"""),"蔡宇桐")</f>
        <v>蔡宇桐</v>
      </c>
      <c r="D2178" s="16" t="str">
        <f>IFERROR(__xludf.DUMMYFUNCTION("""COMPUTED_VALUE"""),"els*****@yahoo.com.tw")</f>
        <v>els*****@yahoo.com.tw</v>
      </c>
      <c r="E2178" s="17" t="str">
        <f>IFERROR(__xludf.DUMMYFUNCTION("""COMPUTED_VALUE"""),"臺中市西區忠孝國民小學")</f>
        <v>臺中市西區忠孝國民小學</v>
      </c>
      <c r="F2178" s="14" t="str">
        <f>IFERROR(__xludf.DUMMYFUNCTION("""COMPUTED_VALUE"""),"三年級")</f>
        <v>三年級</v>
      </c>
      <c r="G2178" s="14" t="str">
        <f>IFERROR(__xludf.DUMMYFUNCTION("""COMPUTED_VALUE"""),"獎狀")</f>
        <v>獎狀</v>
      </c>
      <c r="H2178" s="8"/>
    </row>
    <row r="2179">
      <c r="A2179" s="18"/>
      <c r="B2179" s="14">
        <f>IFERROR(__xludf.DUMMYFUNCTION("""COMPUTED_VALUE"""),970924.0)</f>
        <v>970924</v>
      </c>
      <c r="C2179" s="14" t="str">
        <f>IFERROR(__xludf.DUMMYFUNCTION("""COMPUTED_VALUE"""),"黎軒成")</f>
        <v>黎軒成</v>
      </c>
      <c r="D2179" s="16" t="str">
        <f>IFERROR(__xludf.DUMMYFUNCTION("""COMPUTED_VALUE"""),"834*****t.tc.edu.tw")</f>
        <v>834*****t.tc.edu.tw</v>
      </c>
      <c r="E2179" s="17" t="str">
        <f>IFERROR(__xludf.DUMMYFUNCTION("""COMPUTED_VALUE"""),"臺中市西區忠孝國民小學")</f>
        <v>臺中市西區忠孝國民小學</v>
      </c>
      <c r="F2179" s="14" t="str">
        <f>IFERROR(__xludf.DUMMYFUNCTION("""COMPUTED_VALUE"""),"四年級")</f>
        <v>四年級</v>
      </c>
      <c r="G2179" s="14" t="str">
        <f>IFERROR(__xludf.DUMMYFUNCTION("""COMPUTED_VALUE"""),"獎狀")</f>
        <v>獎狀</v>
      </c>
      <c r="H2179" s="8"/>
    </row>
    <row r="2180">
      <c r="A2180" s="18"/>
      <c r="B2180" s="14">
        <f>IFERROR(__xludf.DUMMYFUNCTION("""COMPUTED_VALUE"""),401579.0)</f>
        <v>401579</v>
      </c>
      <c r="C2180" s="14" t="str">
        <f>IFERROR(__xludf.DUMMYFUNCTION("""COMPUTED_VALUE"""),"許恩綺")</f>
        <v>許恩綺</v>
      </c>
      <c r="D2180" s="16" t="str">
        <f>IFERROR(__xludf.DUMMYFUNCTION("""COMPUTED_VALUE"""),"dol*****@yahoo.com.tw")</f>
        <v>dol*****@yahoo.com.tw</v>
      </c>
      <c r="E2180" s="17" t="str">
        <f>IFERROR(__xludf.DUMMYFUNCTION("""COMPUTED_VALUE"""),"臺中市西區忠孝國民小學")</f>
        <v>臺中市西區忠孝國民小學</v>
      </c>
      <c r="F2180" s="14" t="str">
        <f>IFERROR(__xludf.DUMMYFUNCTION("""COMPUTED_VALUE"""),"四年級")</f>
        <v>四年級</v>
      </c>
      <c r="G2180" s="14" t="str">
        <f>IFERROR(__xludf.DUMMYFUNCTION("""COMPUTED_VALUE"""),"●小禮物")</f>
        <v>●小禮物</v>
      </c>
      <c r="H2180" s="8"/>
    </row>
    <row r="2181">
      <c r="A2181" s="18"/>
      <c r="B2181" s="14">
        <f>IFERROR(__xludf.DUMMYFUNCTION("""COMPUTED_VALUE"""),331344.0)</f>
        <v>331344</v>
      </c>
      <c r="C2181" s="14" t="str">
        <f>IFERROR(__xludf.DUMMYFUNCTION("""COMPUTED_VALUE"""),"林琮晏")</f>
        <v>林琮晏</v>
      </c>
      <c r="D2181" s="16" t="str">
        <f>IFERROR(__xludf.DUMMYFUNCTION("""COMPUTED_VALUE"""),"tc.*****702@mail.edu.tw")</f>
        <v>tc.*****702@mail.edu.tw</v>
      </c>
      <c r="E2181" s="17" t="str">
        <f>IFERROR(__xludf.DUMMYFUNCTION("""COMPUTED_VALUE"""),"臺中市西區忠孝國民小學")</f>
        <v>臺中市西區忠孝國民小學</v>
      </c>
      <c r="F2181" s="14" t="str">
        <f>IFERROR(__xludf.DUMMYFUNCTION("""COMPUTED_VALUE"""),"五年級")</f>
        <v>五年級</v>
      </c>
      <c r="G2181" s="14" t="str">
        <f>IFERROR(__xludf.DUMMYFUNCTION("""COMPUTED_VALUE"""),"獎狀")</f>
        <v>獎狀</v>
      </c>
      <c r="H2181" s="8"/>
    </row>
    <row r="2182">
      <c r="A2182" s="18"/>
      <c r="B2182" s="14">
        <f>IFERROR(__xludf.DUMMYFUNCTION("""COMPUTED_VALUE"""),249210.0)</f>
        <v>249210</v>
      </c>
      <c r="C2182" s="14" t="str">
        <f>IFERROR(__xludf.DUMMYFUNCTION("""COMPUTED_VALUE"""),"戴琳恩")</f>
        <v>戴琳恩</v>
      </c>
      <c r="D2182" s="16" t="str">
        <f>IFERROR(__xludf.DUMMYFUNCTION("""COMPUTED_VALUE"""),"g89*****gmail.com")</f>
        <v>g89*****gmail.com</v>
      </c>
      <c r="E2182" s="17" t="str">
        <f>IFERROR(__xludf.DUMMYFUNCTION("""COMPUTED_VALUE"""),"臺中市西區忠孝國民小學")</f>
        <v>臺中市西區忠孝國民小學</v>
      </c>
      <c r="F2182" s="14" t="str">
        <f>IFERROR(__xludf.DUMMYFUNCTION("""COMPUTED_VALUE"""),"六年級")</f>
        <v>六年級</v>
      </c>
      <c r="G2182" s="14" t="str">
        <f>IFERROR(__xludf.DUMMYFUNCTION("""COMPUTED_VALUE"""),"獎狀")</f>
        <v>獎狀</v>
      </c>
      <c r="H2182" s="8"/>
    </row>
    <row r="2183">
      <c r="A2183" s="18"/>
      <c r="B2183" s="14">
        <f>IFERROR(__xludf.DUMMYFUNCTION("""COMPUTED_VALUE"""),747984.0)</f>
        <v>747984</v>
      </c>
      <c r="C2183" s="14" t="str">
        <f>IFERROR(__xludf.DUMMYFUNCTION("""COMPUTED_VALUE"""),"廖子晴")</f>
        <v>廖子晴</v>
      </c>
      <c r="D2183" s="16" t="str">
        <f>IFERROR(__xludf.DUMMYFUNCTION("""COMPUTED_VALUE"""),"jam*****u@msa.hinet.net")</f>
        <v>jam*****u@msa.hinet.net</v>
      </c>
      <c r="E2183" s="17" t="str">
        <f>IFERROR(__xludf.DUMMYFUNCTION("""COMPUTED_VALUE"""),"臺中市西區忠信國民小學")</f>
        <v>臺中市西區忠信國民小學</v>
      </c>
      <c r="F2183" s="14" t="str">
        <f>IFERROR(__xludf.DUMMYFUNCTION("""COMPUTED_VALUE"""),"五年級")</f>
        <v>五年級</v>
      </c>
      <c r="G2183" s="14" t="str">
        <f>IFERROR(__xludf.DUMMYFUNCTION("""COMPUTED_VALUE"""),"●小禮物")</f>
        <v>●小禮物</v>
      </c>
      <c r="H2183" s="8"/>
    </row>
    <row r="2184">
      <c r="A2184" s="18"/>
      <c r="B2184" s="14">
        <f>IFERROR(__xludf.DUMMYFUNCTION("""COMPUTED_VALUE"""),785199.0)</f>
        <v>785199</v>
      </c>
      <c r="C2184" s="14" t="str">
        <f>IFERROR(__xludf.DUMMYFUNCTION("""COMPUTED_VALUE"""),"李政諺")</f>
        <v>李政諺</v>
      </c>
      <c r="D2184" s="16" t="str">
        <f>IFERROR(__xludf.DUMMYFUNCTION("""COMPUTED_VALUE"""),"inj*****@yahoo.com.tw")</f>
        <v>inj*****@yahoo.com.tw</v>
      </c>
      <c r="E2184" s="17" t="str">
        <f>IFERROR(__xludf.DUMMYFUNCTION("""COMPUTED_VALUE"""),"臺中市北區太平國民小學")</f>
        <v>臺中市北區太平國民小學</v>
      </c>
      <c r="F2184" s="14" t="str">
        <f>IFERROR(__xludf.DUMMYFUNCTION("""COMPUTED_VALUE"""),"四年級")</f>
        <v>四年級</v>
      </c>
      <c r="G2184" s="14" t="str">
        <f>IFERROR(__xludf.DUMMYFUNCTION("""COMPUTED_VALUE"""),"獎狀")</f>
        <v>獎狀</v>
      </c>
      <c r="H2184" s="8"/>
    </row>
    <row r="2185">
      <c r="A2185" s="18"/>
      <c r="B2185" s="14">
        <f>IFERROR(__xludf.DUMMYFUNCTION("""COMPUTED_VALUE"""),533960.0)</f>
        <v>533960</v>
      </c>
      <c r="C2185" s="14" t="str">
        <f>IFERROR(__xludf.DUMMYFUNCTION("""COMPUTED_VALUE"""),"吳秉叡")</f>
        <v>吳秉叡</v>
      </c>
      <c r="D2185" s="16" t="str">
        <f>IFERROR(__xludf.DUMMYFUNCTION("""COMPUTED_VALUE"""),"tpe*****1.pu3310@mail.edu.tw")</f>
        <v>tpe*****1.pu3310@mail.edu.tw</v>
      </c>
      <c r="E2185" s="17" t="str">
        <f>IFERROR(__xludf.DUMMYFUNCTION("""COMPUTED_VALUE"""),"臺中市北區太平國民小學")</f>
        <v>臺中市北區太平國民小學</v>
      </c>
      <c r="F2185" s="14" t="str">
        <f>IFERROR(__xludf.DUMMYFUNCTION("""COMPUTED_VALUE"""),"六年級")</f>
        <v>六年級</v>
      </c>
      <c r="G2185" s="14" t="str">
        <f>IFERROR(__xludf.DUMMYFUNCTION("""COMPUTED_VALUE"""),"●小禮物")</f>
        <v>●小禮物</v>
      </c>
      <c r="H2185" s="8"/>
    </row>
    <row r="2186">
      <c r="A2186" s="18"/>
      <c r="B2186" s="14">
        <f>IFERROR(__xludf.DUMMYFUNCTION("""COMPUTED_VALUE"""),729077.0)</f>
        <v>729077</v>
      </c>
      <c r="C2186" s="14" t="str">
        <f>IFERROR(__xludf.DUMMYFUNCTION("""COMPUTED_VALUE"""),"林羽心")</f>
        <v>林羽心</v>
      </c>
      <c r="D2186" s="16" t="str">
        <f>IFERROR(__xludf.DUMMYFUNCTION("""COMPUTED_VALUE"""),"849*****t.tc.edu.tw")</f>
        <v>849*****t.tc.edu.tw</v>
      </c>
      <c r="E2186" s="17" t="str">
        <f>IFERROR(__xludf.DUMMYFUNCTION("""COMPUTED_VALUE"""),"國立臺中教育大學附設實驗國民小學")</f>
        <v>國立臺中教育大學附設實驗國民小學</v>
      </c>
      <c r="F2186" s="14" t="str">
        <f>IFERROR(__xludf.DUMMYFUNCTION("""COMPUTED_VALUE"""),"五年級")</f>
        <v>五年級</v>
      </c>
      <c r="G2186" s="14" t="str">
        <f>IFERROR(__xludf.DUMMYFUNCTION("""COMPUTED_VALUE"""),"●小禮物")</f>
        <v>●小禮物</v>
      </c>
      <c r="H2186" s="8"/>
    </row>
    <row r="2187">
      <c r="A2187" s="18"/>
      <c r="B2187" s="14">
        <f>IFERROR(__xludf.DUMMYFUNCTION("""COMPUTED_VALUE"""),1122805.0)</f>
        <v>1122805</v>
      </c>
      <c r="C2187" s="14" t="str">
        <f>IFERROR(__xludf.DUMMYFUNCTION("""COMPUTED_VALUE"""),"馬榕慶")</f>
        <v>馬榕慶</v>
      </c>
      <c r="D2187" s="16" t="str">
        <f>IFERROR(__xludf.DUMMYFUNCTION("""COMPUTED_VALUE"""),"qin*****47@gmail.com")</f>
        <v>qin*****47@gmail.com</v>
      </c>
      <c r="E2187" s="17" t="str">
        <f>IFERROR(__xludf.DUMMYFUNCTION("""COMPUTED_VALUE"""),"臺中市北區健行國民小學")</f>
        <v>臺中市北區健行國民小學</v>
      </c>
      <c r="F2187" s="14" t="str">
        <f>IFERROR(__xludf.DUMMYFUNCTION("""COMPUTED_VALUE"""),"五年級")</f>
        <v>五年級</v>
      </c>
      <c r="G2187" s="14" t="str">
        <f>IFERROR(__xludf.DUMMYFUNCTION("""COMPUTED_VALUE"""),"獎狀")</f>
        <v>獎狀</v>
      </c>
      <c r="H2187" s="8"/>
    </row>
    <row r="2188">
      <c r="A2188" s="18"/>
      <c r="B2188" s="14">
        <f>IFERROR(__xludf.DUMMYFUNCTION("""COMPUTED_VALUE"""),721028.0)</f>
        <v>721028</v>
      </c>
      <c r="C2188" s="14" t="str">
        <f>IFERROR(__xludf.DUMMYFUNCTION("""COMPUTED_VALUE"""),"游硯晴")</f>
        <v>游硯晴</v>
      </c>
      <c r="D2188" s="16" t="str">
        <f>IFERROR(__xludf.DUMMYFUNCTION("""COMPUTED_VALUE"""),"yan*****426@gmail.com")</f>
        <v>yan*****426@gmail.com</v>
      </c>
      <c r="E2188" s="17" t="str">
        <f>IFERROR(__xludf.DUMMYFUNCTION("""COMPUTED_VALUE"""),"臺中市北區賴厝國民小學")</f>
        <v>臺中市北區賴厝國民小學</v>
      </c>
      <c r="F2188" s="14" t="str">
        <f>IFERROR(__xludf.DUMMYFUNCTION("""COMPUTED_VALUE"""),"五年級")</f>
        <v>五年級</v>
      </c>
      <c r="G2188" s="14" t="str">
        <f>IFERROR(__xludf.DUMMYFUNCTION("""COMPUTED_VALUE"""),"●小禮物")</f>
        <v>●小禮物</v>
      </c>
      <c r="H2188" s="8"/>
    </row>
    <row r="2189">
      <c r="A2189" s="18"/>
      <c r="B2189" s="14">
        <f>IFERROR(__xludf.DUMMYFUNCTION("""COMPUTED_VALUE"""),108582.0)</f>
        <v>108582</v>
      </c>
      <c r="C2189" s="14" t="str">
        <f>IFERROR(__xludf.DUMMYFUNCTION("""COMPUTED_VALUE"""),"廖以恩")</f>
        <v>廖以恩</v>
      </c>
      <c r="D2189" s="16" t="str">
        <f>IFERROR(__xludf.DUMMYFUNCTION("""COMPUTED_VALUE"""),"ipo*****@yahoo.com.tw")</f>
        <v>ipo*****@yahoo.com.tw</v>
      </c>
      <c r="E2189" s="17" t="str">
        <f>IFERROR(__xludf.DUMMYFUNCTION("""COMPUTED_VALUE"""),"臺中市北區賴厝國民小學")</f>
        <v>臺中市北區賴厝國民小學</v>
      </c>
      <c r="F2189" s="14" t="str">
        <f>IFERROR(__xludf.DUMMYFUNCTION("""COMPUTED_VALUE"""),"六年級")</f>
        <v>六年級</v>
      </c>
      <c r="G2189" s="14" t="str">
        <f>IFERROR(__xludf.DUMMYFUNCTION("""COMPUTED_VALUE"""),"●小禮物")</f>
        <v>●小禮物</v>
      </c>
      <c r="H2189" s="8"/>
    </row>
    <row r="2190">
      <c r="A2190" s="18"/>
      <c r="B2190" s="14">
        <f>IFERROR(__xludf.DUMMYFUNCTION("""COMPUTED_VALUE"""),1142733.0)</f>
        <v>1142733</v>
      </c>
      <c r="C2190" s="14" t="str">
        <f>IFERROR(__xludf.DUMMYFUNCTION("""COMPUTED_VALUE"""),"劉芝言")</f>
        <v>劉芝言</v>
      </c>
      <c r="D2190" s="16" t="str">
        <f>IFERROR(__xludf.DUMMYFUNCTION("""COMPUTED_VALUE"""),"tc.*****3@mail.edu.tw")</f>
        <v>tc.*****3@mail.edu.tw</v>
      </c>
      <c r="E2190" s="17" t="str">
        <f>IFERROR(__xludf.DUMMYFUNCTION("""COMPUTED_VALUE"""),"臺中市北區篤行國民小學")</f>
        <v>臺中市北區篤行國民小學</v>
      </c>
      <c r="F2190" s="14" t="str">
        <f>IFERROR(__xludf.DUMMYFUNCTION("""COMPUTED_VALUE"""),"三年級")</f>
        <v>三年級</v>
      </c>
      <c r="G2190" s="14" t="str">
        <f>IFERROR(__xludf.DUMMYFUNCTION("""COMPUTED_VALUE"""),"獎狀")</f>
        <v>獎狀</v>
      </c>
      <c r="H2190" s="8"/>
    </row>
    <row r="2191">
      <c r="A2191" s="18"/>
      <c r="B2191" s="14">
        <f>IFERROR(__xludf.DUMMYFUNCTION("""COMPUTED_VALUE"""),901599.0)</f>
        <v>901599</v>
      </c>
      <c r="C2191" s="14" t="str">
        <f>IFERROR(__xludf.DUMMYFUNCTION("""COMPUTED_VALUE"""),"劉雨鑫")</f>
        <v>劉雨鑫</v>
      </c>
      <c r="D2191" s="16" t="str">
        <f>IFERROR(__xludf.DUMMYFUNCTION("""COMPUTED_VALUE"""),"tc.*****2@mail.edu.tw")</f>
        <v>tc.*****2@mail.edu.tw</v>
      </c>
      <c r="E2191" s="17" t="str">
        <f>IFERROR(__xludf.DUMMYFUNCTION("""COMPUTED_VALUE"""),"臺中市北區篤行國民小學")</f>
        <v>臺中市北區篤行國民小學</v>
      </c>
      <c r="F2191" s="14" t="str">
        <f>IFERROR(__xludf.DUMMYFUNCTION("""COMPUTED_VALUE"""),"五年級")</f>
        <v>五年級</v>
      </c>
      <c r="G2191" s="14" t="str">
        <f>IFERROR(__xludf.DUMMYFUNCTION("""COMPUTED_VALUE"""),"●小禮物")</f>
        <v>●小禮物</v>
      </c>
      <c r="H2191" s="8"/>
    </row>
    <row r="2192">
      <c r="A2192" s="18"/>
      <c r="B2192" s="14">
        <f>IFERROR(__xludf.DUMMYFUNCTION("""COMPUTED_VALUE"""),1179838.0)</f>
        <v>1179838</v>
      </c>
      <c r="C2192" s="14" t="str">
        <f>IFERROR(__xludf.DUMMYFUNCTION("""COMPUTED_VALUE"""),"劉名幃")</f>
        <v>劉名幃</v>
      </c>
      <c r="D2192" s="16" t="str">
        <f>IFERROR(__xludf.DUMMYFUNCTION("""COMPUTED_VALUE"""),"wei*****108@gmail.com")</f>
        <v>wei*****108@gmail.com</v>
      </c>
      <c r="E2192" s="17" t="str">
        <f>IFERROR(__xludf.DUMMYFUNCTION("""COMPUTED_VALUE"""),"臺中市私立育仁國民小學")</f>
        <v>臺中市私立育仁國民小學</v>
      </c>
      <c r="F2192" s="14" t="str">
        <f>IFERROR(__xludf.DUMMYFUNCTION("""COMPUTED_VALUE"""),"三年級")</f>
        <v>三年級</v>
      </c>
      <c r="G2192" s="14" t="str">
        <f>IFERROR(__xludf.DUMMYFUNCTION("""COMPUTED_VALUE"""),"●小禮物")</f>
        <v>●小禮物</v>
      </c>
      <c r="H2192" s="8"/>
    </row>
    <row r="2193">
      <c r="A2193" s="18"/>
      <c r="B2193" s="14">
        <f>IFERROR(__xludf.DUMMYFUNCTION("""COMPUTED_VALUE"""),1121913.0)</f>
        <v>1121913</v>
      </c>
      <c r="C2193" s="14" t="str">
        <f>IFERROR(__xludf.DUMMYFUNCTION("""COMPUTED_VALUE"""),"施惟淳")</f>
        <v>施惟淳</v>
      </c>
      <c r="D2193" s="16" t="str">
        <f>IFERROR(__xludf.DUMMYFUNCTION("""COMPUTED_VALUE"""),"wei*****vivian@gmail.com")</f>
        <v>wei*****vivian@gmail.com</v>
      </c>
      <c r="E2193" s="17" t="str">
        <f>IFERROR(__xludf.DUMMYFUNCTION("""COMPUTED_VALUE"""),"臺中市私立育仁國民小學")</f>
        <v>臺中市私立育仁國民小學</v>
      </c>
      <c r="F2193" s="14" t="str">
        <f>IFERROR(__xludf.DUMMYFUNCTION("""COMPUTED_VALUE"""),"三年級")</f>
        <v>三年級</v>
      </c>
      <c r="G2193" s="14" t="str">
        <f>IFERROR(__xludf.DUMMYFUNCTION("""COMPUTED_VALUE"""),"獎狀")</f>
        <v>獎狀</v>
      </c>
      <c r="H2193" s="8"/>
    </row>
    <row r="2194">
      <c r="A2194" s="18"/>
      <c r="B2194" s="14">
        <f>IFERROR(__xludf.DUMMYFUNCTION("""COMPUTED_VALUE"""),1178050.0)</f>
        <v>1178050</v>
      </c>
      <c r="C2194" s="14" t="str">
        <f>IFERROR(__xludf.DUMMYFUNCTION("""COMPUTED_VALUE"""),"趙力言")</f>
        <v>趙力言</v>
      </c>
      <c r="D2194" s="16" t="str">
        <f>IFERROR(__xludf.DUMMYFUNCTION("""COMPUTED_VALUE"""),"109*****tm.yjes.tc.edu.tw")</f>
        <v>109*****tm.yjes.tc.edu.tw</v>
      </c>
      <c r="E2194" s="17" t="str">
        <f>IFERROR(__xludf.DUMMYFUNCTION("""COMPUTED_VALUE"""),"臺中市私立育仁國民小學")</f>
        <v>臺中市私立育仁國民小學</v>
      </c>
      <c r="F2194" s="14" t="str">
        <f>IFERROR(__xludf.DUMMYFUNCTION("""COMPUTED_VALUE"""),"三年級")</f>
        <v>三年級</v>
      </c>
      <c r="G2194" s="14" t="str">
        <f>IFERROR(__xludf.DUMMYFUNCTION("""COMPUTED_VALUE"""),"獎狀")</f>
        <v>獎狀</v>
      </c>
      <c r="H2194" s="8"/>
    </row>
    <row r="2195">
      <c r="A2195" s="18"/>
      <c r="B2195" s="14">
        <f>IFERROR(__xludf.DUMMYFUNCTION("""COMPUTED_VALUE"""),1093286.0)</f>
        <v>1093286</v>
      </c>
      <c r="C2195" s="14" t="str">
        <f>IFERROR(__xludf.DUMMYFUNCTION("""COMPUTED_VALUE"""),"葉威廷")</f>
        <v>葉威廷</v>
      </c>
      <c r="D2195" s="16" t="str">
        <f>IFERROR(__xludf.DUMMYFUNCTION("""COMPUTED_VALUE"""),"109*****tm.yjes.tc.edu.tw")</f>
        <v>109*****tm.yjes.tc.edu.tw</v>
      </c>
      <c r="E2195" s="17" t="str">
        <f>IFERROR(__xludf.DUMMYFUNCTION("""COMPUTED_VALUE"""),"臺中市私立育仁國民小學")</f>
        <v>臺中市私立育仁國民小學</v>
      </c>
      <c r="F2195" s="14" t="str">
        <f>IFERROR(__xludf.DUMMYFUNCTION("""COMPUTED_VALUE"""),"三年級")</f>
        <v>三年級</v>
      </c>
      <c r="G2195" s="14" t="str">
        <f>IFERROR(__xludf.DUMMYFUNCTION("""COMPUTED_VALUE"""),"●小禮物")</f>
        <v>●小禮物</v>
      </c>
      <c r="H2195" s="8"/>
    </row>
    <row r="2196">
      <c r="A2196" s="18"/>
      <c r="B2196" s="14">
        <f>IFERROR(__xludf.DUMMYFUNCTION("""COMPUTED_VALUE"""),1208961.0)</f>
        <v>1208961</v>
      </c>
      <c r="C2196" s="14" t="str">
        <f>IFERROR(__xludf.DUMMYFUNCTION("""COMPUTED_VALUE"""),"徐姿琁")</f>
        <v>徐姿琁</v>
      </c>
      <c r="D2196" s="16" t="str">
        <f>IFERROR(__xludf.DUMMYFUNCTION("""COMPUTED_VALUE"""),"109*****tm.yjes.tc.edu.tw")</f>
        <v>109*****tm.yjes.tc.edu.tw</v>
      </c>
      <c r="E2196" s="17" t="str">
        <f>IFERROR(__xludf.DUMMYFUNCTION("""COMPUTED_VALUE"""),"臺中市私立育仁國民小學")</f>
        <v>臺中市私立育仁國民小學</v>
      </c>
      <c r="F2196" s="14" t="str">
        <f>IFERROR(__xludf.DUMMYFUNCTION("""COMPUTED_VALUE"""),"三年級")</f>
        <v>三年級</v>
      </c>
      <c r="G2196" s="14" t="str">
        <f>IFERROR(__xludf.DUMMYFUNCTION("""COMPUTED_VALUE"""),"獎狀")</f>
        <v>獎狀</v>
      </c>
      <c r="H2196" s="8"/>
    </row>
    <row r="2197">
      <c r="A2197" s="18"/>
      <c r="B2197" s="14">
        <f>IFERROR(__xludf.DUMMYFUNCTION("""COMPUTED_VALUE"""),1149272.0)</f>
        <v>1149272</v>
      </c>
      <c r="C2197" s="14" t="str">
        <f>IFERROR(__xludf.DUMMYFUNCTION("""COMPUTED_VALUE"""),"廖唯竹")</f>
        <v>廖唯竹</v>
      </c>
      <c r="D2197" s="16" t="str">
        <f>IFERROR(__xludf.DUMMYFUNCTION("""COMPUTED_VALUE"""),"109*****tm.yjes.tc.edu.tw")</f>
        <v>109*****tm.yjes.tc.edu.tw</v>
      </c>
      <c r="E2197" s="17" t="str">
        <f>IFERROR(__xludf.DUMMYFUNCTION("""COMPUTED_VALUE"""),"臺中市私立育仁國民小學")</f>
        <v>臺中市私立育仁國民小學</v>
      </c>
      <c r="F2197" s="14" t="str">
        <f>IFERROR(__xludf.DUMMYFUNCTION("""COMPUTED_VALUE"""),"三年級")</f>
        <v>三年級</v>
      </c>
      <c r="G2197" s="14" t="str">
        <f>IFERROR(__xludf.DUMMYFUNCTION("""COMPUTED_VALUE"""),"獎狀")</f>
        <v>獎狀</v>
      </c>
      <c r="H2197" s="8"/>
    </row>
    <row r="2198">
      <c r="A2198" s="18"/>
      <c r="B2198" s="14">
        <f>IFERROR(__xludf.DUMMYFUNCTION("""COMPUTED_VALUE"""),1119041.0)</f>
        <v>1119041</v>
      </c>
      <c r="C2198" s="14" t="str">
        <f>IFERROR(__xludf.DUMMYFUNCTION("""COMPUTED_VALUE"""),"王奕勛")</f>
        <v>王奕勛</v>
      </c>
      <c r="D2198" s="16" t="str">
        <f>IFERROR(__xludf.DUMMYFUNCTION("""COMPUTED_VALUE"""),"108*****tm.yjes.tc.edu.tw")</f>
        <v>108*****tm.yjes.tc.edu.tw</v>
      </c>
      <c r="E2198" s="17" t="str">
        <f>IFERROR(__xludf.DUMMYFUNCTION("""COMPUTED_VALUE"""),"臺中市私立育仁國民小學")</f>
        <v>臺中市私立育仁國民小學</v>
      </c>
      <c r="F2198" s="14" t="str">
        <f>IFERROR(__xludf.DUMMYFUNCTION("""COMPUTED_VALUE"""),"四年級")</f>
        <v>四年級</v>
      </c>
      <c r="G2198" s="14" t="str">
        <f>IFERROR(__xludf.DUMMYFUNCTION("""COMPUTED_VALUE"""),"●小禮物")</f>
        <v>●小禮物</v>
      </c>
      <c r="H2198" s="8"/>
    </row>
    <row r="2199">
      <c r="A2199" s="18"/>
      <c r="B2199" s="14">
        <f>IFERROR(__xludf.DUMMYFUNCTION("""COMPUTED_VALUE"""),1015413.0)</f>
        <v>1015413</v>
      </c>
      <c r="C2199" s="14" t="str">
        <f>IFERROR(__xludf.DUMMYFUNCTION("""COMPUTED_VALUE"""),"莊書帆")</f>
        <v>莊書帆</v>
      </c>
      <c r="D2199" s="16" t="str">
        <f>IFERROR(__xludf.DUMMYFUNCTION("""COMPUTED_VALUE"""),"108*****tm.yjes.tc.edu.tw")</f>
        <v>108*****tm.yjes.tc.edu.tw</v>
      </c>
      <c r="E2199" s="17" t="str">
        <f>IFERROR(__xludf.DUMMYFUNCTION("""COMPUTED_VALUE"""),"臺中市私立育仁國民小學")</f>
        <v>臺中市私立育仁國民小學</v>
      </c>
      <c r="F2199" s="14" t="str">
        <f>IFERROR(__xludf.DUMMYFUNCTION("""COMPUTED_VALUE"""),"四年級")</f>
        <v>四年級</v>
      </c>
      <c r="G2199" s="14" t="str">
        <f>IFERROR(__xludf.DUMMYFUNCTION("""COMPUTED_VALUE"""),"獎狀")</f>
        <v>獎狀</v>
      </c>
      <c r="H2199" s="8"/>
    </row>
    <row r="2200">
      <c r="A2200" s="18"/>
      <c r="B2200" s="14">
        <f>IFERROR(__xludf.DUMMYFUNCTION("""COMPUTED_VALUE"""),1218765.0)</f>
        <v>1218765</v>
      </c>
      <c r="C2200" s="14" t="str">
        <f>IFERROR(__xludf.DUMMYFUNCTION("""COMPUTED_VALUE"""),"鄭宇倫")</f>
        <v>鄭宇倫</v>
      </c>
      <c r="D2200" s="16" t="str">
        <f>IFERROR(__xludf.DUMMYFUNCTION("""COMPUTED_VALUE"""),"108*****tm.yjes.tc.edu.tw")</f>
        <v>108*****tm.yjes.tc.edu.tw</v>
      </c>
      <c r="E2200" s="17" t="str">
        <f>IFERROR(__xludf.DUMMYFUNCTION("""COMPUTED_VALUE"""),"臺中市私立育仁國民小學")</f>
        <v>臺中市私立育仁國民小學</v>
      </c>
      <c r="F2200" s="14" t="str">
        <f>IFERROR(__xludf.DUMMYFUNCTION("""COMPUTED_VALUE"""),"四年級")</f>
        <v>四年級</v>
      </c>
      <c r="G2200" s="14" t="str">
        <f>IFERROR(__xludf.DUMMYFUNCTION("""COMPUTED_VALUE"""),"獎狀")</f>
        <v>獎狀</v>
      </c>
      <c r="H2200" s="8"/>
    </row>
    <row r="2201">
      <c r="A2201" s="18"/>
      <c r="B2201" s="14">
        <f>IFERROR(__xludf.DUMMYFUNCTION("""COMPUTED_VALUE"""),1078305.0)</f>
        <v>1078305</v>
      </c>
      <c r="C2201" s="14" t="str">
        <f>IFERROR(__xludf.DUMMYFUNCTION("""COMPUTED_VALUE"""),"羅宇崴")</f>
        <v>羅宇崴</v>
      </c>
      <c r="D2201" s="16" t="str">
        <f>IFERROR(__xludf.DUMMYFUNCTION("""COMPUTED_VALUE"""),"108*****tm.yjes.tc.edu.tw")</f>
        <v>108*****tm.yjes.tc.edu.tw</v>
      </c>
      <c r="E2201" s="17" t="str">
        <f>IFERROR(__xludf.DUMMYFUNCTION("""COMPUTED_VALUE"""),"臺中市私立育仁國民小學")</f>
        <v>臺中市私立育仁國民小學</v>
      </c>
      <c r="F2201" s="14" t="str">
        <f>IFERROR(__xludf.DUMMYFUNCTION("""COMPUTED_VALUE"""),"四年級")</f>
        <v>四年級</v>
      </c>
      <c r="G2201" s="14" t="str">
        <f>IFERROR(__xludf.DUMMYFUNCTION("""COMPUTED_VALUE"""),"獎狀")</f>
        <v>獎狀</v>
      </c>
      <c r="H2201" s="8"/>
    </row>
    <row r="2202">
      <c r="A2202" s="18"/>
      <c r="B2202" s="14">
        <f>IFERROR(__xludf.DUMMYFUNCTION("""COMPUTED_VALUE"""),1078306.0)</f>
        <v>1078306</v>
      </c>
      <c r="C2202" s="14" t="str">
        <f>IFERROR(__xludf.DUMMYFUNCTION("""COMPUTED_VALUE"""),"羅宇童")</f>
        <v>羅宇童</v>
      </c>
      <c r="D2202" s="16" t="str">
        <f>IFERROR(__xludf.DUMMYFUNCTION("""COMPUTED_VALUE"""),"108*****tm.yjes.tc.edu.tw")</f>
        <v>108*****tm.yjes.tc.edu.tw</v>
      </c>
      <c r="E2202" s="17" t="str">
        <f>IFERROR(__xludf.DUMMYFUNCTION("""COMPUTED_VALUE"""),"臺中市私立育仁國民小學")</f>
        <v>臺中市私立育仁國民小學</v>
      </c>
      <c r="F2202" s="14" t="str">
        <f>IFERROR(__xludf.DUMMYFUNCTION("""COMPUTED_VALUE"""),"四年級")</f>
        <v>四年級</v>
      </c>
      <c r="G2202" s="14" t="str">
        <f>IFERROR(__xludf.DUMMYFUNCTION("""COMPUTED_VALUE"""),"獎狀")</f>
        <v>獎狀</v>
      </c>
      <c r="H2202" s="8"/>
    </row>
    <row r="2203">
      <c r="A2203" s="18"/>
      <c r="B2203" s="14">
        <f>IFERROR(__xludf.DUMMYFUNCTION("""COMPUTED_VALUE"""),862937.0)</f>
        <v>862937</v>
      </c>
      <c r="C2203" s="14" t="str">
        <f>IFERROR(__xludf.DUMMYFUNCTION("""COMPUTED_VALUE"""),"洪善品")</f>
        <v>洪善品</v>
      </c>
      <c r="D2203" s="16" t="str">
        <f>IFERROR(__xludf.DUMMYFUNCTION("""COMPUTED_VALUE"""),"108*****tm.yjes.tc.edu.tw")</f>
        <v>108*****tm.yjes.tc.edu.tw</v>
      </c>
      <c r="E2203" s="17" t="str">
        <f>IFERROR(__xludf.DUMMYFUNCTION("""COMPUTED_VALUE"""),"臺中市私立育仁國民小學")</f>
        <v>臺中市私立育仁國民小學</v>
      </c>
      <c r="F2203" s="14" t="str">
        <f>IFERROR(__xludf.DUMMYFUNCTION("""COMPUTED_VALUE"""),"四年級")</f>
        <v>四年級</v>
      </c>
      <c r="G2203" s="14" t="str">
        <f>IFERROR(__xludf.DUMMYFUNCTION("""COMPUTED_VALUE"""),"獎狀")</f>
        <v>獎狀</v>
      </c>
      <c r="H2203" s="8"/>
    </row>
    <row r="2204">
      <c r="A2204" s="18"/>
      <c r="B2204" s="14">
        <f>IFERROR(__xludf.DUMMYFUNCTION("""COMPUTED_VALUE"""),1064342.0)</f>
        <v>1064342</v>
      </c>
      <c r="C2204" s="14" t="str">
        <f>IFERROR(__xludf.DUMMYFUNCTION("""COMPUTED_VALUE"""),"羅紹宸")</f>
        <v>羅紹宸</v>
      </c>
      <c r="D2204" s="16" t="str">
        <f>IFERROR(__xludf.DUMMYFUNCTION("""COMPUTED_VALUE"""),"108*****tm.yjes.tc.edu.tw")</f>
        <v>108*****tm.yjes.tc.edu.tw</v>
      </c>
      <c r="E2204" s="17" t="str">
        <f>IFERROR(__xludf.DUMMYFUNCTION("""COMPUTED_VALUE"""),"臺中市私立育仁國民小學")</f>
        <v>臺中市私立育仁國民小學</v>
      </c>
      <c r="F2204" s="14" t="str">
        <f>IFERROR(__xludf.DUMMYFUNCTION("""COMPUTED_VALUE"""),"四年級")</f>
        <v>四年級</v>
      </c>
      <c r="G2204" s="14" t="str">
        <f>IFERROR(__xludf.DUMMYFUNCTION("""COMPUTED_VALUE"""),"●小禮物")</f>
        <v>●小禮物</v>
      </c>
      <c r="H2204" s="8"/>
    </row>
    <row r="2205">
      <c r="A2205" s="18"/>
      <c r="B2205" s="14">
        <f>IFERROR(__xludf.DUMMYFUNCTION("""COMPUTED_VALUE"""),781984.0)</f>
        <v>781984</v>
      </c>
      <c r="C2205" s="14" t="str">
        <f>IFERROR(__xludf.DUMMYFUNCTION("""COMPUTED_VALUE"""),"沈柏毅")</f>
        <v>沈柏毅</v>
      </c>
      <c r="D2205" s="16" t="str">
        <f>IFERROR(__xludf.DUMMYFUNCTION("""COMPUTED_VALUE"""),"joe*****0911@gmail.com")</f>
        <v>joe*****0911@gmail.com</v>
      </c>
      <c r="E2205" s="17" t="str">
        <f>IFERROR(__xludf.DUMMYFUNCTION("""COMPUTED_VALUE"""),"臺中市私立育仁國民小學")</f>
        <v>臺中市私立育仁國民小學</v>
      </c>
      <c r="F2205" s="14" t="str">
        <f>IFERROR(__xludf.DUMMYFUNCTION("""COMPUTED_VALUE"""),"四年級")</f>
        <v>四年級</v>
      </c>
      <c r="G2205" s="14" t="str">
        <f>IFERROR(__xludf.DUMMYFUNCTION("""COMPUTED_VALUE"""),"獎狀")</f>
        <v>獎狀</v>
      </c>
      <c r="H2205" s="8"/>
    </row>
    <row r="2206">
      <c r="A2206" s="18"/>
      <c r="B2206" s="14">
        <f>IFERROR(__xludf.DUMMYFUNCTION("""COMPUTED_VALUE"""),1078027.0)</f>
        <v>1078027</v>
      </c>
      <c r="C2206" s="14" t="str">
        <f>IFERROR(__xludf.DUMMYFUNCTION("""COMPUTED_VALUE"""),"白育綺")</f>
        <v>白育綺</v>
      </c>
      <c r="D2206" s="16" t="str">
        <f>IFERROR(__xludf.DUMMYFUNCTION("""COMPUTED_VALUE"""),"108*****tm.yjes.tc.edu.tw")</f>
        <v>108*****tm.yjes.tc.edu.tw</v>
      </c>
      <c r="E2206" s="17" t="str">
        <f>IFERROR(__xludf.DUMMYFUNCTION("""COMPUTED_VALUE"""),"臺中市私立育仁國民小學")</f>
        <v>臺中市私立育仁國民小學</v>
      </c>
      <c r="F2206" s="14" t="str">
        <f>IFERROR(__xludf.DUMMYFUNCTION("""COMPUTED_VALUE"""),"四年級")</f>
        <v>四年級</v>
      </c>
      <c r="G2206" s="14" t="str">
        <f>IFERROR(__xludf.DUMMYFUNCTION("""COMPUTED_VALUE"""),"獎狀")</f>
        <v>獎狀</v>
      </c>
      <c r="H2206" s="8"/>
    </row>
    <row r="2207">
      <c r="A2207" s="18"/>
      <c r="B2207" s="14">
        <f>IFERROR(__xludf.DUMMYFUNCTION("""COMPUTED_VALUE"""),1077439.0)</f>
        <v>1077439</v>
      </c>
      <c r="C2207" s="14" t="str">
        <f>IFERROR(__xludf.DUMMYFUNCTION("""COMPUTED_VALUE"""),"白恩綺")</f>
        <v>白恩綺</v>
      </c>
      <c r="D2207" s="16" t="str">
        <f>IFERROR(__xludf.DUMMYFUNCTION("""COMPUTED_VALUE"""),"108*****tm.yjes.tc.edu.tw")</f>
        <v>108*****tm.yjes.tc.edu.tw</v>
      </c>
      <c r="E2207" s="17" t="str">
        <f>IFERROR(__xludf.DUMMYFUNCTION("""COMPUTED_VALUE"""),"臺中市私立育仁國民小學")</f>
        <v>臺中市私立育仁國民小學</v>
      </c>
      <c r="F2207" s="14" t="str">
        <f>IFERROR(__xludf.DUMMYFUNCTION("""COMPUTED_VALUE"""),"四年級")</f>
        <v>四年級</v>
      </c>
      <c r="G2207" s="14" t="str">
        <f>IFERROR(__xludf.DUMMYFUNCTION("""COMPUTED_VALUE"""),"獎狀")</f>
        <v>獎狀</v>
      </c>
      <c r="H2207" s="8"/>
    </row>
    <row r="2208">
      <c r="A2208" s="18"/>
      <c r="B2208" s="14">
        <f>IFERROR(__xludf.DUMMYFUNCTION("""COMPUTED_VALUE"""),1179825.0)</f>
        <v>1179825</v>
      </c>
      <c r="C2208" s="14" t="str">
        <f>IFERROR(__xludf.DUMMYFUNCTION("""COMPUTED_VALUE"""),"顏子晴")</f>
        <v>顏子晴</v>
      </c>
      <c r="D2208" s="16" t="str">
        <f>IFERROR(__xludf.DUMMYFUNCTION("""COMPUTED_VALUE"""),"win*****6kimo@yahoo.com.tw")</f>
        <v>win*****6kimo@yahoo.com.tw</v>
      </c>
      <c r="E2208" s="17" t="str">
        <f>IFERROR(__xludf.DUMMYFUNCTION("""COMPUTED_VALUE"""),"臺中市私立育仁國民小學")</f>
        <v>臺中市私立育仁國民小學</v>
      </c>
      <c r="F2208" s="14" t="str">
        <f>IFERROR(__xludf.DUMMYFUNCTION("""COMPUTED_VALUE"""),"五年級")</f>
        <v>五年級</v>
      </c>
      <c r="G2208" s="14" t="str">
        <f>IFERROR(__xludf.DUMMYFUNCTION("""COMPUTED_VALUE"""),"獎狀")</f>
        <v>獎狀</v>
      </c>
      <c r="H2208" s="8"/>
    </row>
    <row r="2209">
      <c r="A2209" s="18"/>
      <c r="B2209" s="14">
        <f>IFERROR(__xludf.DUMMYFUNCTION("""COMPUTED_VALUE"""),721783.0)</f>
        <v>721783</v>
      </c>
      <c r="C2209" s="14" t="str">
        <f>IFERROR(__xludf.DUMMYFUNCTION("""COMPUTED_VALUE"""),"蘇渝媗")</f>
        <v>蘇渝媗</v>
      </c>
      <c r="D2209" s="16" t="str">
        <f>IFERROR(__xludf.DUMMYFUNCTION("""COMPUTED_VALUE"""),"107*****tm.yjes.tc.edu.tw")</f>
        <v>107*****tm.yjes.tc.edu.tw</v>
      </c>
      <c r="E2209" s="17" t="str">
        <f>IFERROR(__xludf.DUMMYFUNCTION("""COMPUTED_VALUE"""),"臺中市私立育仁國民小學")</f>
        <v>臺中市私立育仁國民小學</v>
      </c>
      <c r="F2209" s="14" t="str">
        <f>IFERROR(__xludf.DUMMYFUNCTION("""COMPUTED_VALUE"""),"五年級")</f>
        <v>五年級</v>
      </c>
      <c r="G2209" s="14" t="str">
        <f>IFERROR(__xludf.DUMMYFUNCTION("""COMPUTED_VALUE"""),"●小禮物")</f>
        <v>●小禮物</v>
      </c>
      <c r="H2209" s="8"/>
    </row>
    <row r="2210">
      <c r="A2210" s="18"/>
      <c r="B2210" s="14">
        <f>IFERROR(__xludf.DUMMYFUNCTION("""COMPUTED_VALUE"""),1141977.0)</f>
        <v>1141977</v>
      </c>
      <c r="C2210" s="14" t="str">
        <f>IFERROR(__xludf.DUMMYFUNCTION("""COMPUTED_VALUE"""),"陳品碩")</f>
        <v>陳品碩</v>
      </c>
      <c r="D2210" s="16" t="str">
        <f>IFERROR(__xludf.DUMMYFUNCTION("""COMPUTED_VALUE"""),"101*****eo@gmail.com")</f>
        <v>101*****eo@gmail.com</v>
      </c>
      <c r="E2210" s="17" t="str">
        <f>IFERROR(__xludf.DUMMYFUNCTION("""COMPUTED_VALUE"""),"臺中市私立育仁國民小學")</f>
        <v>臺中市私立育仁國民小學</v>
      </c>
      <c r="F2210" s="14" t="str">
        <f>IFERROR(__xludf.DUMMYFUNCTION("""COMPUTED_VALUE"""),"五年級")</f>
        <v>五年級</v>
      </c>
      <c r="G2210" s="14" t="str">
        <f>IFERROR(__xludf.DUMMYFUNCTION("""COMPUTED_VALUE"""),"獎狀")</f>
        <v>獎狀</v>
      </c>
      <c r="H2210" s="8"/>
    </row>
    <row r="2211">
      <c r="A2211" s="18"/>
      <c r="B2211" s="14">
        <f>IFERROR(__xludf.DUMMYFUNCTION("""COMPUTED_VALUE"""),1125757.0)</f>
        <v>1125757</v>
      </c>
      <c r="C2211" s="14" t="str">
        <f>IFERROR(__xludf.DUMMYFUNCTION("""COMPUTED_VALUE"""),"楊依璇")</f>
        <v>楊依璇</v>
      </c>
      <c r="D2211" s="16" t="str">
        <f>IFERROR(__xludf.DUMMYFUNCTION("""COMPUTED_VALUE"""),"hcf*****30@gmail.com")</f>
        <v>hcf*****30@gmail.com</v>
      </c>
      <c r="E2211" s="17" t="str">
        <f>IFERROR(__xludf.DUMMYFUNCTION("""COMPUTED_VALUE"""),"臺中市私立育仁國民小學")</f>
        <v>臺中市私立育仁國民小學</v>
      </c>
      <c r="F2211" s="14" t="str">
        <f>IFERROR(__xludf.DUMMYFUNCTION("""COMPUTED_VALUE"""),"五年級")</f>
        <v>五年級</v>
      </c>
      <c r="G2211" s="14" t="str">
        <f>IFERROR(__xludf.DUMMYFUNCTION("""COMPUTED_VALUE"""),"獎狀")</f>
        <v>獎狀</v>
      </c>
      <c r="H2211" s="8"/>
    </row>
    <row r="2212">
      <c r="A2212" s="18"/>
      <c r="B2212" s="14">
        <f>IFERROR(__xludf.DUMMYFUNCTION("""COMPUTED_VALUE"""),1128793.0)</f>
        <v>1128793</v>
      </c>
      <c r="C2212" s="14" t="str">
        <f>IFERROR(__xludf.DUMMYFUNCTION("""COMPUTED_VALUE"""),"陳仕正")</f>
        <v>陳仕正</v>
      </c>
      <c r="D2212" s="16" t="str">
        <f>IFERROR(__xludf.DUMMYFUNCTION("""COMPUTED_VALUE"""),"107*****tm.yjes.tc.edu.tw")</f>
        <v>107*****tm.yjes.tc.edu.tw</v>
      </c>
      <c r="E2212" s="17" t="str">
        <f>IFERROR(__xludf.DUMMYFUNCTION("""COMPUTED_VALUE"""),"臺中市私立育仁國民小學")</f>
        <v>臺中市私立育仁國民小學</v>
      </c>
      <c r="F2212" s="14" t="str">
        <f>IFERROR(__xludf.DUMMYFUNCTION("""COMPUTED_VALUE"""),"五年級")</f>
        <v>五年級</v>
      </c>
      <c r="G2212" s="14" t="str">
        <f>IFERROR(__xludf.DUMMYFUNCTION("""COMPUTED_VALUE"""),"獎狀")</f>
        <v>獎狀</v>
      </c>
      <c r="H2212" s="8"/>
    </row>
    <row r="2213">
      <c r="A2213" s="18"/>
      <c r="B2213" s="14">
        <f>IFERROR(__xludf.DUMMYFUNCTION("""COMPUTED_VALUE"""),463068.0)</f>
        <v>463068</v>
      </c>
      <c r="C2213" s="14" t="str">
        <f>IFERROR(__xludf.DUMMYFUNCTION("""COMPUTED_VALUE"""),"葉信緯")</f>
        <v>葉信緯</v>
      </c>
      <c r="D2213" s="16" t="str">
        <f>IFERROR(__xludf.DUMMYFUNCTION("""COMPUTED_VALUE"""),"rac*****u@ychind.com")</f>
        <v>rac*****u@ychind.com</v>
      </c>
      <c r="E2213" s="17" t="str">
        <f>IFERROR(__xludf.DUMMYFUNCTION("""COMPUTED_VALUE"""),"臺中市私立育仁國民小學")</f>
        <v>臺中市私立育仁國民小學</v>
      </c>
      <c r="F2213" s="14" t="str">
        <f>IFERROR(__xludf.DUMMYFUNCTION("""COMPUTED_VALUE"""),"五年級")</f>
        <v>五年級</v>
      </c>
      <c r="G2213" s="14" t="str">
        <f>IFERROR(__xludf.DUMMYFUNCTION("""COMPUTED_VALUE"""),"獎狀")</f>
        <v>獎狀</v>
      </c>
      <c r="H2213" s="8"/>
    </row>
    <row r="2214">
      <c r="A2214" s="18"/>
      <c r="B2214" s="14">
        <f>IFERROR(__xludf.DUMMYFUNCTION("""COMPUTED_VALUE"""),950705.0)</f>
        <v>950705</v>
      </c>
      <c r="C2214" s="14" t="str">
        <f>IFERROR(__xludf.DUMMYFUNCTION("""COMPUTED_VALUE"""),"洪歆童")</f>
        <v>洪歆童</v>
      </c>
      <c r="D2214" s="16" t="str">
        <f>IFERROR(__xludf.DUMMYFUNCTION("""COMPUTED_VALUE"""),"Tam*****g2@gmail.com")</f>
        <v>Tam*****g2@gmail.com</v>
      </c>
      <c r="E2214" s="17" t="str">
        <f>IFERROR(__xludf.DUMMYFUNCTION("""COMPUTED_VALUE"""),"臺中市私立育仁國民小學")</f>
        <v>臺中市私立育仁國民小學</v>
      </c>
      <c r="F2214" s="14" t="str">
        <f>IFERROR(__xludf.DUMMYFUNCTION("""COMPUTED_VALUE"""),"五年級")</f>
        <v>五年級</v>
      </c>
      <c r="G2214" s="14" t="str">
        <f>IFERROR(__xludf.DUMMYFUNCTION("""COMPUTED_VALUE"""),"●小禮物")</f>
        <v>●小禮物</v>
      </c>
      <c r="H2214" s="8"/>
    </row>
    <row r="2215">
      <c r="A2215" s="18"/>
      <c r="B2215" s="14">
        <f>IFERROR(__xludf.DUMMYFUNCTION("""COMPUTED_VALUE"""),582336.0)</f>
        <v>582336</v>
      </c>
      <c r="C2215" s="14" t="str">
        <f>IFERROR(__xludf.DUMMYFUNCTION("""COMPUTED_VALUE"""),"巫晨瑜")</f>
        <v>巫晨瑜</v>
      </c>
      <c r="D2215" s="16" t="str">
        <f>IFERROR(__xludf.DUMMYFUNCTION("""COMPUTED_VALUE"""),"107*****tm.yjes.tc.edu.tw")</f>
        <v>107*****tm.yjes.tc.edu.tw</v>
      </c>
      <c r="E2215" s="17" t="str">
        <f>IFERROR(__xludf.DUMMYFUNCTION("""COMPUTED_VALUE"""),"臺中市私立育仁國民小學")</f>
        <v>臺中市私立育仁國民小學</v>
      </c>
      <c r="F2215" s="14" t="str">
        <f>IFERROR(__xludf.DUMMYFUNCTION("""COMPUTED_VALUE"""),"五年級")</f>
        <v>五年級</v>
      </c>
      <c r="G2215" s="14" t="str">
        <f>IFERROR(__xludf.DUMMYFUNCTION("""COMPUTED_VALUE"""),"獎狀")</f>
        <v>獎狀</v>
      </c>
      <c r="H2215" s="8"/>
    </row>
    <row r="2216">
      <c r="A2216" s="18"/>
      <c r="B2216" s="14">
        <f>IFERROR(__xludf.DUMMYFUNCTION("""COMPUTED_VALUE"""),1106466.0)</f>
        <v>1106466</v>
      </c>
      <c r="C2216" s="14" t="str">
        <f>IFERROR(__xludf.DUMMYFUNCTION("""COMPUTED_VALUE"""),"賴昕彥")</f>
        <v>賴昕彥</v>
      </c>
      <c r="D2216" s="16" t="str">
        <f>IFERROR(__xludf.DUMMYFUNCTION("""COMPUTED_VALUE"""),"sav*****gmail.com")</f>
        <v>sav*****gmail.com</v>
      </c>
      <c r="E2216" s="17" t="str">
        <f>IFERROR(__xludf.DUMMYFUNCTION("""COMPUTED_VALUE"""),"臺中市私立育仁國民小學")</f>
        <v>臺中市私立育仁國民小學</v>
      </c>
      <c r="F2216" s="14" t="str">
        <f>IFERROR(__xludf.DUMMYFUNCTION("""COMPUTED_VALUE"""),"五年級")</f>
        <v>五年級</v>
      </c>
      <c r="G2216" s="14" t="str">
        <f>IFERROR(__xludf.DUMMYFUNCTION("""COMPUTED_VALUE"""),"獎狀")</f>
        <v>獎狀</v>
      </c>
      <c r="H2216" s="8"/>
    </row>
    <row r="2217">
      <c r="A2217" s="18"/>
      <c r="B2217" s="14">
        <f>IFERROR(__xludf.DUMMYFUNCTION("""COMPUTED_VALUE"""),1125759.0)</f>
        <v>1125759</v>
      </c>
      <c r="C2217" s="14" t="str">
        <f>IFERROR(__xludf.DUMMYFUNCTION("""COMPUTED_VALUE"""),"楊依珊")</f>
        <v>楊依珊</v>
      </c>
      <c r="D2217" s="16" t="str">
        <f>IFERROR(__xludf.DUMMYFUNCTION("""COMPUTED_VALUE"""),"hcf*****30@yahoo.com.tw")</f>
        <v>hcf*****30@yahoo.com.tw</v>
      </c>
      <c r="E2217" s="17" t="str">
        <f>IFERROR(__xludf.DUMMYFUNCTION("""COMPUTED_VALUE"""),"臺中市私立育仁國民小學")</f>
        <v>臺中市私立育仁國民小學</v>
      </c>
      <c r="F2217" s="14" t="str">
        <f>IFERROR(__xludf.DUMMYFUNCTION("""COMPUTED_VALUE"""),"五年級")</f>
        <v>五年級</v>
      </c>
      <c r="G2217" s="14" t="str">
        <f>IFERROR(__xludf.DUMMYFUNCTION("""COMPUTED_VALUE"""),"獎狀")</f>
        <v>獎狀</v>
      </c>
      <c r="H2217" s="8"/>
    </row>
    <row r="2218">
      <c r="A2218" s="18"/>
      <c r="B2218" s="14">
        <f>IFERROR(__xludf.DUMMYFUNCTION("""COMPUTED_VALUE"""),1022471.0)</f>
        <v>1022471</v>
      </c>
      <c r="C2218" s="14" t="str">
        <f>IFERROR(__xludf.DUMMYFUNCTION("""COMPUTED_VALUE"""),"陳姿妡")</f>
        <v>陳姿妡</v>
      </c>
      <c r="D2218" s="16" t="str">
        <f>IFERROR(__xludf.DUMMYFUNCTION("""COMPUTED_VALUE"""),"108*****stm.yjes.tc.edu.tw")</f>
        <v>108*****stm.yjes.tc.edu.tw</v>
      </c>
      <c r="E2218" s="17" t="str">
        <f>IFERROR(__xludf.DUMMYFUNCTION("""COMPUTED_VALUE"""),"臺中市私立育仁國民小學")</f>
        <v>臺中市私立育仁國民小學</v>
      </c>
      <c r="F2218" s="14" t="str">
        <f>IFERROR(__xludf.DUMMYFUNCTION("""COMPUTED_VALUE"""),"六年級")</f>
        <v>六年級</v>
      </c>
      <c r="G2218" s="14" t="str">
        <f>IFERROR(__xludf.DUMMYFUNCTION("""COMPUTED_VALUE"""),"●小禮物")</f>
        <v>●小禮物</v>
      </c>
      <c r="H2218" s="8"/>
    </row>
    <row r="2219">
      <c r="A2219" s="18"/>
      <c r="B2219" s="14">
        <f>IFERROR(__xludf.DUMMYFUNCTION("""COMPUTED_VALUE"""),1119473.0)</f>
        <v>1119473</v>
      </c>
      <c r="C2219" s="14" t="str">
        <f>IFERROR(__xludf.DUMMYFUNCTION("""COMPUTED_VALUE"""),"林煥騰")</f>
        <v>林煥騰</v>
      </c>
      <c r="D2219" s="16" t="str">
        <f>IFERROR(__xludf.DUMMYFUNCTION("""COMPUTED_VALUE"""),"bry*****1126@gmail.com")</f>
        <v>bry*****1126@gmail.com</v>
      </c>
      <c r="E2219" s="17" t="str">
        <f>IFERROR(__xludf.DUMMYFUNCTION("""COMPUTED_VALUE"""),"臺中市私立育仁國民小學")</f>
        <v>臺中市私立育仁國民小學</v>
      </c>
      <c r="F2219" s="14" t="str">
        <f>IFERROR(__xludf.DUMMYFUNCTION("""COMPUTED_VALUE"""),"六年級")</f>
        <v>六年級</v>
      </c>
      <c r="G2219" s="14" t="str">
        <f>IFERROR(__xludf.DUMMYFUNCTION("""COMPUTED_VALUE"""),"獎狀")</f>
        <v>獎狀</v>
      </c>
      <c r="H2219" s="8"/>
    </row>
    <row r="2220">
      <c r="A2220" s="18"/>
      <c r="B2220" s="14">
        <f>IFERROR(__xludf.DUMMYFUNCTION("""COMPUTED_VALUE"""),693715.0)</f>
        <v>693715</v>
      </c>
      <c r="C2220" s="14" t="str">
        <f>IFERROR(__xludf.DUMMYFUNCTION("""COMPUTED_VALUE"""),"謝光翼")</f>
        <v>謝光翼</v>
      </c>
      <c r="D2220" s="16" t="str">
        <f>IFERROR(__xludf.DUMMYFUNCTION("""COMPUTED_VALUE"""),"108*****stm.yjes.tc.edu.tw")</f>
        <v>108*****stm.yjes.tc.edu.tw</v>
      </c>
      <c r="E2220" s="17" t="str">
        <f>IFERROR(__xludf.DUMMYFUNCTION("""COMPUTED_VALUE"""),"臺中市私立育仁國民小學")</f>
        <v>臺中市私立育仁國民小學</v>
      </c>
      <c r="F2220" s="14" t="str">
        <f>IFERROR(__xludf.DUMMYFUNCTION("""COMPUTED_VALUE"""),"六年級")</f>
        <v>六年級</v>
      </c>
      <c r="G2220" s="14" t="str">
        <f>IFERROR(__xludf.DUMMYFUNCTION("""COMPUTED_VALUE"""),"●小禮物")</f>
        <v>●小禮物</v>
      </c>
      <c r="H2220" s="8"/>
    </row>
    <row r="2221">
      <c r="A2221" s="18"/>
      <c r="B2221" s="14">
        <f>IFERROR(__xludf.DUMMYFUNCTION("""COMPUTED_VALUE"""),965685.0)</f>
        <v>965685</v>
      </c>
      <c r="C2221" s="14" t="str">
        <f>IFERROR(__xludf.DUMMYFUNCTION("""COMPUTED_VALUE"""),"温侑芯")</f>
        <v>温侑芯</v>
      </c>
      <c r="D2221" s="16" t="str">
        <f>IFERROR(__xludf.DUMMYFUNCTION("""COMPUTED_VALUE"""),"yje*****88@stm.yjes.tc.edu.tw")</f>
        <v>yje*****88@stm.yjes.tc.edu.tw</v>
      </c>
      <c r="E2221" s="17" t="str">
        <f>IFERROR(__xludf.DUMMYFUNCTION("""COMPUTED_VALUE"""),"臺中市私立育仁國民小學")</f>
        <v>臺中市私立育仁國民小學</v>
      </c>
      <c r="F2221" s="14" t="str">
        <f>IFERROR(__xludf.DUMMYFUNCTION("""COMPUTED_VALUE"""),"六年級")</f>
        <v>六年級</v>
      </c>
      <c r="G2221" s="14" t="str">
        <f>IFERROR(__xludf.DUMMYFUNCTION("""COMPUTED_VALUE"""),"★禮券$200")</f>
        <v>★禮券$200</v>
      </c>
      <c r="H2221" s="8"/>
    </row>
    <row r="2222">
      <c r="A2222" s="18"/>
      <c r="B2222" s="14">
        <f>IFERROR(__xludf.DUMMYFUNCTION("""COMPUTED_VALUE"""),248693.0)</f>
        <v>248693</v>
      </c>
      <c r="C2222" s="14" t="str">
        <f>IFERROR(__xludf.DUMMYFUNCTION("""COMPUTED_VALUE"""),"郭湘渝")</f>
        <v>郭湘渝</v>
      </c>
      <c r="D2222" s="16" t="str">
        <f>IFERROR(__xludf.DUMMYFUNCTION("""COMPUTED_VALUE"""),"gav*****o@umail.hinet.net")</f>
        <v>gav*****o@umail.hinet.net</v>
      </c>
      <c r="E2222" s="17" t="str">
        <f>IFERROR(__xludf.DUMMYFUNCTION("""COMPUTED_VALUE"""),"臺中市私立育仁國民小學")</f>
        <v>臺中市私立育仁國民小學</v>
      </c>
      <c r="F2222" s="14" t="str">
        <f>IFERROR(__xludf.DUMMYFUNCTION("""COMPUTED_VALUE"""),"六年級")</f>
        <v>六年級</v>
      </c>
      <c r="G2222" s="14" t="str">
        <f>IFERROR(__xludf.DUMMYFUNCTION("""COMPUTED_VALUE"""),"獎狀")</f>
        <v>獎狀</v>
      </c>
      <c r="H2222" s="8"/>
    </row>
    <row r="2223">
      <c r="A2223" s="18"/>
      <c r="B2223" s="14">
        <f>IFERROR(__xludf.DUMMYFUNCTION("""COMPUTED_VALUE"""),993709.0)</f>
        <v>993709</v>
      </c>
      <c r="C2223" s="14" t="str">
        <f>IFERROR(__xludf.DUMMYFUNCTION("""COMPUTED_VALUE"""),"鄭詠仁")</f>
        <v>鄭詠仁</v>
      </c>
      <c r="D2223" s="16" t="str">
        <f>IFERROR(__xludf.DUMMYFUNCTION("""COMPUTED_VALUE"""),"yin*****201@gmail.com")</f>
        <v>yin*****201@gmail.com</v>
      </c>
      <c r="E2223" s="17" t="str">
        <f>IFERROR(__xludf.DUMMYFUNCTION("""COMPUTED_VALUE"""),"臺中市私立育仁國民小學")</f>
        <v>臺中市私立育仁國民小學</v>
      </c>
      <c r="F2223" s="14" t="str">
        <f>IFERROR(__xludf.DUMMYFUNCTION("""COMPUTED_VALUE"""),"六年級")</f>
        <v>六年級</v>
      </c>
      <c r="G2223" s="14" t="str">
        <f>IFERROR(__xludf.DUMMYFUNCTION("""COMPUTED_VALUE"""),"獎狀")</f>
        <v>獎狀</v>
      </c>
      <c r="H2223" s="8"/>
    </row>
    <row r="2224">
      <c r="A2224" s="18"/>
      <c r="B2224" s="14">
        <f>IFERROR(__xludf.DUMMYFUNCTION("""COMPUTED_VALUE"""),975268.0)</f>
        <v>975268</v>
      </c>
      <c r="C2224" s="14" t="str">
        <f>IFERROR(__xludf.DUMMYFUNCTION("""COMPUTED_VALUE"""),"施均澔")</f>
        <v>施均澔</v>
      </c>
      <c r="D2224" s="16" t="str">
        <f>IFERROR(__xludf.DUMMYFUNCTION("""COMPUTED_VALUE"""),"108*****stm.yjes.tc.edu.tw")</f>
        <v>108*****stm.yjes.tc.edu.tw</v>
      </c>
      <c r="E2224" s="17" t="str">
        <f>IFERROR(__xludf.DUMMYFUNCTION("""COMPUTED_VALUE"""),"臺中市私立育仁國民小學")</f>
        <v>臺中市私立育仁國民小學</v>
      </c>
      <c r="F2224" s="14" t="str">
        <f>IFERROR(__xludf.DUMMYFUNCTION("""COMPUTED_VALUE"""),"六年級")</f>
        <v>六年級</v>
      </c>
      <c r="G2224" s="14" t="str">
        <f>IFERROR(__xludf.DUMMYFUNCTION("""COMPUTED_VALUE"""),"●小禮物")</f>
        <v>●小禮物</v>
      </c>
      <c r="H2224" s="8"/>
    </row>
    <row r="2225">
      <c r="A2225" s="18"/>
      <c r="B2225" s="14">
        <f>IFERROR(__xludf.DUMMYFUNCTION("""COMPUTED_VALUE"""),1208970.0)</f>
        <v>1208970</v>
      </c>
      <c r="C2225" s="14" t="str">
        <f>IFERROR(__xludf.DUMMYFUNCTION("""COMPUTED_VALUE"""),"徐品慈")</f>
        <v>徐品慈</v>
      </c>
      <c r="D2225" s="16" t="str">
        <f>IFERROR(__xludf.DUMMYFUNCTION("""COMPUTED_VALUE"""),"108*****stm.yjes.tc.edu.tw")</f>
        <v>108*****stm.yjes.tc.edu.tw</v>
      </c>
      <c r="E2225" s="17" t="str">
        <f>IFERROR(__xludf.DUMMYFUNCTION("""COMPUTED_VALUE"""),"臺中市私立育仁國民小學")</f>
        <v>臺中市私立育仁國民小學</v>
      </c>
      <c r="F2225" s="14" t="str">
        <f>IFERROR(__xludf.DUMMYFUNCTION("""COMPUTED_VALUE"""),"六年級")</f>
        <v>六年級</v>
      </c>
      <c r="G2225" s="14" t="str">
        <f>IFERROR(__xludf.DUMMYFUNCTION("""COMPUTED_VALUE"""),"●小禮物")</f>
        <v>●小禮物</v>
      </c>
      <c r="H2225" s="8"/>
    </row>
    <row r="2226">
      <c r="A2226" s="18"/>
      <c r="B2226" s="14">
        <f>IFERROR(__xludf.DUMMYFUNCTION("""COMPUTED_VALUE"""),1183557.0)</f>
        <v>1183557</v>
      </c>
      <c r="C2226" s="14" t="str">
        <f>IFERROR(__xludf.DUMMYFUNCTION("""COMPUTED_VALUE"""),"呂仟瑜")</f>
        <v>呂仟瑜</v>
      </c>
      <c r="D2226" s="16" t="str">
        <f>IFERROR(__xludf.DUMMYFUNCTION("""COMPUTED_VALUE"""),"108*****stm.yjes.tc.edu.tw")</f>
        <v>108*****stm.yjes.tc.edu.tw</v>
      </c>
      <c r="E2226" s="17" t="str">
        <f>IFERROR(__xludf.DUMMYFUNCTION("""COMPUTED_VALUE"""),"臺中市私立育仁國民小學")</f>
        <v>臺中市私立育仁國民小學</v>
      </c>
      <c r="F2226" s="14" t="str">
        <f>IFERROR(__xludf.DUMMYFUNCTION("""COMPUTED_VALUE"""),"六年級")</f>
        <v>六年級</v>
      </c>
      <c r="G2226" s="14" t="str">
        <f>IFERROR(__xludf.DUMMYFUNCTION("""COMPUTED_VALUE"""),"獎狀")</f>
        <v>獎狀</v>
      </c>
      <c r="H2226" s="8"/>
    </row>
    <row r="2227">
      <c r="A2227" s="18"/>
      <c r="B2227" s="14">
        <f>IFERROR(__xludf.DUMMYFUNCTION("""COMPUTED_VALUE"""),182241.0)</f>
        <v>182241</v>
      </c>
      <c r="C2227" s="14" t="str">
        <f>IFERROR(__xludf.DUMMYFUNCTION("""COMPUTED_VALUE"""),"洪尉宸")</f>
        <v>洪尉宸</v>
      </c>
      <c r="D2227" s="16" t="str">
        <f>IFERROR(__xludf.DUMMYFUNCTION("""COMPUTED_VALUE"""),"gre*****ekimo@gmail.com")</f>
        <v>gre*****ekimo@gmail.com</v>
      </c>
      <c r="E2227" s="17" t="str">
        <f>IFERROR(__xludf.DUMMYFUNCTION("""COMPUTED_VALUE"""),"臺中市太平區新高國民小學")</f>
        <v>臺中市太平區新高國民小學</v>
      </c>
      <c r="F2227" s="14" t="str">
        <f>IFERROR(__xludf.DUMMYFUNCTION("""COMPUTED_VALUE"""),"三年級")</f>
        <v>三年級</v>
      </c>
      <c r="G2227" s="14" t="str">
        <f>IFERROR(__xludf.DUMMYFUNCTION("""COMPUTED_VALUE"""),"●小禮物")</f>
        <v>●小禮物</v>
      </c>
      <c r="H2227" s="8"/>
    </row>
    <row r="2228">
      <c r="A2228" s="18"/>
      <c r="B2228" s="14">
        <f>IFERROR(__xludf.DUMMYFUNCTION("""COMPUTED_VALUE"""),191833.0)</f>
        <v>191833</v>
      </c>
      <c r="C2228" s="14" t="str">
        <f>IFERROR(__xludf.DUMMYFUNCTION("""COMPUTED_VALUE"""),"洪胤策")</f>
        <v>洪胤策</v>
      </c>
      <c r="D2228" s="16" t="str">
        <f>IFERROR(__xludf.DUMMYFUNCTION("""COMPUTED_VALUE"""),"gre*****ekimo@yahoo.com.tw")</f>
        <v>gre*****ekimo@yahoo.com.tw</v>
      </c>
      <c r="E2228" s="17" t="str">
        <f>IFERROR(__xludf.DUMMYFUNCTION("""COMPUTED_VALUE"""),"臺中市太平區新高國民小學")</f>
        <v>臺中市太平區新高國民小學</v>
      </c>
      <c r="F2228" s="14" t="str">
        <f>IFERROR(__xludf.DUMMYFUNCTION("""COMPUTED_VALUE"""),"五年級")</f>
        <v>五年級</v>
      </c>
      <c r="G2228" s="14" t="str">
        <f>IFERROR(__xludf.DUMMYFUNCTION("""COMPUTED_VALUE"""),"獎狀")</f>
        <v>獎狀</v>
      </c>
      <c r="H2228" s="8"/>
    </row>
    <row r="2229">
      <c r="A2229" s="18"/>
      <c r="B2229" s="14">
        <f>IFERROR(__xludf.DUMMYFUNCTION("""COMPUTED_VALUE"""),1104565.0)</f>
        <v>1104565</v>
      </c>
      <c r="C2229" s="14" t="str">
        <f>IFERROR(__xludf.DUMMYFUNCTION("""COMPUTED_VALUE"""),"羅祖希")</f>
        <v>羅祖希</v>
      </c>
      <c r="D2229" s="16" t="str">
        <f>IFERROR(__xludf.DUMMYFUNCTION("""COMPUTED_VALUE"""),"946*****t.tc.edu.tw")</f>
        <v>946*****t.tc.edu.tw</v>
      </c>
      <c r="E2229" s="17" t="str">
        <f>IFERROR(__xludf.DUMMYFUNCTION("""COMPUTED_VALUE"""),"臺中市北屯區文心國民小學")</f>
        <v>臺中市北屯區文心國民小學</v>
      </c>
      <c r="F2229" s="14" t="str">
        <f>IFERROR(__xludf.DUMMYFUNCTION("""COMPUTED_VALUE"""),"三年級")</f>
        <v>三年級</v>
      </c>
      <c r="G2229" s="14" t="str">
        <f>IFERROR(__xludf.DUMMYFUNCTION("""COMPUTED_VALUE"""),"●小禮物")</f>
        <v>●小禮物</v>
      </c>
      <c r="H2229" s="8"/>
    </row>
    <row r="2230">
      <c r="A2230" s="18"/>
      <c r="B2230" s="14">
        <f>IFERROR(__xludf.DUMMYFUNCTION("""COMPUTED_VALUE"""),423129.0)</f>
        <v>423129</v>
      </c>
      <c r="C2230" s="14" t="str">
        <f>IFERROR(__xludf.DUMMYFUNCTION("""COMPUTED_VALUE"""),"賴致宇")</f>
        <v>賴致宇</v>
      </c>
      <c r="D2230" s="16" t="str">
        <f>IFERROR(__xludf.DUMMYFUNCTION("""COMPUTED_VALUE"""),"wxe*****89@mail.edu.tw")</f>
        <v>wxe*****89@mail.edu.tw</v>
      </c>
      <c r="E2230" s="17" t="str">
        <f>IFERROR(__xludf.DUMMYFUNCTION("""COMPUTED_VALUE"""),"臺中市北屯區文心國民小學")</f>
        <v>臺中市北屯區文心國民小學</v>
      </c>
      <c r="F2230" s="14" t="str">
        <f>IFERROR(__xludf.DUMMYFUNCTION("""COMPUTED_VALUE"""),"五年級")</f>
        <v>五年級</v>
      </c>
      <c r="G2230" s="14" t="str">
        <f>IFERROR(__xludf.DUMMYFUNCTION("""COMPUTED_VALUE"""),"●小禮物")</f>
        <v>●小禮物</v>
      </c>
      <c r="H2230" s="8"/>
    </row>
    <row r="2231">
      <c r="A2231" s="18"/>
      <c r="B2231" s="14">
        <f>IFERROR(__xludf.DUMMYFUNCTION("""COMPUTED_VALUE"""),636667.0)</f>
        <v>636667</v>
      </c>
      <c r="C2231" s="14" t="str">
        <f>IFERROR(__xludf.DUMMYFUNCTION("""COMPUTED_VALUE"""),"蔡詔宇")</f>
        <v>蔡詔宇</v>
      </c>
      <c r="D2231" s="16" t="str">
        <f>IFERROR(__xludf.DUMMYFUNCTION("""COMPUTED_VALUE"""),"ler*****9@mail.edu.tw")</f>
        <v>ler*****9@mail.edu.tw</v>
      </c>
      <c r="E2231" s="17" t="str">
        <f>IFERROR(__xludf.DUMMYFUNCTION("""COMPUTED_VALUE"""),"臺中市北屯區文心國民小學")</f>
        <v>臺中市北屯區文心國民小學</v>
      </c>
      <c r="F2231" s="14" t="str">
        <f>IFERROR(__xludf.DUMMYFUNCTION("""COMPUTED_VALUE"""),"五年級")</f>
        <v>五年級</v>
      </c>
      <c r="G2231" s="14" t="str">
        <f>IFERROR(__xludf.DUMMYFUNCTION("""COMPUTED_VALUE"""),"獎狀")</f>
        <v>獎狀</v>
      </c>
      <c r="H2231" s="8"/>
    </row>
    <row r="2232">
      <c r="A2232" s="18"/>
      <c r="B2232" s="14">
        <f>IFERROR(__xludf.DUMMYFUNCTION("""COMPUTED_VALUE"""),947999.0)</f>
        <v>947999</v>
      </c>
      <c r="C2232" s="14" t="str">
        <f>IFERROR(__xludf.DUMMYFUNCTION("""COMPUTED_VALUE"""),"唐維駿")</f>
        <v>唐維駿</v>
      </c>
      <c r="D2232" s="16" t="str">
        <f>IFERROR(__xludf.DUMMYFUNCTION("""COMPUTED_VALUE"""),"tc.*****1173@mail.edu.tw")</f>
        <v>tc.*****1173@mail.edu.tw</v>
      </c>
      <c r="E2232" s="17" t="str">
        <f>IFERROR(__xludf.DUMMYFUNCTION("""COMPUTED_VALUE"""),"臺中市北屯區文心國民小學")</f>
        <v>臺中市北屯區文心國民小學</v>
      </c>
      <c r="F2232" s="14" t="str">
        <f>IFERROR(__xludf.DUMMYFUNCTION("""COMPUTED_VALUE"""),"六年級")</f>
        <v>六年級</v>
      </c>
      <c r="G2232" s="14" t="str">
        <f>IFERROR(__xludf.DUMMYFUNCTION("""COMPUTED_VALUE"""),"獎狀")</f>
        <v>獎狀</v>
      </c>
      <c r="H2232" s="8"/>
    </row>
    <row r="2233">
      <c r="A2233" s="18"/>
      <c r="B2233" s="14">
        <f>IFERROR(__xludf.DUMMYFUNCTION("""COMPUTED_VALUE"""),744601.0)</f>
        <v>744601</v>
      </c>
      <c r="C2233" s="14" t="str">
        <f>IFERROR(__xludf.DUMMYFUNCTION("""COMPUTED_VALUE"""),"賴沂萱")</f>
        <v>賴沂萱</v>
      </c>
      <c r="D2233" s="16" t="str">
        <f>IFERROR(__xludf.DUMMYFUNCTION("""COMPUTED_VALUE"""),"933*****t.tc.edu.tw")</f>
        <v>933*****t.tc.edu.tw</v>
      </c>
      <c r="E2233" s="17" t="str">
        <f>IFERROR(__xludf.DUMMYFUNCTION("""COMPUTED_VALUE"""),"臺中市北屯區四維國民小學")</f>
        <v>臺中市北屯區四維國民小學</v>
      </c>
      <c r="F2233" s="14" t="str">
        <f>IFERROR(__xludf.DUMMYFUNCTION("""COMPUTED_VALUE"""),"三年級")</f>
        <v>三年級</v>
      </c>
      <c r="G2233" s="14" t="str">
        <f>IFERROR(__xludf.DUMMYFUNCTION("""COMPUTED_VALUE"""),"●小禮物")</f>
        <v>●小禮物</v>
      </c>
      <c r="H2233" s="8"/>
    </row>
    <row r="2234">
      <c r="A2234" s="18"/>
      <c r="B2234" s="14">
        <f>IFERROR(__xludf.DUMMYFUNCTION("""COMPUTED_VALUE"""),1130659.0)</f>
        <v>1130659</v>
      </c>
      <c r="C2234" s="14" t="str">
        <f>IFERROR(__xludf.DUMMYFUNCTION("""COMPUTED_VALUE"""),"潘昱羽")</f>
        <v>潘昱羽</v>
      </c>
      <c r="D2234" s="16" t="str">
        <f>IFERROR(__xludf.DUMMYFUNCTION("""COMPUTED_VALUE"""),"108*****res.tc.edu.tw")</f>
        <v>108*****res.tc.edu.tw</v>
      </c>
      <c r="E2234" s="17" t="str">
        <f>IFERROR(__xludf.DUMMYFUNCTION("""COMPUTED_VALUE"""),"臺中市北屯區四張犁國民小學")</f>
        <v>臺中市北屯區四張犁國民小學</v>
      </c>
      <c r="F2234" s="14" t="str">
        <f>IFERROR(__xludf.DUMMYFUNCTION("""COMPUTED_VALUE"""),"四年級")</f>
        <v>四年級</v>
      </c>
      <c r="G2234" s="14" t="str">
        <f>IFERROR(__xludf.DUMMYFUNCTION("""COMPUTED_VALUE"""),"獎狀")</f>
        <v>獎狀</v>
      </c>
      <c r="H2234" s="8"/>
    </row>
    <row r="2235">
      <c r="A2235" s="18"/>
      <c r="B2235" s="14">
        <f>IFERROR(__xludf.DUMMYFUNCTION("""COMPUTED_VALUE"""),1175203.0)</f>
        <v>1175203</v>
      </c>
      <c r="C2235" s="14" t="str">
        <f>IFERROR(__xludf.DUMMYFUNCTION("""COMPUTED_VALUE"""),"李依芷")</f>
        <v>李依芷</v>
      </c>
      <c r="D2235" s="16" t="str">
        <f>IFERROR(__xludf.DUMMYFUNCTION("""COMPUTED_VALUE"""),"936*****t.tc.edu.tw")</f>
        <v>936*****t.tc.edu.tw</v>
      </c>
      <c r="E2235" s="17" t="str">
        <f>IFERROR(__xludf.DUMMYFUNCTION("""COMPUTED_VALUE"""),"臺中市北屯區軍功國民小學")</f>
        <v>臺中市北屯區軍功國民小學</v>
      </c>
      <c r="F2235" s="14" t="str">
        <f>IFERROR(__xludf.DUMMYFUNCTION("""COMPUTED_VALUE"""),"三年級")</f>
        <v>三年級</v>
      </c>
      <c r="G2235" s="14" t="str">
        <f>IFERROR(__xludf.DUMMYFUNCTION("""COMPUTED_VALUE"""),"●小禮物")</f>
        <v>●小禮物</v>
      </c>
      <c r="H2235" s="8"/>
    </row>
    <row r="2236">
      <c r="A2236" s="18"/>
      <c r="B2236" s="14">
        <f>IFERROR(__xludf.DUMMYFUNCTION("""COMPUTED_VALUE"""),1100036.0)</f>
        <v>1100036</v>
      </c>
      <c r="C2236" s="14" t="str">
        <f>IFERROR(__xludf.DUMMYFUNCTION("""COMPUTED_VALUE"""),"沈亞易")</f>
        <v>沈亞易</v>
      </c>
      <c r="D2236" s="16" t="str">
        <f>IFERROR(__xludf.DUMMYFUNCTION("""COMPUTED_VALUE"""),"yar*****14@gmail.com")</f>
        <v>yar*****14@gmail.com</v>
      </c>
      <c r="E2236" s="17" t="str">
        <f>IFERROR(__xludf.DUMMYFUNCTION("""COMPUTED_VALUE"""),"臺中市私立明道普霖斯頓國民小學")</f>
        <v>臺中市私立明道普霖斯頓國民小學</v>
      </c>
      <c r="F2236" s="14" t="str">
        <f>IFERROR(__xludf.DUMMYFUNCTION("""COMPUTED_VALUE"""),"四年級")</f>
        <v>四年級</v>
      </c>
      <c r="G2236" s="14" t="str">
        <f>IFERROR(__xludf.DUMMYFUNCTION("""COMPUTED_VALUE"""),"獎狀")</f>
        <v>獎狀</v>
      </c>
      <c r="H2236" s="8"/>
    </row>
    <row r="2237">
      <c r="A2237" s="18"/>
      <c r="B2237" s="14">
        <f>IFERROR(__xludf.DUMMYFUNCTION("""COMPUTED_VALUE"""),1181728.0)</f>
        <v>1181728</v>
      </c>
      <c r="C2237" s="14" t="str">
        <f>IFERROR(__xludf.DUMMYFUNCTION("""COMPUTED_VALUE"""),"賴瑜璟")</f>
        <v>賴瑜璟</v>
      </c>
      <c r="D2237" s="16" t="str">
        <f>IFERROR(__xludf.DUMMYFUNCTION("""COMPUTED_VALUE"""),"hug*****@hotmail.com")</f>
        <v>hug*****@hotmail.com</v>
      </c>
      <c r="E2237" s="17" t="str">
        <f>IFERROR(__xludf.DUMMYFUNCTION("""COMPUTED_VALUE"""),"臺中市私立明道普霖斯頓國民小學")</f>
        <v>臺中市私立明道普霖斯頓國民小學</v>
      </c>
      <c r="F2237" s="14" t="str">
        <f>IFERROR(__xludf.DUMMYFUNCTION("""COMPUTED_VALUE"""),"四年級")</f>
        <v>四年級</v>
      </c>
      <c r="G2237" s="14" t="str">
        <f>IFERROR(__xludf.DUMMYFUNCTION("""COMPUTED_VALUE"""),"獎狀")</f>
        <v>獎狀</v>
      </c>
      <c r="H2237" s="8"/>
    </row>
    <row r="2238">
      <c r="A2238" s="18"/>
      <c r="B2238" s="14">
        <f>IFERROR(__xludf.DUMMYFUNCTION("""COMPUTED_VALUE"""),1005719.0)</f>
        <v>1005719</v>
      </c>
      <c r="C2238" s="14" t="str">
        <f>IFERROR(__xludf.DUMMYFUNCTION("""COMPUTED_VALUE"""),"游桓瑄")</f>
        <v>游桓瑄</v>
      </c>
      <c r="D2238" s="16" t="str">
        <f>IFERROR(__xludf.DUMMYFUNCTION("""COMPUTED_VALUE"""),"tak*****001@gmail.com")</f>
        <v>tak*****001@gmail.com</v>
      </c>
      <c r="E2238" s="17" t="str">
        <f>IFERROR(__xludf.DUMMYFUNCTION("""COMPUTED_VALUE"""),"臺中市私立明道普霖斯頓國民小學")</f>
        <v>臺中市私立明道普霖斯頓國民小學</v>
      </c>
      <c r="F2238" s="14" t="str">
        <f>IFERROR(__xludf.DUMMYFUNCTION("""COMPUTED_VALUE"""),"四年級")</f>
        <v>四年級</v>
      </c>
      <c r="G2238" s="14" t="str">
        <f>IFERROR(__xludf.DUMMYFUNCTION("""COMPUTED_VALUE"""),"●小禮物")</f>
        <v>●小禮物</v>
      </c>
      <c r="H2238" s="8"/>
    </row>
    <row r="2239">
      <c r="A2239" s="18"/>
      <c r="B2239" s="14">
        <f>IFERROR(__xludf.DUMMYFUNCTION("""COMPUTED_VALUE"""),1186429.0)</f>
        <v>1186429</v>
      </c>
      <c r="C2239" s="14" t="str">
        <f>IFERROR(__xludf.DUMMYFUNCTION("""COMPUTED_VALUE"""),"賴子易")</f>
        <v>賴子易</v>
      </c>
      <c r="D2239" s="16" t="str">
        <f>IFERROR(__xludf.DUMMYFUNCTION("""COMPUTED_VALUE"""),"lai*****icloud.com")</f>
        <v>lai*****icloud.com</v>
      </c>
      <c r="E2239" s="17" t="str">
        <f>IFERROR(__xludf.DUMMYFUNCTION("""COMPUTED_VALUE"""),"臺中市私立明道普霖斯頓國民小學")</f>
        <v>臺中市私立明道普霖斯頓國民小學</v>
      </c>
      <c r="F2239" s="14" t="str">
        <f>IFERROR(__xludf.DUMMYFUNCTION("""COMPUTED_VALUE"""),"四年級")</f>
        <v>四年級</v>
      </c>
      <c r="G2239" s="14" t="str">
        <f>IFERROR(__xludf.DUMMYFUNCTION("""COMPUTED_VALUE"""),"●小禮物")</f>
        <v>●小禮物</v>
      </c>
      <c r="H2239" s="8"/>
    </row>
    <row r="2240">
      <c r="A2240" s="18"/>
      <c r="B2240" s="14">
        <f>IFERROR(__xludf.DUMMYFUNCTION("""COMPUTED_VALUE"""),565772.0)</f>
        <v>565772</v>
      </c>
      <c r="C2240" s="14" t="str">
        <f>IFERROR(__xludf.DUMMYFUNCTION("""COMPUTED_VALUE"""),"白旭淵")</f>
        <v>白旭淵</v>
      </c>
      <c r="D2240" s="16" t="str">
        <f>IFERROR(__xludf.DUMMYFUNCTION("""COMPUTED_VALUE"""),"sno*****@hotmail.com")</f>
        <v>sno*****@hotmail.com</v>
      </c>
      <c r="E2240" s="17" t="str">
        <f>IFERROR(__xludf.DUMMYFUNCTION("""COMPUTED_VALUE"""),"臺中市私立明道普霖斯頓國民小學")</f>
        <v>臺中市私立明道普霖斯頓國民小學</v>
      </c>
      <c r="F2240" s="14" t="str">
        <f>IFERROR(__xludf.DUMMYFUNCTION("""COMPUTED_VALUE"""),"五年級")</f>
        <v>五年級</v>
      </c>
      <c r="G2240" s="14" t="str">
        <f>IFERROR(__xludf.DUMMYFUNCTION("""COMPUTED_VALUE"""),"獎狀")</f>
        <v>獎狀</v>
      </c>
      <c r="H2240" s="8"/>
    </row>
    <row r="2241">
      <c r="A2241" s="18"/>
      <c r="B2241" s="14">
        <f>IFERROR(__xludf.DUMMYFUNCTION("""COMPUTED_VALUE"""),1120643.0)</f>
        <v>1120643</v>
      </c>
      <c r="C2241" s="14" t="str">
        <f>IFERROR(__xludf.DUMMYFUNCTION("""COMPUTED_VALUE"""),"陳奕涵")</f>
        <v>陳奕涵</v>
      </c>
      <c r="D2241" s="16" t="str">
        <f>IFERROR(__xludf.DUMMYFUNCTION("""COMPUTED_VALUE"""),"107*****ail2.fhbes.tc.edu.tw")</f>
        <v>107*****ail2.fhbes.tc.edu.tw</v>
      </c>
      <c r="E2241" s="17" t="str">
        <f>IFERROR(__xludf.DUMMYFUNCTION("""COMPUTED_VALUE"""),"臺中市私立明道普霖斯頓國民小學")</f>
        <v>臺中市私立明道普霖斯頓國民小學</v>
      </c>
      <c r="F2241" s="14" t="str">
        <f>IFERROR(__xludf.DUMMYFUNCTION("""COMPUTED_VALUE"""),"五年級")</f>
        <v>五年級</v>
      </c>
      <c r="G2241" s="14" t="str">
        <f>IFERROR(__xludf.DUMMYFUNCTION("""COMPUTED_VALUE"""),"●小禮物")</f>
        <v>●小禮物</v>
      </c>
      <c r="H2241" s="8"/>
    </row>
    <row r="2242">
      <c r="A2242" s="18"/>
      <c r="B2242" s="14">
        <f>IFERROR(__xludf.DUMMYFUNCTION("""COMPUTED_VALUE"""),1018553.0)</f>
        <v>1018553</v>
      </c>
      <c r="C2242" s="14" t="str">
        <f>IFERROR(__xludf.DUMMYFUNCTION("""COMPUTED_VALUE"""),"陳彥旭")</f>
        <v>陳彥旭</v>
      </c>
      <c r="D2242" s="16" t="str">
        <f>IFERROR(__xludf.DUMMYFUNCTION("""COMPUTED_VALUE"""),"yhc*****15@gmail.com")</f>
        <v>yhc*****15@gmail.com</v>
      </c>
      <c r="E2242" s="17" t="str">
        <f>IFERROR(__xludf.DUMMYFUNCTION("""COMPUTED_VALUE"""),"臺中市私立明道普霖斯頓國民小學")</f>
        <v>臺中市私立明道普霖斯頓國民小學</v>
      </c>
      <c r="F2242" s="14" t="str">
        <f>IFERROR(__xludf.DUMMYFUNCTION("""COMPUTED_VALUE"""),"五年級")</f>
        <v>五年級</v>
      </c>
      <c r="G2242" s="14" t="str">
        <f>IFERROR(__xludf.DUMMYFUNCTION("""COMPUTED_VALUE"""),"●小禮物")</f>
        <v>●小禮物</v>
      </c>
      <c r="H2242" s="8"/>
    </row>
    <row r="2243">
      <c r="A2243" s="18"/>
      <c r="B2243" s="14">
        <f>IFERROR(__xludf.DUMMYFUNCTION("""COMPUTED_VALUE"""),71414.0)</f>
        <v>71414</v>
      </c>
      <c r="C2243" s="14" t="str">
        <f>IFERROR(__xludf.DUMMYFUNCTION("""COMPUTED_VALUE"""),"蔡安淇")</f>
        <v>蔡安淇</v>
      </c>
      <c r="D2243" s="16" t="str">
        <f>IFERROR(__xludf.DUMMYFUNCTION("""COMPUTED_VALUE"""),"yyi*****yahoo.com.tw")</f>
        <v>yyi*****yahoo.com.tw</v>
      </c>
      <c r="E2243" s="17" t="str">
        <f>IFERROR(__xludf.DUMMYFUNCTION("""COMPUTED_VALUE"""),"臺中市私立明道普霖斯頓國民小學")</f>
        <v>臺中市私立明道普霖斯頓國民小學</v>
      </c>
      <c r="F2243" s="14" t="str">
        <f>IFERROR(__xludf.DUMMYFUNCTION("""COMPUTED_VALUE"""),"六年級")</f>
        <v>六年級</v>
      </c>
      <c r="G2243" s="14" t="str">
        <f>IFERROR(__xludf.DUMMYFUNCTION("""COMPUTED_VALUE"""),"●小禮物")</f>
        <v>●小禮物</v>
      </c>
      <c r="H2243" s="8"/>
    </row>
    <row r="2244">
      <c r="A2244" s="18"/>
      <c r="B2244" s="14">
        <f>IFERROR(__xludf.DUMMYFUNCTION("""COMPUTED_VALUE"""),1007786.0)</f>
        <v>1007786</v>
      </c>
      <c r="C2244" s="14" t="str">
        <f>IFERROR(__xludf.DUMMYFUNCTION("""COMPUTED_VALUE"""),"林妟蔆")</f>
        <v>林妟蔆</v>
      </c>
      <c r="D2244" s="16" t="str">
        <f>IFERROR(__xludf.DUMMYFUNCTION("""COMPUTED_VALUE"""),"106*****ail2.fhbes.tc.edu.tw")</f>
        <v>106*****ail2.fhbes.tc.edu.tw</v>
      </c>
      <c r="E2244" s="17" t="str">
        <f>IFERROR(__xludf.DUMMYFUNCTION("""COMPUTED_VALUE"""),"臺中市私立明道普霖斯頓國民小學")</f>
        <v>臺中市私立明道普霖斯頓國民小學</v>
      </c>
      <c r="F2244" s="14" t="str">
        <f>IFERROR(__xludf.DUMMYFUNCTION("""COMPUTED_VALUE"""),"六年級")</f>
        <v>六年級</v>
      </c>
      <c r="G2244" s="14" t="str">
        <f>IFERROR(__xludf.DUMMYFUNCTION("""COMPUTED_VALUE"""),"獎狀")</f>
        <v>獎狀</v>
      </c>
      <c r="H2244" s="8"/>
    </row>
    <row r="2245">
      <c r="A2245" s="18"/>
      <c r="B2245" s="14">
        <f>IFERROR(__xludf.DUMMYFUNCTION("""COMPUTED_VALUE"""),1187155.0)</f>
        <v>1187155</v>
      </c>
      <c r="C2245" s="14" t="str">
        <f>IFERROR(__xludf.DUMMYFUNCTION("""COMPUTED_VALUE"""),"林子佑")</f>
        <v>林子佑</v>
      </c>
      <c r="D2245" s="16" t="str">
        <f>IFERROR(__xludf.DUMMYFUNCTION("""COMPUTED_VALUE"""),"s10*****35@mail1.ncnu.edu.tw")</f>
        <v>s10*****35@mail1.ncnu.edu.tw</v>
      </c>
      <c r="E2245" s="17" t="str">
        <f>IFERROR(__xludf.DUMMYFUNCTION("""COMPUTED_VALUE"""),"臺中市私立明道普霖斯頓國民小學")</f>
        <v>臺中市私立明道普霖斯頓國民小學</v>
      </c>
      <c r="F2245" s="14" t="str">
        <f>IFERROR(__xludf.DUMMYFUNCTION("""COMPUTED_VALUE"""),"六年級")</f>
        <v>六年級</v>
      </c>
      <c r="G2245" s="14" t="str">
        <f>IFERROR(__xludf.DUMMYFUNCTION("""COMPUTED_VALUE"""),"●小禮物")</f>
        <v>●小禮物</v>
      </c>
      <c r="H2245" s="8"/>
    </row>
    <row r="2246">
      <c r="A2246" s="18"/>
      <c r="B2246" s="14">
        <f>IFERROR(__xludf.DUMMYFUNCTION("""COMPUTED_VALUE"""),1018528.0)</f>
        <v>1018528</v>
      </c>
      <c r="C2246" s="14" t="str">
        <f>IFERROR(__xludf.DUMMYFUNCTION("""COMPUTED_VALUE"""),"陳宏睿")</f>
        <v>陳宏睿</v>
      </c>
      <c r="D2246" s="16" t="str">
        <f>IFERROR(__xludf.DUMMYFUNCTION("""COMPUTED_VALUE"""),"hjc*****01@gmail.com")</f>
        <v>hjc*****01@gmail.com</v>
      </c>
      <c r="E2246" s="17" t="str">
        <f>IFERROR(__xludf.DUMMYFUNCTION("""COMPUTED_VALUE"""),"臺中市私立明道普霖斯頓國民小學")</f>
        <v>臺中市私立明道普霖斯頓國民小學</v>
      </c>
      <c r="F2246" s="14" t="str">
        <f>IFERROR(__xludf.DUMMYFUNCTION("""COMPUTED_VALUE"""),"六年級")</f>
        <v>六年級</v>
      </c>
      <c r="G2246" s="14" t="str">
        <f>IFERROR(__xludf.DUMMYFUNCTION("""COMPUTED_VALUE"""),"獎狀")</f>
        <v>獎狀</v>
      </c>
      <c r="H2246" s="8"/>
    </row>
    <row r="2247">
      <c r="A2247" s="18"/>
      <c r="B2247" s="14">
        <f>IFERROR(__xludf.DUMMYFUNCTION("""COMPUTED_VALUE"""),1039038.0)</f>
        <v>1039038</v>
      </c>
      <c r="C2247" s="14" t="str">
        <f>IFERROR(__xludf.DUMMYFUNCTION("""COMPUTED_VALUE"""),"陳琦安")</f>
        <v>陳琦安</v>
      </c>
      <c r="D2247" s="16" t="str">
        <f>IFERROR(__xludf.DUMMYFUNCTION("""COMPUTED_VALUE"""),"106*****ail2.fhbes.tc.edu.tw")</f>
        <v>106*****ail2.fhbes.tc.edu.tw</v>
      </c>
      <c r="E2247" s="17" t="str">
        <f>IFERROR(__xludf.DUMMYFUNCTION("""COMPUTED_VALUE"""),"臺中市私立明道普霖斯頓國民小學")</f>
        <v>臺中市私立明道普霖斯頓國民小學</v>
      </c>
      <c r="F2247" s="14" t="str">
        <f>IFERROR(__xludf.DUMMYFUNCTION("""COMPUTED_VALUE"""),"六年級")</f>
        <v>六年級</v>
      </c>
      <c r="G2247" s="14" t="str">
        <f>IFERROR(__xludf.DUMMYFUNCTION("""COMPUTED_VALUE"""),"獎狀")</f>
        <v>獎狀</v>
      </c>
      <c r="H2247" s="8"/>
    </row>
    <row r="2248">
      <c r="A2248" s="18"/>
      <c r="B2248" s="14">
        <f>IFERROR(__xludf.DUMMYFUNCTION("""COMPUTED_VALUE"""),1011685.0)</f>
        <v>1011685</v>
      </c>
      <c r="C2248" s="14" t="str">
        <f>IFERROR(__xludf.DUMMYFUNCTION("""COMPUTED_VALUE"""),"楊婕妤")</f>
        <v>楊婕妤</v>
      </c>
      <c r="D2248" s="16" t="str">
        <f>IFERROR(__xludf.DUMMYFUNCTION("""COMPUTED_VALUE"""),"yan*****gyen2@gmail.com")</f>
        <v>yan*****gyen2@gmail.com</v>
      </c>
      <c r="E2248" s="17" t="str">
        <f>IFERROR(__xludf.DUMMYFUNCTION("""COMPUTED_VALUE"""),"臺中市私立明道普霖斯頓國民小學")</f>
        <v>臺中市私立明道普霖斯頓國民小學</v>
      </c>
      <c r="F2248" s="14" t="str">
        <f>IFERROR(__xludf.DUMMYFUNCTION("""COMPUTED_VALUE"""),"六年級")</f>
        <v>六年級</v>
      </c>
      <c r="G2248" s="14" t="str">
        <f>IFERROR(__xludf.DUMMYFUNCTION("""COMPUTED_VALUE"""),"●小禮物")</f>
        <v>●小禮物</v>
      </c>
      <c r="H2248" s="8"/>
    </row>
    <row r="2249">
      <c r="A2249" s="18"/>
      <c r="B2249" s="14">
        <f>IFERROR(__xludf.DUMMYFUNCTION("""COMPUTED_VALUE"""),1039768.0)</f>
        <v>1039768</v>
      </c>
      <c r="C2249" s="14" t="str">
        <f>IFERROR(__xludf.DUMMYFUNCTION("""COMPUTED_VALUE"""),"陳翊安")</f>
        <v>陳翊安</v>
      </c>
      <c r="D2249" s="16" t="str">
        <f>IFERROR(__xludf.DUMMYFUNCTION("""COMPUTED_VALUE"""),"106*****ail2.fhbes.tc.edu.tw")</f>
        <v>106*****ail2.fhbes.tc.edu.tw</v>
      </c>
      <c r="E2249" s="17" t="str">
        <f>IFERROR(__xludf.DUMMYFUNCTION("""COMPUTED_VALUE"""),"臺中市私立明道普霖斯頓國民小學")</f>
        <v>臺中市私立明道普霖斯頓國民小學</v>
      </c>
      <c r="F2249" s="14" t="str">
        <f>IFERROR(__xludf.DUMMYFUNCTION("""COMPUTED_VALUE"""),"六年級")</f>
        <v>六年級</v>
      </c>
      <c r="G2249" s="14" t="str">
        <f>IFERROR(__xludf.DUMMYFUNCTION("""COMPUTED_VALUE"""),"獎狀")</f>
        <v>獎狀</v>
      </c>
      <c r="H2249" s="8"/>
    </row>
    <row r="2250">
      <c r="A2250" s="18"/>
      <c r="B2250" s="14">
        <f>IFERROR(__xludf.DUMMYFUNCTION("""COMPUTED_VALUE"""),709270.0)</f>
        <v>709270</v>
      </c>
      <c r="C2250" s="14" t="str">
        <f>IFERROR(__xludf.DUMMYFUNCTION("""COMPUTED_VALUE"""),"何奕陞")</f>
        <v>何奕陞</v>
      </c>
      <c r="D2250" s="16" t="str">
        <f>IFERROR(__xludf.DUMMYFUNCTION("""COMPUTED_VALUE"""),"b10*****ail.edu.tw")</f>
        <v>b10*****ail.edu.tw</v>
      </c>
      <c r="E2250" s="17" t="str">
        <f>IFERROR(__xludf.DUMMYFUNCTION("""COMPUTED_VALUE"""),"臺中市北屯區建功國民小學")</f>
        <v>臺中市北屯區建功國民小學</v>
      </c>
      <c r="F2250" s="14" t="str">
        <f>IFERROR(__xludf.DUMMYFUNCTION("""COMPUTED_VALUE"""),"四年級")</f>
        <v>四年級</v>
      </c>
      <c r="G2250" s="14" t="str">
        <f>IFERROR(__xludf.DUMMYFUNCTION("""COMPUTED_VALUE"""),"獎狀")</f>
        <v>獎狀</v>
      </c>
      <c r="H2250" s="8"/>
    </row>
    <row r="2251">
      <c r="A2251" s="18"/>
      <c r="B2251" s="14">
        <f>IFERROR(__xludf.DUMMYFUNCTION("""COMPUTED_VALUE"""),219493.0)</f>
        <v>219493</v>
      </c>
      <c r="C2251" s="14" t="str">
        <f>IFERROR(__xludf.DUMMYFUNCTION("""COMPUTED_VALUE"""),"鄧嵐心")</f>
        <v>鄧嵐心</v>
      </c>
      <c r="D2251" s="16" t="str">
        <f>IFERROR(__xludf.DUMMYFUNCTION("""COMPUTED_VALUE"""),"tc.*****2557@mail.edu.tw")</f>
        <v>tc.*****2557@mail.edu.tw</v>
      </c>
      <c r="E2251" s="17" t="str">
        <f>IFERROR(__xludf.DUMMYFUNCTION("""COMPUTED_VALUE"""),"臺中市北屯區建功國民小學")</f>
        <v>臺中市北屯區建功國民小學</v>
      </c>
      <c r="F2251" s="14" t="str">
        <f>IFERROR(__xludf.DUMMYFUNCTION("""COMPUTED_VALUE"""),"六年級")</f>
        <v>六年級</v>
      </c>
      <c r="G2251" s="14" t="str">
        <f>IFERROR(__xludf.DUMMYFUNCTION("""COMPUTED_VALUE"""),"●小禮物")</f>
        <v>●小禮物</v>
      </c>
      <c r="H2251" s="8"/>
    </row>
    <row r="2252">
      <c r="A2252" s="18"/>
      <c r="B2252" s="14">
        <f>IFERROR(__xludf.DUMMYFUNCTION("""COMPUTED_VALUE"""),297630.0)</f>
        <v>297630</v>
      </c>
      <c r="C2252" s="14" t="str">
        <f>IFERROR(__xludf.DUMMYFUNCTION("""COMPUTED_VALUE"""),"何淇芸")</f>
        <v>何淇芸</v>
      </c>
      <c r="D2252" s="16" t="str">
        <f>IFERROR(__xludf.DUMMYFUNCTION("""COMPUTED_VALUE"""),"612*****t.tc.edu.tw")</f>
        <v>612*****t.tc.edu.tw</v>
      </c>
      <c r="E2252" s="17" t="str">
        <f>IFERROR(__xludf.DUMMYFUNCTION("""COMPUTED_VALUE"""),"臺中市北屯區建功國民小學")</f>
        <v>臺中市北屯區建功國民小學</v>
      </c>
      <c r="F2252" s="14" t="str">
        <f>IFERROR(__xludf.DUMMYFUNCTION("""COMPUTED_VALUE"""),"六年級")</f>
        <v>六年級</v>
      </c>
      <c r="G2252" s="14" t="str">
        <f>IFERROR(__xludf.DUMMYFUNCTION("""COMPUTED_VALUE"""),"獎狀")</f>
        <v>獎狀</v>
      </c>
      <c r="H2252" s="8"/>
    </row>
    <row r="2253">
      <c r="A2253" s="18"/>
      <c r="B2253" s="14">
        <f>IFERROR(__xludf.DUMMYFUNCTION("""COMPUTED_VALUE"""),1134859.0)</f>
        <v>1134859</v>
      </c>
      <c r="C2253" s="14" t="str">
        <f>IFERROR(__xludf.DUMMYFUNCTION("""COMPUTED_VALUE"""),"王梓安")</f>
        <v>王梓安</v>
      </c>
      <c r="D2253" s="16" t="str">
        <f>IFERROR(__xludf.DUMMYFUNCTION("""COMPUTED_VALUE"""),"ylc*****1223@gmail.com")</f>
        <v>ylc*****1223@gmail.com</v>
      </c>
      <c r="E2253" s="17" t="str">
        <f>IFERROR(__xludf.DUMMYFUNCTION("""COMPUTED_VALUE"""),"葳格學校財團法人臺中市葳格高級中學附設國小部北屯校區")</f>
        <v>葳格學校財團法人臺中市葳格高級中學附設國小部北屯校區</v>
      </c>
      <c r="F2253" s="14" t="str">
        <f>IFERROR(__xludf.DUMMYFUNCTION("""COMPUTED_VALUE"""),"四年級")</f>
        <v>四年級</v>
      </c>
      <c r="G2253" s="14" t="str">
        <f>IFERROR(__xludf.DUMMYFUNCTION("""COMPUTED_VALUE"""),"●小禮物")</f>
        <v>●小禮物</v>
      </c>
      <c r="H2253" s="8"/>
    </row>
    <row r="2254">
      <c r="A2254" s="18"/>
      <c r="B2254" s="14">
        <f>IFERROR(__xludf.DUMMYFUNCTION("""COMPUTED_VALUE"""),979029.0)</f>
        <v>979029</v>
      </c>
      <c r="C2254" s="14" t="str">
        <f>IFERROR(__xludf.DUMMYFUNCTION("""COMPUTED_VALUE"""),"林渟紜")</f>
        <v>林渟紜</v>
      </c>
      <c r="D2254" s="16" t="str">
        <f>IFERROR(__xludf.DUMMYFUNCTION("""COMPUTED_VALUE"""),"wni*****gmail.com")</f>
        <v>wni*****gmail.com</v>
      </c>
      <c r="E2254" s="17" t="str">
        <f>IFERROR(__xludf.DUMMYFUNCTION("""COMPUTED_VALUE"""),"臺中市北屯區仁美國民小學")</f>
        <v>臺中市北屯區仁美國民小學</v>
      </c>
      <c r="F2254" s="14" t="str">
        <f>IFERROR(__xludf.DUMMYFUNCTION("""COMPUTED_VALUE"""),"四年級")</f>
        <v>四年級</v>
      </c>
      <c r="G2254" s="14" t="str">
        <f>IFERROR(__xludf.DUMMYFUNCTION("""COMPUTED_VALUE"""),"●小禮物")</f>
        <v>●小禮物</v>
      </c>
      <c r="H2254" s="8"/>
    </row>
    <row r="2255">
      <c r="A2255" s="18"/>
      <c r="B2255" s="14">
        <f>IFERROR(__xludf.DUMMYFUNCTION("""COMPUTED_VALUE"""),1181764.0)</f>
        <v>1181764</v>
      </c>
      <c r="C2255" s="14" t="str">
        <f>IFERROR(__xludf.DUMMYFUNCTION("""COMPUTED_VALUE"""),"張家華")</f>
        <v>張家華</v>
      </c>
      <c r="D2255" s="16" t="str">
        <f>IFERROR(__xludf.DUMMYFUNCTION("""COMPUTED_VALUE"""),"621*****t.tc.edu.tw")</f>
        <v>621*****t.tc.edu.tw</v>
      </c>
      <c r="E2255" s="17" t="str">
        <f>IFERROR(__xludf.DUMMYFUNCTION("""COMPUTED_VALUE"""),"臺中市北屯區仁美國民小學")</f>
        <v>臺中市北屯區仁美國民小學</v>
      </c>
      <c r="F2255" s="14" t="str">
        <f>IFERROR(__xludf.DUMMYFUNCTION("""COMPUTED_VALUE"""),"六年級")</f>
        <v>六年級</v>
      </c>
      <c r="G2255" s="14" t="str">
        <f>IFERROR(__xludf.DUMMYFUNCTION("""COMPUTED_VALUE"""),"獎狀")</f>
        <v>獎狀</v>
      </c>
      <c r="H2255" s="8"/>
    </row>
    <row r="2256">
      <c r="A2256" s="18"/>
      <c r="B2256" s="14">
        <f>IFERROR(__xludf.DUMMYFUNCTION("""COMPUTED_VALUE"""),1135875.0)</f>
        <v>1135875</v>
      </c>
      <c r="C2256" s="14" t="str">
        <f>IFERROR(__xludf.DUMMYFUNCTION("""COMPUTED_VALUE"""),"林恩予")</f>
        <v>林恩予</v>
      </c>
      <c r="D2256" s="16" t="str">
        <f>IFERROR(__xludf.DUMMYFUNCTION("""COMPUTED_VALUE"""),"952*****t.tc.edu.tw")</f>
        <v>952*****t.tc.edu.tw</v>
      </c>
      <c r="E2256" s="17" t="str">
        <f>IFERROR(__xludf.DUMMYFUNCTION("""COMPUTED_VALUE"""),"臺中市北屯區廍子國民小學")</f>
        <v>臺中市北屯區廍子國民小學</v>
      </c>
      <c r="F2256" s="14" t="str">
        <f>IFERROR(__xludf.DUMMYFUNCTION("""COMPUTED_VALUE"""),"三年級")</f>
        <v>三年級</v>
      </c>
      <c r="G2256" s="14" t="str">
        <f>IFERROR(__xludf.DUMMYFUNCTION("""COMPUTED_VALUE"""),"獎狀")</f>
        <v>獎狀</v>
      </c>
      <c r="H2256" s="8"/>
    </row>
    <row r="2257">
      <c r="A2257" s="18"/>
      <c r="B2257" s="14">
        <f>IFERROR(__xludf.DUMMYFUNCTION("""COMPUTED_VALUE"""),896690.0)</f>
        <v>896690</v>
      </c>
      <c r="C2257" s="14" t="str">
        <f>IFERROR(__xludf.DUMMYFUNCTION("""COMPUTED_VALUE"""),"張亦騏")</f>
        <v>張亦騏</v>
      </c>
      <c r="D2257" s="16" t="str">
        <f>IFERROR(__xludf.DUMMYFUNCTION("""COMPUTED_VALUE"""),"sky*****best@gmail.com")</f>
        <v>sky*****best@gmail.com</v>
      </c>
      <c r="E2257" s="17" t="str">
        <f>IFERROR(__xludf.DUMMYFUNCTION("""COMPUTED_VALUE"""),"臺中市北屯區北屯國民小學")</f>
        <v>臺中市北屯區北屯國民小學</v>
      </c>
      <c r="F2257" s="14" t="str">
        <f>IFERROR(__xludf.DUMMYFUNCTION("""COMPUTED_VALUE"""),"五年級")</f>
        <v>五年級</v>
      </c>
      <c r="G2257" s="14" t="str">
        <f>IFERROR(__xludf.DUMMYFUNCTION("""COMPUTED_VALUE"""),"●小禮物")</f>
        <v>●小禮物</v>
      </c>
      <c r="H2257" s="8"/>
    </row>
    <row r="2258">
      <c r="A2258" s="18"/>
      <c r="B2258" s="14">
        <f>IFERROR(__xludf.DUMMYFUNCTION("""COMPUTED_VALUE"""),993244.0)</f>
        <v>993244</v>
      </c>
      <c r="C2258" s="14" t="str">
        <f>IFERROR(__xludf.DUMMYFUNCTION("""COMPUTED_VALUE"""),"朱柏諭")</f>
        <v>朱柏諭</v>
      </c>
      <c r="D2258" s="16" t="str">
        <f>IFERROR(__xludf.DUMMYFUNCTION("""COMPUTED_VALUE"""),"617*****t.tc.edu.tw")</f>
        <v>617*****t.tc.edu.tw</v>
      </c>
      <c r="E2258" s="17" t="str">
        <f>IFERROR(__xludf.DUMMYFUNCTION("""COMPUTED_VALUE"""),"臺中市北屯區北屯國民小學")</f>
        <v>臺中市北屯區北屯國民小學</v>
      </c>
      <c r="F2258" s="14" t="str">
        <f>IFERROR(__xludf.DUMMYFUNCTION("""COMPUTED_VALUE"""),"六年級")</f>
        <v>六年級</v>
      </c>
      <c r="G2258" s="14" t="str">
        <f>IFERROR(__xludf.DUMMYFUNCTION("""COMPUTED_VALUE"""),"●小禮物")</f>
        <v>●小禮物</v>
      </c>
      <c r="H2258" s="8"/>
    </row>
    <row r="2259">
      <c r="A2259" s="18"/>
      <c r="B2259" s="14">
        <f>IFERROR(__xludf.DUMMYFUNCTION("""COMPUTED_VALUE"""),1089355.0)</f>
        <v>1089355</v>
      </c>
      <c r="C2259" s="14" t="str">
        <f>IFERROR(__xludf.DUMMYFUNCTION("""COMPUTED_VALUE"""),"張傑安")</f>
        <v>張傑安</v>
      </c>
      <c r="D2259" s="16" t="str">
        <f>IFERROR(__xludf.DUMMYFUNCTION("""COMPUTED_VALUE"""),"p10*****wagor.tc.edu.tw")</f>
        <v>p10*****wagor.tc.edu.tw</v>
      </c>
      <c r="E2259" s="17" t="str">
        <f>IFERROR(__xludf.DUMMYFUNCTION("""COMPUTED_VALUE"""),"葳格學校財團法人臺中市葳格高級中學附設國小部西屯校區")</f>
        <v>葳格學校財團法人臺中市葳格高級中學附設國小部西屯校區</v>
      </c>
      <c r="F2259" s="14" t="str">
        <f>IFERROR(__xludf.DUMMYFUNCTION("""COMPUTED_VALUE"""),"三年級")</f>
        <v>三年級</v>
      </c>
      <c r="G2259" s="14" t="str">
        <f>IFERROR(__xludf.DUMMYFUNCTION("""COMPUTED_VALUE"""),"獎狀")</f>
        <v>獎狀</v>
      </c>
      <c r="H2259" s="8"/>
    </row>
    <row r="2260">
      <c r="A2260" s="18"/>
      <c r="B2260" s="14">
        <f>IFERROR(__xludf.DUMMYFUNCTION("""COMPUTED_VALUE"""),945271.0)</f>
        <v>945271</v>
      </c>
      <c r="C2260" s="14" t="str">
        <f>IFERROR(__xludf.DUMMYFUNCTION("""COMPUTED_VALUE"""),"王怡婷")</f>
        <v>王怡婷</v>
      </c>
      <c r="D2260" s="16" t="str">
        <f>IFERROR(__xludf.DUMMYFUNCTION("""COMPUTED_VALUE"""),"edi*****bb@gmail.com")</f>
        <v>edi*****bb@gmail.com</v>
      </c>
      <c r="E2260" s="17" t="str">
        <f>IFERROR(__xludf.DUMMYFUNCTION("""COMPUTED_VALUE"""),"葳格學校財團法人臺中市葳格高級中學附設國小部西屯校區")</f>
        <v>葳格學校財團法人臺中市葳格高級中學附設國小部西屯校區</v>
      </c>
      <c r="F2260" s="14" t="str">
        <f>IFERROR(__xludf.DUMMYFUNCTION("""COMPUTED_VALUE"""),"六年級")</f>
        <v>六年級</v>
      </c>
      <c r="G2260" s="14" t="str">
        <f>IFERROR(__xludf.DUMMYFUNCTION("""COMPUTED_VALUE"""),"●小禮物")</f>
        <v>●小禮物</v>
      </c>
      <c r="H2260" s="8"/>
    </row>
    <row r="2261">
      <c r="A2261" s="18"/>
      <c r="B2261" s="14">
        <f>IFERROR(__xludf.DUMMYFUNCTION("""COMPUTED_VALUE"""),1108507.0)</f>
        <v>1108507</v>
      </c>
      <c r="C2261" s="14" t="str">
        <f>IFERROR(__xludf.DUMMYFUNCTION("""COMPUTED_VALUE"""),"周允硯")</f>
        <v>周允硯</v>
      </c>
      <c r="D2261" s="16" t="str">
        <f>IFERROR(__xludf.DUMMYFUNCTION("""COMPUTED_VALUE"""),"sha*****hou@gmail.com")</f>
        <v>sha*****hou@gmail.com</v>
      </c>
      <c r="E2261" s="17" t="str">
        <f>IFERROR(__xludf.DUMMYFUNCTION("""COMPUTED_VALUE"""),"葳格學校財團法人臺中市葳格高級中學附設國小部西屯校區")</f>
        <v>葳格學校財團法人臺中市葳格高級中學附設國小部西屯校區</v>
      </c>
      <c r="F2261" s="14" t="str">
        <f>IFERROR(__xludf.DUMMYFUNCTION("""COMPUTED_VALUE"""),"六年級")</f>
        <v>六年級</v>
      </c>
      <c r="G2261" s="14" t="str">
        <f>IFERROR(__xludf.DUMMYFUNCTION("""COMPUTED_VALUE"""),"獎狀")</f>
        <v>獎狀</v>
      </c>
      <c r="H2261" s="8"/>
    </row>
    <row r="2262">
      <c r="A2262" s="18"/>
      <c r="B2262" s="14">
        <f>IFERROR(__xludf.DUMMYFUNCTION("""COMPUTED_VALUE"""),1124623.0)</f>
        <v>1124623</v>
      </c>
      <c r="C2262" s="14" t="str">
        <f>IFERROR(__xludf.DUMMYFUNCTION("""COMPUTED_VALUE"""),"張瑋哲")</f>
        <v>張瑋哲</v>
      </c>
      <c r="D2262" s="16" t="str">
        <f>IFERROR(__xludf.DUMMYFUNCTION("""COMPUTED_VALUE"""),"pau*****g0202@gmail.com")</f>
        <v>pau*****g0202@gmail.com</v>
      </c>
      <c r="E2262" s="17" t="str">
        <f>IFERROR(__xludf.DUMMYFUNCTION("""COMPUTED_VALUE"""),"臺中市西屯區大鵬國民小學")</f>
        <v>臺中市西屯區大鵬國民小學</v>
      </c>
      <c r="F2262" s="14" t="str">
        <f>IFERROR(__xludf.DUMMYFUNCTION("""COMPUTED_VALUE"""),"四年級")</f>
        <v>四年級</v>
      </c>
      <c r="G2262" s="14" t="str">
        <f>IFERROR(__xludf.DUMMYFUNCTION("""COMPUTED_VALUE"""),"獎狀")</f>
        <v>獎狀</v>
      </c>
      <c r="H2262" s="8"/>
    </row>
    <row r="2263">
      <c r="A2263" s="18"/>
      <c r="B2263" s="14">
        <f>IFERROR(__xludf.DUMMYFUNCTION("""COMPUTED_VALUE"""),1088969.0)</f>
        <v>1088969</v>
      </c>
      <c r="C2263" s="14" t="str">
        <f>IFERROR(__xludf.DUMMYFUNCTION("""COMPUTED_VALUE"""),"施衍呈")</f>
        <v>施衍呈</v>
      </c>
      <c r="D2263" s="16" t="str">
        <f>IFERROR(__xludf.DUMMYFUNCTION("""COMPUTED_VALUE"""),"847*****t.tc.edu.tw")</f>
        <v>847*****t.tc.edu.tw</v>
      </c>
      <c r="E2263" s="17" t="str">
        <f>IFERROR(__xludf.DUMMYFUNCTION("""COMPUTED_VALUE"""),"臺中市西屯區西屯國民小學")</f>
        <v>臺中市西屯區西屯國民小學</v>
      </c>
      <c r="F2263" s="14" t="str">
        <f>IFERROR(__xludf.DUMMYFUNCTION("""COMPUTED_VALUE"""),"四年級")</f>
        <v>四年級</v>
      </c>
      <c r="G2263" s="14" t="str">
        <f>IFERROR(__xludf.DUMMYFUNCTION("""COMPUTED_VALUE"""),"獎狀")</f>
        <v>獎狀</v>
      </c>
      <c r="H2263" s="8"/>
    </row>
    <row r="2264">
      <c r="A2264" s="18"/>
      <c r="B2264" s="14">
        <f>IFERROR(__xludf.DUMMYFUNCTION("""COMPUTED_VALUE"""),959833.0)</f>
        <v>959833</v>
      </c>
      <c r="C2264" s="14" t="str">
        <f>IFERROR(__xludf.DUMMYFUNCTION("""COMPUTED_VALUE"""),"陳柏翰")</f>
        <v>陳柏翰</v>
      </c>
      <c r="D2264" s="16" t="str">
        <f>IFERROR(__xludf.DUMMYFUNCTION("""COMPUTED_VALUE"""),"all*****n@hydron.com.tw")</f>
        <v>all*****n@hydron.com.tw</v>
      </c>
      <c r="E2264" s="17" t="str">
        <f>IFERROR(__xludf.DUMMYFUNCTION("""COMPUTED_VALUE"""),"臺中市西屯區西屯國民小學")</f>
        <v>臺中市西屯區西屯國民小學</v>
      </c>
      <c r="F2264" s="14" t="str">
        <f>IFERROR(__xludf.DUMMYFUNCTION("""COMPUTED_VALUE"""),"六年級")</f>
        <v>六年級</v>
      </c>
      <c r="G2264" s="14" t="str">
        <f>IFERROR(__xludf.DUMMYFUNCTION("""COMPUTED_VALUE"""),"獎狀")</f>
        <v>獎狀</v>
      </c>
      <c r="H2264" s="8"/>
    </row>
    <row r="2265">
      <c r="A2265" s="18"/>
      <c r="B2265" s="14">
        <f>IFERROR(__xludf.DUMMYFUNCTION("""COMPUTED_VALUE"""),542203.0)</f>
        <v>542203</v>
      </c>
      <c r="C2265" s="14" t="str">
        <f>IFERROR(__xludf.DUMMYFUNCTION("""COMPUTED_VALUE"""),"陳妏嫣")</f>
        <v>陳妏嫣</v>
      </c>
      <c r="D2265" s="16" t="str">
        <f>IFERROR(__xludf.DUMMYFUNCTION("""COMPUTED_VALUE"""),"eva*****mail.edu.tw")</f>
        <v>eva*****mail.edu.tw</v>
      </c>
      <c r="E2265" s="17" t="str">
        <f>IFERROR(__xludf.DUMMYFUNCTION("""COMPUTED_VALUE"""),"臺中市西屯區上石國民小學")</f>
        <v>臺中市西屯區上石國民小學</v>
      </c>
      <c r="F2265" s="14" t="str">
        <f>IFERROR(__xludf.DUMMYFUNCTION("""COMPUTED_VALUE"""),"六年級")</f>
        <v>六年級</v>
      </c>
      <c r="G2265" s="14" t="str">
        <f>IFERROR(__xludf.DUMMYFUNCTION("""COMPUTED_VALUE"""),"獎狀")</f>
        <v>獎狀</v>
      </c>
      <c r="H2265" s="8"/>
    </row>
    <row r="2266">
      <c r="A2266" s="18"/>
      <c r="B2266" s="14">
        <f>IFERROR(__xludf.DUMMYFUNCTION("""COMPUTED_VALUE"""),597224.0)</f>
        <v>597224</v>
      </c>
      <c r="C2266" s="14" t="str">
        <f>IFERROR(__xludf.DUMMYFUNCTION("""COMPUTED_VALUE"""),"李文妡")</f>
        <v>李文妡</v>
      </c>
      <c r="D2266" s="16" t="str">
        <f>IFERROR(__xludf.DUMMYFUNCTION("""COMPUTED_VALUE"""),"rib*****72160@mail.edu.tw")</f>
        <v>rib*****72160@mail.edu.tw</v>
      </c>
      <c r="E2266" s="17" t="str">
        <f>IFERROR(__xludf.DUMMYFUNCTION("""COMPUTED_VALUE"""),"臺中市西屯區上石國民小學")</f>
        <v>臺中市西屯區上石國民小學</v>
      </c>
      <c r="F2266" s="14" t="str">
        <f>IFERROR(__xludf.DUMMYFUNCTION("""COMPUTED_VALUE"""),"六年級")</f>
        <v>六年級</v>
      </c>
      <c r="G2266" s="14" t="str">
        <f>IFERROR(__xludf.DUMMYFUNCTION("""COMPUTED_VALUE"""),"獎狀")</f>
        <v>獎狀</v>
      </c>
      <c r="H2266" s="8"/>
    </row>
    <row r="2267">
      <c r="A2267" s="18"/>
      <c r="B2267" s="14">
        <f>IFERROR(__xludf.DUMMYFUNCTION("""COMPUTED_VALUE"""),1121671.0)</f>
        <v>1121671</v>
      </c>
      <c r="C2267" s="14" t="str">
        <f>IFERROR(__xludf.DUMMYFUNCTION("""COMPUTED_VALUE"""),"陳又馜")</f>
        <v>陳又馜</v>
      </c>
      <c r="D2267" s="16" t="str">
        <f>IFERROR(__xludf.DUMMYFUNCTION("""COMPUTED_VALUE"""),"cha*****@mail.edu.tw")</f>
        <v>cha*****@mail.edu.tw</v>
      </c>
      <c r="E2267" s="17" t="str">
        <f>IFERROR(__xludf.DUMMYFUNCTION("""COMPUTED_VALUE"""),"臺中市西屯區永安國民小學")</f>
        <v>臺中市西屯區永安國民小學</v>
      </c>
      <c r="F2267" s="14" t="str">
        <f>IFERROR(__xludf.DUMMYFUNCTION("""COMPUTED_VALUE"""),"五年級")</f>
        <v>五年級</v>
      </c>
      <c r="G2267" s="14" t="str">
        <f>IFERROR(__xludf.DUMMYFUNCTION("""COMPUTED_VALUE"""),"獎狀")</f>
        <v>獎狀</v>
      </c>
      <c r="H2267" s="8"/>
    </row>
    <row r="2268">
      <c r="A2268" s="18"/>
      <c r="B2268" s="14">
        <f>IFERROR(__xludf.DUMMYFUNCTION("""COMPUTED_VALUE"""),368293.0)</f>
        <v>368293</v>
      </c>
      <c r="C2268" s="14" t="str">
        <f>IFERROR(__xludf.DUMMYFUNCTION("""COMPUTED_VALUE"""),"文昱翔")</f>
        <v>文昱翔</v>
      </c>
      <c r="D2268" s="16" t="str">
        <f>IFERROR(__xludf.DUMMYFUNCTION("""COMPUTED_VALUE"""),"701*****t.tc.edu.tw")</f>
        <v>701*****t.tc.edu.tw</v>
      </c>
      <c r="E2268" s="17" t="str">
        <f>IFERROR(__xludf.DUMMYFUNCTION("""COMPUTED_VALUE"""),"臺中市西屯區永安國民小學")</f>
        <v>臺中市西屯區永安國民小學</v>
      </c>
      <c r="F2268" s="14" t="str">
        <f>IFERROR(__xludf.DUMMYFUNCTION("""COMPUTED_VALUE"""),"六年級")</f>
        <v>六年級</v>
      </c>
      <c r="G2268" s="14" t="str">
        <f>IFERROR(__xludf.DUMMYFUNCTION("""COMPUTED_VALUE"""),"●小禮物")</f>
        <v>●小禮物</v>
      </c>
      <c r="H2268" s="8"/>
    </row>
    <row r="2269">
      <c r="A2269" s="18"/>
      <c r="B2269" s="14">
        <f>IFERROR(__xludf.DUMMYFUNCTION("""COMPUTED_VALUE"""),998756.0)</f>
        <v>998756</v>
      </c>
      <c r="C2269" s="14" t="str">
        <f>IFERROR(__xludf.DUMMYFUNCTION("""COMPUTED_VALUE"""),"洪翊宸")</f>
        <v>洪翊宸</v>
      </c>
      <c r="D2269" s="16" t="str">
        <f>IFERROR(__xludf.DUMMYFUNCTION("""COMPUTED_VALUE"""),"833*****t.tc.edu.tw")</f>
        <v>833*****t.tc.edu.tw</v>
      </c>
      <c r="E2269" s="17" t="str">
        <f>IFERROR(__xludf.DUMMYFUNCTION("""COMPUTED_VALUE"""),"臺中市西屯區協和國民小學")</f>
        <v>臺中市西屯區協和國民小學</v>
      </c>
      <c r="F2269" s="14" t="str">
        <f>IFERROR(__xludf.DUMMYFUNCTION("""COMPUTED_VALUE"""),"四年級")</f>
        <v>四年級</v>
      </c>
      <c r="G2269" s="14" t="str">
        <f>IFERROR(__xludf.DUMMYFUNCTION("""COMPUTED_VALUE"""),"獎狀")</f>
        <v>獎狀</v>
      </c>
      <c r="H2269" s="8"/>
    </row>
    <row r="2270">
      <c r="A2270" s="18"/>
      <c r="B2270" s="14">
        <f>IFERROR(__xludf.DUMMYFUNCTION("""COMPUTED_VALUE"""),937814.0)</f>
        <v>937814</v>
      </c>
      <c r="C2270" s="14" t="str">
        <f>IFERROR(__xludf.DUMMYFUNCTION("""COMPUTED_VALUE"""),"盧柏睿")</f>
        <v>盧柏睿</v>
      </c>
      <c r="D2270" s="16" t="str">
        <f>IFERROR(__xludf.DUMMYFUNCTION("""COMPUTED_VALUE"""),"ra1*****@ritz.tc.edu.tw")</f>
        <v>ra1*****@ritz.tc.edu.tw</v>
      </c>
      <c r="E2270" s="17" t="str">
        <f>IFERROR(__xludf.DUMMYFUNCTION("""COMPUTED_VALUE"""),"臺中市麗喆雙語中小學國小部")</f>
        <v>臺中市麗喆雙語中小學國小部</v>
      </c>
      <c r="F2270" s="14" t="str">
        <f>IFERROR(__xludf.DUMMYFUNCTION("""COMPUTED_VALUE"""),"四年級")</f>
        <v>四年級</v>
      </c>
      <c r="G2270" s="14" t="str">
        <f>IFERROR(__xludf.DUMMYFUNCTION("""COMPUTED_VALUE"""),"獎狀")</f>
        <v>獎狀</v>
      </c>
      <c r="H2270" s="8"/>
    </row>
    <row r="2271">
      <c r="A2271" s="18"/>
      <c r="B2271" s="14">
        <f>IFERROR(__xludf.DUMMYFUNCTION("""COMPUTED_VALUE"""),1022416.0)</f>
        <v>1022416</v>
      </c>
      <c r="C2271" s="14" t="str">
        <f>IFERROR(__xludf.DUMMYFUNCTION("""COMPUTED_VALUE"""),"林沂葳")</f>
        <v>林沂葳</v>
      </c>
      <c r="D2271" s="16" t="str">
        <f>IFERROR(__xludf.DUMMYFUNCTION("""COMPUTED_VALUE"""),"ra1*****@ritz.tc.edu.tw")</f>
        <v>ra1*****@ritz.tc.edu.tw</v>
      </c>
      <c r="E2271" s="17" t="str">
        <f>IFERROR(__xludf.DUMMYFUNCTION("""COMPUTED_VALUE"""),"臺中市麗喆雙語中小學國小部")</f>
        <v>臺中市麗喆雙語中小學國小部</v>
      </c>
      <c r="F2271" s="14" t="str">
        <f>IFERROR(__xludf.DUMMYFUNCTION("""COMPUTED_VALUE"""),"五年級")</f>
        <v>五年級</v>
      </c>
      <c r="G2271" s="14" t="str">
        <f>IFERROR(__xludf.DUMMYFUNCTION("""COMPUTED_VALUE"""),"獎狀")</f>
        <v>獎狀</v>
      </c>
      <c r="H2271" s="8"/>
    </row>
    <row r="2272">
      <c r="A2272" s="18"/>
      <c r="B2272" s="14">
        <f>IFERROR(__xludf.DUMMYFUNCTION("""COMPUTED_VALUE"""),1022129.0)</f>
        <v>1022129</v>
      </c>
      <c r="C2272" s="14" t="str">
        <f>IFERROR(__xludf.DUMMYFUNCTION("""COMPUTED_VALUE"""),"林沂岑")</f>
        <v>林沂岑</v>
      </c>
      <c r="D2272" s="16" t="str">
        <f>IFERROR(__xludf.DUMMYFUNCTION("""COMPUTED_VALUE"""),"ra1*****@ritz.tc.edu.tw")</f>
        <v>ra1*****@ritz.tc.edu.tw</v>
      </c>
      <c r="E2272" s="17" t="str">
        <f>IFERROR(__xludf.DUMMYFUNCTION("""COMPUTED_VALUE"""),"臺中市麗喆雙語中小學國小部")</f>
        <v>臺中市麗喆雙語中小學國小部</v>
      </c>
      <c r="F2272" s="14" t="str">
        <f>IFERROR(__xludf.DUMMYFUNCTION("""COMPUTED_VALUE"""),"六年級")</f>
        <v>六年級</v>
      </c>
      <c r="G2272" s="14" t="str">
        <f>IFERROR(__xludf.DUMMYFUNCTION("""COMPUTED_VALUE"""),"●小禮物")</f>
        <v>●小禮物</v>
      </c>
      <c r="H2272" s="8"/>
    </row>
    <row r="2273">
      <c r="A2273" s="18"/>
      <c r="B2273" s="14">
        <f>IFERROR(__xludf.DUMMYFUNCTION("""COMPUTED_VALUE"""),1181782.0)</f>
        <v>1181782</v>
      </c>
      <c r="C2273" s="14" t="str">
        <f>IFERROR(__xludf.DUMMYFUNCTION("""COMPUTED_VALUE"""),"邵愛凌")</f>
        <v>邵愛凌</v>
      </c>
      <c r="D2273" s="16" t="str">
        <f>IFERROR(__xludf.DUMMYFUNCTION("""COMPUTED_VALUE"""),"ra1*****@ritz.tc.edu.tw")</f>
        <v>ra1*****@ritz.tc.edu.tw</v>
      </c>
      <c r="E2273" s="17" t="str">
        <f>IFERROR(__xludf.DUMMYFUNCTION("""COMPUTED_VALUE"""),"臺中市麗喆雙語中小學國小部")</f>
        <v>臺中市麗喆雙語中小學國小部</v>
      </c>
      <c r="F2273" s="14" t="str">
        <f>IFERROR(__xludf.DUMMYFUNCTION("""COMPUTED_VALUE"""),"六年級")</f>
        <v>六年級</v>
      </c>
      <c r="G2273" s="14" t="str">
        <f>IFERROR(__xludf.DUMMYFUNCTION("""COMPUTED_VALUE"""),"●小禮物")</f>
        <v>●小禮物</v>
      </c>
      <c r="H2273" s="8"/>
    </row>
    <row r="2274">
      <c r="A2274" s="18"/>
      <c r="B2274" s="14">
        <f>IFERROR(__xludf.DUMMYFUNCTION("""COMPUTED_VALUE"""),552078.0)</f>
        <v>552078</v>
      </c>
      <c r="C2274" s="14" t="str">
        <f>IFERROR(__xludf.DUMMYFUNCTION("""COMPUTED_VALUE"""),"陳妍安")</f>
        <v>陳妍安</v>
      </c>
      <c r="D2274" s="16" t="str">
        <f>IFERROR(__xludf.DUMMYFUNCTION("""COMPUTED_VALUE"""),"ra1*****@ritz.tc.edu.tw")</f>
        <v>ra1*****@ritz.tc.edu.tw</v>
      </c>
      <c r="E2274" s="17" t="str">
        <f>IFERROR(__xludf.DUMMYFUNCTION("""COMPUTED_VALUE"""),"臺中市麗喆雙語中小學國小部")</f>
        <v>臺中市麗喆雙語中小學國小部</v>
      </c>
      <c r="F2274" s="14" t="str">
        <f>IFERROR(__xludf.DUMMYFUNCTION("""COMPUTED_VALUE"""),"六年級")</f>
        <v>六年級</v>
      </c>
      <c r="G2274" s="14" t="str">
        <f>IFERROR(__xludf.DUMMYFUNCTION("""COMPUTED_VALUE"""),"獎狀")</f>
        <v>獎狀</v>
      </c>
      <c r="H2274" s="8"/>
    </row>
    <row r="2275">
      <c r="A2275" s="18"/>
      <c r="B2275" s="14">
        <f>IFERROR(__xludf.DUMMYFUNCTION("""COMPUTED_VALUE"""),1186234.0)</f>
        <v>1186234</v>
      </c>
      <c r="C2275" s="14" t="str">
        <f>IFERROR(__xludf.DUMMYFUNCTION("""COMPUTED_VALUE"""),"翁藝頊")</f>
        <v>翁藝頊</v>
      </c>
      <c r="D2275" s="16" t="str">
        <f>IFERROR(__xludf.DUMMYFUNCTION("""COMPUTED_VALUE"""),"949*****t.tc.edu.tw")</f>
        <v>949*****t.tc.edu.tw</v>
      </c>
      <c r="E2275" s="17" t="str">
        <f>IFERROR(__xludf.DUMMYFUNCTION("""COMPUTED_VALUE"""),"臺中市西屯區國安國民小學")</f>
        <v>臺中市西屯區國安國民小學</v>
      </c>
      <c r="F2275" s="14" t="str">
        <f>IFERROR(__xludf.DUMMYFUNCTION("""COMPUTED_VALUE"""),"三年級")</f>
        <v>三年級</v>
      </c>
      <c r="G2275" s="14" t="str">
        <f>IFERROR(__xludf.DUMMYFUNCTION("""COMPUTED_VALUE"""),"獎狀")</f>
        <v>獎狀</v>
      </c>
      <c r="H2275" s="8"/>
    </row>
    <row r="2276">
      <c r="A2276" s="18"/>
      <c r="B2276" s="14">
        <f>IFERROR(__xludf.DUMMYFUNCTION("""COMPUTED_VALUE"""),604101.0)</f>
        <v>604101</v>
      </c>
      <c r="C2276" s="14" t="str">
        <f>IFERROR(__xludf.DUMMYFUNCTION("""COMPUTED_VALUE"""),"洪岱筠")</f>
        <v>洪岱筠</v>
      </c>
      <c r="D2276" s="16" t="str">
        <f>IFERROR(__xludf.DUMMYFUNCTION("""COMPUTED_VALUE"""),"del*****g1998@gmail.com")</f>
        <v>del*****g1998@gmail.com</v>
      </c>
      <c r="E2276" s="17" t="str">
        <f>IFERROR(__xludf.DUMMYFUNCTION("""COMPUTED_VALUE"""),"臺中市西屯區國安國民小學")</f>
        <v>臺中市西屯區國安國民小學</v>
      </c>
      <c r="F2276" s="14" t="str">
        <f>IFERROR(__xludf.DUMMYFUNCTION("""COMPUTED_VALUE"""),"四年級")</f>
        <v>四年級</v>
      </c>
      <c r="G2276" s="14" t="str">
        <f>IFERROR(__xludf.DUMMYFUNCTION("""COMPUTED_VALUE"""),"●小禮物")</f>
        <v>●小禮物</v>
      </c>
      <c r="H2276" s="8"/>
    </row>
    <row r="2277">
      <c r="A2277" s="18"/>
      <c r="B2277" s="14">
        <f>IFERROR(__xludf.DUMMYFUNCTION("""COMPUTED_VALUE"""),1120252.0)</f>
        <v>1120252</v>
      </c>
      <c r="C2277" s="14" t="str">
        <f>IFERROR(__xludf.DUMMYFUNCTION("""COMPUTED_VALUE"""),"陳宛珊")</f>
        <v>陳宛珊</v>
      </c>
      <c r="D2277" s="16" t="str">
        <f>IFERROR(__xludf.DUMMYFUNCTION("""COMPUTED_VALUE"""),"dr3*****@mail.edu.tw")</f>
        <v>dr3*****@mail.edu.tw</v>
      </c>
      <c r="E2277" s="17" t="str">
        <f>IFERROR(__xludf.DUMMYFUNCTION("""COMPUTED_VALUE"""),"臺中市西屯區國安國民小學")</f>
        <v>臺中市西屯區國安國民小學</v>
      </c>
      <c r="F2277" s="14" t="str">
        <f>IFERROR(__xludf.DUMMYFUNCTION("""COMPUTED_VALUE"""),"四年級")</f>
        <v>四年級</v>
      </c>
      <c r="G2277" s="14" t="str">
        <f>IFERROR(__xludf.DUMMYFUNCTION("""COMPUTED_VALUE"""),"獎狀")</f>
        <v>獎狀</v>
      </c>
      <c r="H2277" s="8"/>
    </row>
    <row r="2278">
      <c r="A2278" s="18"/>
      <c r="B2278" s="14">
        <f>IFERROR(__xludf.DUMMYFUNCTION("""COMPUTED_VALUE"""),812327.0)</f>
        <v>812327</v>
      </c>
      <c r="C2278" s="14" t="str">
        <f>IFERROR(__xludf.DUMMYFUNCTION("""COMPUTED_VALUE"""),"邰天逸")</f>
        <v>邰天逸</v>
      </c>
      <c r="D2278" s="16" t="str">
        <f>IFERROR(__xludf.DUMMYFUNCTION("""COMPUTED_VALUE"""),"923*****t.tc.edu.tw")</f>
        <v>923*****t.tc.edu.tw</v>
      </c>
      <c r="E2278" s="17" t="str">
        <f>IFERROR(__xludf.DUMMYFUNCTION("""COMPUTED_VALUE"""),"臺中市西屯區國安國民小學")</f>
        <v>臺中市西屯區國安國民小學</v>
      </c>
      <c r="F2278" s="14" t="str">
        <f>IFERROR(__xludf.DUMMYFUNCTION("""COMPUTED_VALUE"""),"四年級")</f>
        <v>四年級</v>
      </c>
      <c r="G2278" s="14" t="str">
        <f>IFERROR(__xludf.DUMMYFUNCTION("""COMPUTED_VALUE"""),"●小禮物")</f>
        <v>●小禮物</v>
      </c>
      <c r="H2278" s="8"/>
    </row>
    <row r="2279">
      <c r="A2279" s="18"/>
      <c r="B2279" s="14">
        <f>IFERROR(__xludf.DUMMYFUNCTION("""COMPUTED_VALUE"""),744257.0)</f>
        <v>744257</v>
      </c>
      <c r="C2279" s="14" t="str">
        <f>IFERROR(__xludf.DUMMYFUNCTION("""COMPUTED_VALUE"""),"林承豫")</f>
        <v>林承豫</v>
      </c>
      <c r="D2279" s="16" t="str">
        <f>IFERROR(__xludf.DUMMYFUNCTION("""COMPUTED_VALUE"""),"848*****t.tc.edu.tw")</f>
        <v>848*****t.tc.edu.tw</v>
      </c>
      <c r="E2279" s="17" t="str">
        <f>IFERROR(__xludf.DUMMYFUNCTION("""COMPUTED_VALUE"""),"臺中市西屯區國安國民小學")</f>
        <v>臺中市西屯區國安國民小學</v>
      </c>
      <c r="F2279" s="14" t="str">
        <f>IFERROR(__xludf.DUMMYFUNCTION("""COMPUTED_VALUE"""),"五年級")</f>
        <v>五年級</v>
      </c>
      <c r="G2279" s="14" t="str">
        <f>IFERROR(__xludf.DUMMYFUNCTION("""COMPUTED_VALUE"""),"獎狀")</f>
        <v>獎狀</v>
      </c>
      <c r="H2279" s="8"/>
    </row>
    <row r="2280">
      <c r="A2280" s="18"/>
      <c r="B2280" s="14">
        <f>IFERROR(__xludf.DUMMYFUNCTION("""COMPUTED_VALUE"""),601600.0)</f>
        <v>601600</v>
      </c>
      <c r="C2280" s="14" t="str">
        <f>IFERROR(__xludf.DUMMYFUNCTION("""COMPUTED_VALUE"""),"邰天蔚")</f>
        <v>邰天蔚</v>
      </c>
      <c r="D2280" s="16" t="str">
        <f>IFERROR(__xludf.DUMMYFUNCTION("""COMPUTED_VALUE"""),"612*****t.tc.edu.tw")</f>
        <v>612*****t.tc.edu.tw</v>
      </c>
      <c r="E2280" s="17" t="str">
        <f>IFERROR(__xludf.DUMMYFUNCTION("""COMPUTED_VALUE"""),"臺中市西屯區國安國民小學")</f>
        <v>臺中市西屯區國安國民小學</v>
      </c>
      <c r="F2280" s="14" t="str">
        <f>IFERROR(__xludf.DUMMYFUNCTION("""COMPUTED_VALUE"""),"六年級")</f>
        <v>六年級</v>
      </c>
      <c r="G2280" s="14" t="str">
        <f>IFERROR(__xludf.DUMMYFUNCTION("""COMPUTED_VALUE"""),"●小禮物")</f>
        <v>●小禮物</v>
      </c>
      <c r="H2280" s="8"/>
    </row>
    <row r="2281">
      <c r="A2281" s="18"/>
      <c r="B2281" s="14">
        <f>IFERROR(__xludf.DUMMYFUNCTION("""COMPUTED_VALUE"""),1204566.0)</f>
        <v>1204566</v>
      </c>
      <c r="C2281" s="14" t="str">
        <f>IFERROR(__xludf.DUMMYFUNCTION("""COMPUTED_VALUE"""),"邵昱晴")</f>
        <v>邵昱晴</v>
      </c>
      <c r="D2281" s="16" t="str">
        <f>IFERROR(__xludf.DUMMYFUNCTION("""COMPUTED_VALUE"""),"729*****t.tc.edu.tw")</f>
        <v>729*****t.tc.edu.tw</v>
      </c>
      <c r="E2281" s="17" t="str">
        <f>IFERROR(__xludf.DUMMYFUNCTION("""COMPUTED_VALUE"""),"財團法人東海大學附屬高級中等學校附設國小部")</f>
        <v>財團法人東海大學附屬高級中等學校附設國小部</v>
      </c>
      <c r="F2281" s="14" t="str">
        <f>IFERROR(__xludf.DUMMYFUNCTION("""COMPUTED_VALUE"""),"五年級")</f>
        <v>五年級</v>
      </c>
      <c r="G2281" s="14" t="str">
        <f>IFERROR(__xludf.DUMMYFUNCTION("""COMPUTED_VALUE"""),"獎狀")</f>
        <v>獎狀</v>
      </c>
      <c r="H2281" s="8"/>
    </row>
    <row r="2282">
      <c r="A2282" s="18"/>
      <c r="B2282" s="14">
        <f>IFERROR(__xludf.DUMMYFUNCTION("""COMPUTED_VALUE"""),1217331.0)</f>
        <v>1217331</v>
      </c>
      <c r="C2282" s="14" t="str">
        <f>IFERROR(__xludf.DUMMYFUNCTION("""COMPUTED_VALUE"""),"謝姝幕")</f>
        <v>謝姝幕</v>
      </c>
      <c r="D2282" s="16" t="str">
        <f>IFERROR(__xludf.DUMMYFUNCTION("""COMPUTED_VALUE"""),"729*****t.tc.edu.tw")</f>
        <v>729*****t.tc.edu.tw</v>
      </c>
      <c r="E2282" s="17" t="str">
        <f>IFERROR(__xludf.DUMMYFUNCTION("""COMPUTED_VALUE"""),"財團法人東海大學附屬高級中等學校附設國小部")</f>
        <v>財團法人東海大學附屬高級中等學校附設國小部</v>
      </c>
      <c r="F2282" s="14" t="str">
        <f>IFERROR(__xludf.DUMMYFUNCTION("""COMPUTED_VALUE"""),"五年級")</f>
        <v>五年級</v>
      </c>
      <c r="G2282" s="14" t="str">
        <f>IFERROR(__xludf.DUMMYFUNCTION("""COMPUTED_VALUE"""),"●小禮物")</f>
        <v>●小禮物</v>
      </c>
      <c r="H2282" s="8"/>
    </row>
    <row r="2283">
      <c r="A2283" s="18"/>
      <c r="B2283" s="14">
        <f>IFERROR(__xludf.DUMMYFUNCTION("""COMPUTED_VALUE"""),593663.0)</f>
        <v>593663</v>
      </c>
      <c r="C2283" s="14" t="str">
        <f>IFERROR(__xludf.DUMMYFUNCTION("""COMPUTED_VALUE"""),"李晨希")</f>
        <v>李晨希</v>
      </c>
      <c r="D2283" s="16" t="str">
        <f>IFERROR(__xludf.DUMMYFUNCTION("""COMPUTED_VALUE"""),"lee*****00@gmail.com")</f>
        <v>lee*****00@gmail.com</v>
      </c>
      <c r="E2283" s="17" t="str">
        <f>IFERROR(__xludf.DUMMYFUNCTION("""COMPUTED_VALUE"""),"財團法人東海大學附屬高級中等學校附設國小部")</f>
        <v>財團法人東海大學附屬高級中等學校附設國小部</v>
      </c>
      <c r="F2283" s="14" t="str">
        <f>IFERROR(__xludf.DUMMYFUNCTION("""COMPUTED_VALUE"""),"五年級")</f>
        <v>五年級</v>
      </c>
      <c r="G2283" s="14" t="str">
        <f>IFERROR(__xludf.DUMMYFUNCTION("""COMPUTED_VALUE"""),"獎狀")</f>
        <v>獎狀</v>
      </c>
      <c r="H2283" s="8"/>
    </row>
    <row r="2284">
      <c r="A2284" s="18"/>
      <c r="B2284" s="14">
        <f>IFERROR(__xludf.DUMMYFUNCTION("""COMPUTED_VALUE"""),247875.0)</f>
        <v>247875</v>
      </c>
      <c r="C2284" s="14" t="str">
        <f>IFERROR(__xludf.DUMMYFUNCTION("""COMPUTED_VALUE"""),"邱右嘉")</f>
        <v>邱右嘉</v>
      </c>
      <c r="D2284" s="16" t="str">
        <f>IFERROR(__xludf.DUMMYFUNCTION("""COMPUTED_VALUE"""),"que*****e7@yahoo.com.tw")</f>
        <v>que*****e7@yahoo.com.tw</v>
      </c>
      <c r="E2284" s="17" t="str">
        <f>IFERROR(__xludf.DUMMYFUNCTION("""COMPUTED_VALUE"""),"財團法人東海大學附屬高級中等學校附設國小部")</f>
        <v>財團法人東海大學附屬高級中等學校附設國小部</v>
      </c>
      <c r="F2284" s="14" t="str">
        <f>IFERROR(__xludf.DUMMYFUNCTION("""COMPUTED_VALUE"""),"六年級")</f>
        <v>六年級</v>
      </c>
      <c r="G2284" s="14" t="str">
        <f>IFERROR(__xludf.DUMMYFUNCTION("""COMPUTED_VALUE"""),"獎狀")</f>
        <v>獎狀</v>
      </c>
      <c r="H2284" s="8"/>
    </row>
    <row r="2285">
      <c r="A2285" s="18"/>
      <c r="B2285" s="14">
        <f>IFERROR(__xludf.DUMMYFUNCTION("""COMPUTED_VALUE"""),541689.0)</f>
        <v>541689</v>
      </c>
      <c r="C2285" s="14" t="str">
        <f>IFERROR(__xludf.DUMMYFUNCTION("""COMPUTED_VALUE"""),"鄭勻淇")</f>
        <v>鄭勻淇</v>
      </c>
      <c r="D2285" s="16" t="str">
        <f>IFERROR(__xludf.DUMMYFUNCTION("""COMPUTED_VALUE"""),"cmh*****mail.com")</f>
        <v>cmh*****mail.com</v>
      </c>
      <c r="E2285" s="17" t="str">
        <f>IFERROR(__xludf.DUMMYFUNCTION("""COMPUTED_VALUE"""),"財團法人東海大學附屬高級中等學校附設國小部")</f>
        <v>財團法人東海大學附屬高級中等學校附設國小部</v>
      </c>
      <c r="F2285" s="14" t="str">
        <f>IFERROR(__xludf.DUMMYFUNCTION("""COMPUTED_VALUE"""),"六年級")</f>
        <v>六年級</v>
      </c>
      <c r="G2285" s="14" t="str">
        <f>IFERROR(__xludf.DUMMYFUNCTION("""COMPUTED_VALUE"""),"獎狀")</f>
        <v>獎狀</v>
      </c>
      <c r="H2285" s="8"/>
    </row>
    <row r="2286">
      <c r="A2286" s="18"/>
      <c r="B2286" s="14">
        <f>IFERROR(__xludf.DUMMYFUNCTION("""COMPUTED_VALUE"""),1184581.0)</f>
        <v>1184581</v>
      </c>
      <c r="C2286" s="14" t="str">
        <f>IFERROR(__xludf.DUMMYFUNCTION("""COMPUTED_VALUE"""),"林聿博")</f>
        <v>林聿博</v>
      </c>
      <c r="D2286" s="16" t="str">
        <f>IFERROR(__xludf.DUMMYFUNCTION("""COMPUTED_VALUE"""),"bow*****0911@gmail.com")</f>
        <v>bow*****0911@gmail.com</v>
      </c>
      <c r="E2286" s="17" t="str">
        <f>IFERROR(__xludf.DUMMYFUNCTION("""COMPUTED_VALUE"""),"臺中市西屯區長安國民小學")</f>
        <v>臺中市西屯區長安國民小學</v>
      </c>
      <c r="F2286" s="14" t="str">
        <f>IFERROR(__xludf.DUMMYFUNCTION("""COMPUTED_VALUE"""),"五年級")</f>
        <v>五年級</v>
      </c>
      <c r="G2286" s="14" t="str">
        <f>IFERROR(__xludf.DUMMYFUNCTION("""COMPUTED_VALUE"""),"★禮券$200")</f>
        <v>★禮券$200</v>
      </c>
      <c r="H2286" s="8"/>
    </row>
    <row r="2287">
      <c r="A2287" s="18"/>
      <c r="B2287" s="14">
        <f>IFERROR(__xludf.DUMMYFUNCTION("""COMPUTED_VALUE"""),945268.0)</f>
        <v>945268</v>
      </c>
      <c r="C2287" s="14" t="str">
        <f>IFERROR(__xludf.DUMMYFUNCTION("""COMPUTED_VALUE"""),"張竣晏")</f>
        <v>張竣晏</v>
      </c>
      <c r="D2287" s="16" t="str">
        <f>IFERROR(__xludf.DUMMYFUNCTION("""COMPUTED_VALUE"""),"tc.*****1@mail.edu.tw")</f>
        <v>tc.*****1@mail.edu.tw</v>
      </c>
      <c r="E2287" s="17" t="str">
        <f>IFERROR(__xludf.DUMMYFUNCTION("""COMPUTED_VALUE"""),"臺中市南屯區東興國民小學")</f>
        <v>臺中市南屯區東興國民小學</v>
      </c>
      <c r="F2287" s="14" t="str">
        <f>IFERROR(__xludf.DUMMYFUNCTION("""COMPUTED_VALUE"""),"五年級")</f>
        <v>五年級</v>
      </c>
      <c r="G2287" s="14" t="str">
        <f>IFERROR(__xludf.DUMMYFUNCTION("""COMPUTED_VALUE"""),"●小禮物")</f>
        <v>●小禮物</v>
      </c>
      <c r="H2287" s="8"/>
    </row>
    <row r="2288">
      <c r="A2288" s="18"/>
      <c r="B2288" s="14">
        <f>IFERROR(__xludf.DUMMYFUNCTION("""COMPUTED_VALUE"""),1029827.0)</f>
        <v>1029827</v>
      </c>
      <c r="C2288" s="14" t="str">
        <f>IFERROR(__xludf.DUMMYFUNCTION("""COMPUTED_VALUE"""),"楊奕菲")</f>
        <v>楊奕菲</v>
      </c>
      <c r="D2288" s="16" t="str">
        <f>IFERROR(__xludf.DUMMYFUNCTION("""COMPUTED_VALUE"""),"zoo*****g@mail.edu.tw")</f>
        <v>zoo*****g@mail.edu.tw</v>
      </c>
      <c r="E2288" s="17" t="str">
        <f>IFERROR(__xludf.DUMMYFUNCTION("""COMPUTED_VALUE"""),"臺中市南屯區惠文國民小學")</f>
        <v>臺中市南屯區惠文國民小學</v>
      </c>
      <c r="F2288" s="14" t="str">
        <f>IFERROR(__xludf.DUMMYFUNCTION("""COMPUTED_VALUE"""),"三年級")</f>
        <v>三年級</v>
      </c>
      <c r="G2288" s="14" t="str">
        <f>IFERROR(__xludf.DUMMYFUNCTION("""COMPUTED_VALUE"""),"★禮券$200")</f>
        <v>★禮券$200</v>
      </c>
      <c r="H2288" s="8"/>
    </row>
    <row r="2289">
      <c r="A2289" s="18"/>
      <c r="B2289" s="14">
        <f>IFERROR(__xludf.DUMMYFUNCTION("""COMPUTED_VALUE"""),734736.0)</f>
        <v>734736</v>
      </c>
      <c r="C2289" s="14" t="str">
        <f>IFERROR(__xludf.DUMMYFUNCTION("""COMPUTED_VALUE"""),"鄭博元")</f>
        <v>鄭博元</v>
      </c>
      <c r="D2289" s="16" t="str">
        <f>IFERROR(__xludf.DUMMYFUNCTION("""COMPUTED_VALUE"""),"928*****t.tc.edu.tw")</f>
        <v>928*****t.tc.edu.tw</v>
      </c>
      <c r="E2289" s="17" t="str">
        <f>IFERROR(__xludf.DUMMYFUNCTION("""COMPUTED_VALUE"""),"臺中市南屯區惠文國民小學")</f>
        <v>臺中市南屯區惠文國民小學</v>
      </c>
      <c r="F2289" s="14" t="str">
        <f>IFERROR(__xludf.DUMMYFUNCTION("""COMPUTED_VALUE"""),"四年級")</f>
        <v>四年級</v>
      </c>
      <c r="G2289" s="14" t="str">
        <f>IFERROR(__xludf.DUMMYFUNCTION("""COMPUTED_VALUE"""),"●小禮物")</f>
        <v>●小禮物</v>
      </c>
      <c r="H2289" s="8"/>
    </row>
    <row r="2290">
      <c r="A2290" s="18"/>
      <c r="B2290" s="14">
        <f>IFERROR(__xludf.DUMMYFUNCTION("""COMPUTED_VALUE"""),1119784.0)</f>
        <v>1119784</v>
      </c>
      <c r="C2290" s="14" t="str">
        <f>IFERROR(__xludf.DUMMYFUNCTION("""COMPUTED_VALUE"""),"鄭博勻")</f>
        <v>鄭博勻</v>
      </c>
      <c r="D2290" s="16" t="str">
        <f>IFERROR(__xludf.DUMMYFUNCTION("""COMPUTED_VALUE"""),"928*****t.tc.edu.tw")</f>
        <v>928*****t.tc.edu.tw</v>
      </c>
      <c r="E2290" s="17" t="str">
        <f>IFERROR(__xludf.DUMMYFUNCTION("""COMPUTED_VALUE"""),"臺中市南屯區惠文國民小學")</f>
        <v>臺中市南屯區惠文國民小學</v>
      </c>
      <c r="F2290" s="14" t="str">
        <f>IFERROR(__xludf.DUMMYFUNCTION("""COMPUTED_VALUE"""),"四年級")</f>
        <v>四年級</v>
      </c>
      <c r="G2290" s="14" t="str">
        <f>IFERROR(__xludf.DUMMYFUNCTION("""COMPUTED_VALUE"""),"●小禮物")</f>
        <v>●小禮物</v>
      </c>
      <c r="H2290" s="8"/>
    </row>
    <row r="2291">
      <c r="A2291" s="18"/>
      <c r="B2291" s="14">
        <f>IFERROR(__xludf.DUMMYFUNCTION("""COMPUTED_VALUE"""),1098601.0)</f>
        <v>1098601</v>
      </c>
      <c r="C2291" s="14" t="str">
        <f>IFERROR(__xludf.DUMMYFUNCTION("""COMPUTED_VALUE"""),"吳毅宬")</f>
        <v>吳毅宬</v>
      </c>
      <c r="D2291" s="16" t="str">
        <f>IFERROR(__xludf.DUMMYFUNCTION("""COMPUTED_VALUE"""),"sho*****6@yahoo.com.tw")</f>
        <v>sho*****6@yahoo.com.tw</v>
      </c>
      <c r="E2291" s="17" t="str">
        <f>IFERROR(__xludf.DUMMYFUNCTION("""COMPUTED_VALUE"""),"臺中市南屯區惠文國民小學")</f>
        <v>臺中市南屯區惠文國民小學</v>
      </c>
      <c r="F2291" s="14" t="str">
        <f>IFERROR(__xludf.DUMMYFUNCTION("""COMPUTED_VALUE"""),"六年級")</f>
        <v>六年級</v>
      </c>
      <c r="G2291" s="14" t="str">
        <f>IFERROR(__xludf.DUMMYFUNCTION("""COMPUTED_VALUE"""),"獎狀")</f>
        <v>獎狀</v>
      </c>
      <c r="H2291" s="8"/>
    </row>
    <row r="2292">
      <c r="A2292" s="18"/>
      <c r="B2292" s="14">
        <f>IFERROR(__xludf.DUMMYFUNCTION("""COMPUTED_VALUE"""),1090313.0)</f>
        <v>1090313</v>
      </c>
      <c r="C2292" s="14" t="str">
        <f>IFERROR(__xludf.DUMMYFUNCTION("""COMPUTED_VALUE"""),"連喆渝")</f>
        <v>連喆渝</v>
      </c>
      <c r="D2292" s="16" t="str">
        <f>IFERROR(__xludf.DUMMYFUNCTION("""COMPUTED_VALUE"""),"lie*****@yahoo.com.tw")</f>
        <v>lie*****@yahoo.com.tw</v>
      </c>
      <c r="E2292" s="17" t="str">
        <f>IFERROR(__xludf.DUMMYFUNCTION("""COMPUTED_VALUE"""),"臺中市南屯區大新國民小學")</f>
        <v>臺中市南屯區大新國民小學</v>
      </c>
      <c r="F2292" s="14" t="str">
        <f>IFERROR(__xludf.DUMMYFUNCTION("""COMPUTED_VALUE"""),"三年級")</f>
        <v>三年級</v>
      </c>
      <c r="G2292" s="14" t="str">
        <f>IFERROR(__xludf.DUMMYFUNCTION("""COMPUTED_VALUE"""),"獎狀")</f>
        <v>獎狀</v>
      </c>
      <c r="H2292" s="8"/>
    </row>
    <row r="2293">
      <c r="A2293" s="18"/>
      <c r="B2293" s="14">
        <f>IFERROR(__xludf.DUMMYFUNCTION("""COMPUTED_VALUE"""),120163.0)</f>
        <v>120163</v>
      </c>
      <c r="C2293" s="14" t="str">
        <f>IFERROR(__xludf.DUMMYFUNCTION("""COMPUTED_VALUE"""),"連沁嫻")</f>
        <v>連沁嫻</v>
      </c>
      <c r="D2293" s="16" t="str">
        <f>IFERROR(__xludf.DUMMYFUNCTION("""COMPUTED_VALUE"""),"Reb*****810362@yahoo.com.tw")</f>
        <v>Reb*****810362@yahoo.com.tw</v>
      </c>
      <c r="E2293" s="17" t="str">
        <f>IFERROR(__xludf.DUMMYFUNCTION("""COMPUTED_VALUE"""),"臺中市南屯區大新國民小學")</f>
        <v>臺中市南屯區大新國民小學</v>
      </c>
      <c r="F2293" s="14" t="str">
        <f>IFERROR(__xludf.DUMMYFUNCTION("""COMPUTED_VALUE"""),"六年級")</f>
        <v>六年級</v>
      </c>
      <c r="G2293" s="14" t="str">
        <f>IFERROR(__xludf.DUMMYFUNCTION("""COMPUTED_VALUE"""),"獎狀")</f>
        <v>獎狀</v>
      </c>
      <c r="H2293" s="8"/>
    </row>
    <row r="2294">
      <c r="A2294" s="18"/>
      <c r="B2294" s="14">
        <f>IFERROR(__xludf.DUMMYFUNCTION("""COMPUTED_VALUE"""),1182754.0)</f>
        <v>1182754</v>
      </c>
      <c r="C2294" s="14" t="str">
        <f>IFERROR(__xludf.DUMMYFUNCTION("""COMPUTED_VALUE"""),"賴一仁")</f>
        <v>賴一仁</v>
      </c>
      <c r="D2294" s="16" t="str">
        <f>IFERROR(__xludf.DUMMYFUNCTION("""COMPUTED_VALUE"""),"glo*****.angel67@gmail.com")</f>
        <v>glo*****.angel67@gmail.com</v>
      </c>
      <c r="E2294" s="17" t="str">
        <f>IFERROR(__xludf.DUMMYFUNCTION("""COMPUTED_VALUE"""),"臺中市南屯區永春國民小學")</f>
        <v>臺中市南屯區永春國民小學</v>
      </c>
      <c r="F2294" s="14" t="str">
        <f>IFERROR(__xludf.DUMMYFUNCTION("""COMPUTED_VALUE"""),"五年級")</f>
        <v>五年級</v>
      </c>
      <c r="G2294" s="14" t="str">
        <f>IFERROR(__xludf.DUMMYFUNCTION("""COMPUTED_VALUE"""),"獎狀")</f>
        <v>獎狀</v>
      </c>
      <c r="H2294" s="8"/>
    </row>
    <row r="2295">
      <c r="A2295" s="18"/>
      <c r="B2295" s="14">
        <f>IFERROR(__xludf.DUMMYFUNCTION("""COMPUTED_VALUE"""),1116397.0)</f>
        <v>1116397</v>
      </c>
      <c r="C2295" s="14" t="str">
        <f>IFERROR(__xludf.DUMMYFUNCTION("""COMPUTED_VALUE"""),"林子承")</f>
        <v>林子承</v>
      </c>
      <c r="D2295" s="16" t="str">
        <f>IFERROR(__xludf.DUMMYFUNCTION("""COMPUTED_VALUE"""),"tc.*****7@mail.edu.tw")</f>
        <v>tc.*****7@mail.edu.tw</v>
      </c>
      <c r="E2295" s="17" t="str">
        <f>IFERROR(__xludf.DUMMYFUNCTION("""COMPUTED_VALUE"""),"臺中市南屯區文山國民小學")</f>
        <v>臺中市南屯區文山國民小學</v>
      </c>
      <c r="F2295" s="14" t="str">
        <f>IFERROR(__xludf.DUMMYFUNCTION("""COMPUTED_VALUE"""),"四年級")</f>
        <v>四年級</v>
      </c>
      <c r="G2295" s="14" t="str">
        <f>IFERROR(__xludf.DUMMYFUNCTION("""COMPUTED_VALUE"""),"獎狀")</f>
        <v>獎狀</v>
      </c>
      <c r="H2295" s="8"/>
    </row>
    <row r="2296">
      <c r="A2296" s="18"/>
      <c r="B2296" s="14">
        <f>IFERROR(__xludf.DUMMYFUNCTION("""COMPUTED_VALUE"""),957634.0)</f>
        <v>957634</v>
      </c>
      <c r="C2296" s="14" t="str">
        <f>IFERROR(__xludf.DUMMYFUNCTION("""COMPUTED_VALUE"""),"薛名凱")</f>
        <v>薛名凱</v>
      </c>
      <c r="D2296" s="16" t="str">
        <f>IFERROR(__xludf.DUMMYFUNCTION("""COMPUTED_VALUE"""),"713*****t.tc.edu.tw")</f>
        <v>713*****t.tc.edu.tw</v>
      </c>
      <c r="E2296" s="17" t="str">
        <f>IFERROR(__xludf.DUMMYFUNCTION("""COMPUTED_VALUE"""),"臺中市南屯區文山國民小學")</f>
        <v>臺中市南屯區文山國民小學</v>
      </c>
      <c r="F2296" s="14" t="str">
        <f>IFERROR(__xludf.DUMMYFUNCTION("""COMPUTED_VALUE"""),"五年級")</f>
        <v>五年級</v>
      </c>
      <c r="G2296" s="14" t="str">
        <f>IFERROR(__xludf.DUMMYFUNCTION("""COMPUTED_VALUE"""),"獎狀")</f>
        <v>獎狀</v>
      </c>
      <c r="H2296" s="8"/>
    </row>
    <row r="2297">
      <c r="A2297" s="18"/>
      <c r="B2297" s="14">
        <f>IFERROR(__xludf.DUMMYFUNCTION("""COMPUTED_VALUE"""),970354.0)</f>
        <v>970354</v>
      </c>
      <c r="C2297" s="14" t="str">
        <f>IFERROR(__xludf.DUMMYFUNCTION("""COMPUTED_VALUE"""),"洪梓閎")</f>
        <v>洪梓閎</v>
      </c>
      <c r="D2297" s="16" t="str">
        <f>IFERROR(__xludf.DUMMYFUNCTION("""COMPUTED_VALUE"""),"600*****t.tc.edu.tw")</f>
        <v>600*****t.tc.edu.tw</v>
      </c>
      <c r="E2297" s="17" t="str">
        <f>IFERROR(__xludf.DUMMYFUNCTION("""COMPUTED_VALUE"""),"臺中市南屯區文山國民小學")</f>
        <v>臺中市南屯區文山國民小學</v>
      </c>
      <c r="F2297" s="14" t="str">
        <f>IFERROR(__xludf.DUMMYFUNCTION("""COMPUTED_VALUE"""),"六年級")</f>
        <v>六年級</v>
      </c>
      <c r="G2297" s="14" t="str">
        <f>IFERROR(__xludf.DUMMYFUNCTION("""COMPUTED_VALUE"""),"●小禮物")</f>
        <v>●小禮物</v>
      </c>
      <c r="H2297" s="8"/>
    </row>
    <row r="2298">
      <c r="A2298" s="18"/>
      <c r="B2298" s="14">
        <f>IFERROR(__xludf.DUMMYFUNCTION("""COMPUTED_VALUE"""),438839.0)</f>
        <v>438839</v>
      </c>
      <c r="C2298" s="14" t="str">
        <f>IFERROR(__xludf.DUMMYFUNCTION("""COMPUTED_VALUE"""),"鄭允誠")</f>
        <v>鄭允誠</v>
      </c>
      <c r="D2298" s="16" t="str">
        <f>IFERROR(__xludf.DUMMYFUNCTION("""COMPUTED_VALUE"""),"win*****mail.edu.tw")</f>
        <v>win*****mail.edu.tw</v>
      </c>
      <c r="E2298" s="17" t="str">
        <f>IFERROR(__xludf.DUMMYFUNCTION("""COMPUTED_VALUE"""),"臺中市南屯區南屯國民小學")</f>
        <v>臺中市南屯區南屯國民小學</v>
      </c>
      <c r="F2298" s="14" t="str">
        <f>IFERROR(__xludf.DUMMYFUNCTION("""COMPUTED_VALUE"""),"六年級")</f>
        <v>六年級</v>
      </c>
      <c r="G2298" s="14" t="str">
        <f>IFERROR(__xludf.DUMMYFUNCTION("""COMPUTED_VALUE"""),"獎狀")</f>
        <v>獎狀</v>
      </c>
      <c r="H2298" s="8"/>
    </row>
    <row r="2299">
      <c r="A2299" s="18"/>
      <c r="B2299" s="14">
        <f>IFERROR(__xludf.DUMMYFUNCTION("""COMPUTED_VALUE"""),851476.0)</f>
        <v>851476</v>
      </c>
      <c r="C2299" s="14" t="str">
        <f>IFERROR(__xludf.DUMMYFUNCTION("""COMPUTED_VALUE"""),"林郁晨")</f>
        <v>林郁晨</v>
      </c>
      <c r="D2299" s="16" t="str">
        <f>IFERROR(__xludf.DUMMYFUNCTION("""COMPUTED_VALUE"""),"tc.*****5@mail.edu.tw")</f>
        <v>tc.*****5@mail.edu.tw</v>
      </c>
      <c r="E2299" s="17" t="str">
        <f>IFERROR(__xludf.DUMMYFUNCTION("""COMPUTED_VALUE"""),"臺中市太平區新光國民小學")</f>
        <v>臺中市太平區新光國民小學</v>
      </c>
      <c r="F2299" s="14" t="str">
        <f>IFERROR(__xludf.DUMMYFUNCTION("""COMPUTED_VALUE"""),"四年級")</f>
        <v>四年級</v>
      </c>
      <c r="G2299" s="14" t="str">
        <f>IFERROR(__xludf.DUMMYFUNCTION("""COMPUTED_VALUE"""),"獎狀")</f>
        <v>獎狀</v>
      </c>
      <c r="H2299" s="8"/>
    </row>
    <row r="2300">
      <c r="A2300" s="18"/>
      <c r="B2300" s="14">
        <f>IFERROR(__xludf.DUMMYFUNCTION("""COMPUTED_VALUE"""),1177042.0)</f>
        <v>1177042</v>
      </c>
      <c r="C2300" s="14" t="str">
        <f>IFERROR(__xludf.DUMMYFUNCTION("""COMPUTED_VALUE"""),"吳翊維")</f>
        <v>吳翊維</v>
      </c>
      <c r="D2300" s="16" t="str">
        <f>IFERROR(__xludf.DUMMYFUNCTION("""COMPUTED_VALUE"""),"721*****t.tc.edu.tw")</f>
        <v>721*****t.tc.edu.tw</v>
      </c>
      <c r="E2300" s="17" t="str">
        <f>IFERROR(__xludf.DUMMYFUNCTION("""COMPUTED_VALUE"""),"臺中市太平區新光國民小學")</f>
        <v>臺中市太平區新光國民小學</v>
      </c>
      <c r="F2300" s="14" t="str">
        <f>IFERROR(__xludf.DUMMYFUNCTION("""COMPUTED_VALUE"""),"五年級")</f>
        <v>五年級</v>
      </c>
      <c r="G2300" s="14" t="str">
        <f>IFERROR(__xludf.DUMMYFUNCTION("""COMPUTED_VALUE"""),"獎狀")</f>
        <v>獎狀</v>
      </c>
      <c r="H2300" s="8"/>
    </row>
    <row r="2301">
      <c r="A2301" s="18"/>
      <c r="B2301" s="14">
        <f>IFERROR(__xludf.DUMMYFUNCTION("""COMPUTED_VALUE"""),940593.0)</f>
        <v>940593</v>
      </c>
      <c r="C2301" s="14" t="str">
        <f>IFERROR(__xludf.DUMMYFUNCTION("""COMPUTED_VALUE"""),"洪靖宣")</f>
        <v>洪靖宣</v>
      </c>
      <c r="D2301" s="16" t="str">
        <f>IFERROR(__xludf.DUMMYFUNCTION("""COMPUTED_VALUE"""),"a09*****288@gmail.com")</f>
        <v>a09*****288@gmail.com</v>
      </c>
      <c r="E2301" s="17" t="str">
        <f>IFERROR(__xludf.DUMMYFUNCTION("""COMPUTED_VALUE"""),"臺中市太平區新平國民小學")</f>
        <v>臺中市太平區新平國民小學</v>
      </c>
      <c r="F2301" s="14" t="str">
        <f>IFERROR(__xludf.DUMMYFUNCTION("""COMPUTED_VALUE"""),"五年級")</f>
        <v>五年級</v>
      </c>
      <c r="G2301" s="14" t="str">
        <f>IFERROR(__xludf.DUMMYFUNCTION("""COMPUTED_VALUE"""),"●小禮物")</f>
        <v>●小禮物</v>
      </c>
      <c r="H2301" s="8"/>
    </row>
    <row r="2302">
      <c r="A2302" s="18"/>
      <c r="B2302" s="14">
        <f>IFERROR(__xludf.DUMMYFUNCTION("""COMPUTED_VALUE"""),1179633.0)</f>
        <v>1179633</v>
      </c>
      <c r="C2302" s="14" t="str">
        <f>IFERROR(__xludf.DUMMYFUNCTION("""COMPUTED_VALUE"""),"林子騏")</f>
        <v>林子騏</v>
      </c>
      <c r="D2302" s="16" t="str">
        <f>IFERROR(__xludf.DUMMYFUNCTION("""COMPUTED_VALUE"""),"s10*****ms.yles.tc.edu.tw")</f>
        <v>s10*****ms.yles.tc.edu.tw</v>
      </c>
      <c r="E2302" s="17" t="str">
        <f>IFERROR(__xludf.DUMMYFUNCTION("""COMPUTED_VALUE"""),"臺中市大里區永隆國民小學")</f>
        <v>臺中市大里區永隆國民小學</v>
      </c>
      <c r="F2302" s="14" t="str">
        <f>IFERROR(__xludf.DUMMYFUNCTION("""COMPUTED_VALUE"""),"四年級")</f>
        <v>四年級</v>
      </c>
      <c r="G2302" s="14" t="str">
        <f>IFERROR(__xludf.DUMMYFUNCTION("""COMPUTED_VALUE"""),"●小禮物")</f>
        <v>●小禮物</v>
      </c>
      <c r="H2302" s="8"/>
    </row>
    <row r="2303">
      <c r="A2303" s="18"/>
      <c r="B2303" s="14">
        <f>IFERROR(__xludf.DUMMYFUNCTION("""COMPUTED_VALUE"""),1213810.0)</f>
        <v>1213810</v>
      </c>
      <c r="C2303" s="14" t="str">
        <f>IFERROR(__xludf.DUMMYFUNCTION("""COMPUTED_VALUE"""),"施加俐")</f>
        <v>施加俐</v>
      </c>
      <c r="D2303" s="16" t="str">
        <f>IFERROR(__xludf.DUMMYFUNCTION("""COMPUTED_VALUE"""),"s10*****ms.yles.tc.edu.tw")</f>
        <v>s10*****ms.yles.tc.edu.tw</v>
      </c>
      <c r="E2303" s="17" t="str">
        <f>IFERROR(__xludf.DUMMYFUNCTION("""COMPUTED_VALUE"""),"臺中市大里區永隆國民小學")</f>
        <v>臺中市大里區永隆國民小學</v>
      </c>
      <c r="F2303" s="14" t="str">
        <f>IFERROR(__xludf.DUMMYFUNCTION("""COMPUTED_VALUE"""),"五年級")</f>
        <v>五年級</v>
      </c>
      <c r="G2303" s="14" t="str">
        <f>IFERROR(__xludf.DUMMYFUNCTION("""COMPUTED_VALUE"""),"獎狀")</f>
        <v>獎狀</v>
      </c>
      <c r="H2303" s="8"/>
    </row>
    <row r="2304">
      <c r="A2304" s="18"/>
      <c r="B2304" s="14">
        <f>IFERROR(__xludf.DUMMYFUNCTION("""COMPUTED_VALUE"""),531783.0)</f>
        <v>531783</v>
      </c>
      <c r="C2304" s="14" t="str">
        <f>IFERROR(__xludf.DUMMYFUNCTION("""COMPUTED_VALUE"""),"詹旻臻")</f>
        <v>詹旻臻</v>
      </c>
      <c r="D2304" s="16" t="str">
        <f>IFERROR(__xludf.DUMMYFUNCTION("""COMPUTED_VALUE"""),"s10*****ms.yles.tc.edu.tw")</f>
        <v>s10*****ms.yles.tc.edu.tw</v>
      </c>
      <c r="E2304" s="17" t="str">
        <f>IFERROR(__xludf.DUMMYFUNCTION("""COMPUTED_VALUE"""),"臺中市大里區永隆國民小學")</f>
        <v>臺中市大里區永隆國民小學</v>
      </c>
      <c r="F2304" s="14" t="str">
        <f>IFERROR(__xludf.DUMMYFUNCTION("""COMPUTED_VALUE"""),"六年級")</f>
        <v>六年級</v>
      </c>
      <c r="G2304" s="14" t="str">
        <f>IFERROR(__xludf.DUMMYFUNCTION("""COMPUTED_VALUE"""),"●小禮物")</f>
        <v>●小禮物</v>
      </c>
      <c r="H2304" s="8"/>
    </row>
    <row r="2305">
      <c r="A2305" s="18"/>
      <c r="B2305" s="14">
        <f>IFERROR(__xludf.DUMMYFUNCTION("""COMPUTED_VALUE"""),697137.0)</f>
        <v>697137</v>
      </c>
      <c r="C2305" s="14" t="str">
        <f>IFERROR(__xludf.DUMMYFUNCTION("""COMPUTED_VALUE"""),"吳恩婷")</f>
        <v>吳恩婷</v>
      </c>
      <c r="D2305" s="16" t="str">
        <f>IFERROR(__xludf.DUMMYFUNCTION("""COMPUTED_VALUE"""),"709*****t.tc.edu.tw")</f>
        <v>709*****t.tc.edu.tw</v>
      </c>
      <c r="E2305" s="17" t="str">
        <f>IFERROR(__xludf.DUMMYFUNCTION("""COMPUTED_VALUE"""),"臺中市大里區益民國民小學")</f>
        <v>臺中市大里區益民國民小學</v>
      </c>
      <c r="F2305" s="14" t="str">
        <f>IFERROR(__xludf.DUMMYFUNCTION("""COMPUTED_VALUE"""),"五年級")</f>
        <v>五年級</v>
      </c>
      <c r="G2305" s="14" t="str">
        <f>IFERROR(__xludf.DUMMYFUNCTION("""COMPUTED_VALUE"""),"獎狀")</f>
        <v>獎狀</v>
      </c>
      <c r="H2305" s="8"/>
    </row>
    <row r="2306">
      <c r="A2306" s="18"/>
      <c r="B2306" s="14">
        <f>IFERROR(__xludf.DUMMYFUNCTION("""COMPUTED_VALUE"""),559068.0)</f>
        <v>559068</v>
      </c>
      <c r="C2306" s="14" t="str">
        <f>IFERROR(__xludf.DUMMYFUNCTION("""COMPUTED_VALUE"""),"劉子晨")</f>
        <v>劉子晨</v>
      </c>
      <c r="D2306" s="16" t="str">
        <f>IFERROR(__xludf.DUMMYFUNCTION("""COMPUTED_VALUE"""),"tc.*****0@mail.edu.tw")</f>
        <v>tc.*****0@mail.edu.tw</v>
      </c>
      <c r="E2306" s="17" t="str">
        <f>IFERROR(__xludf.DUMMYFUNCTION("""COMPUTED_VALUE"""),"臺中市大里區益民國民小學")</f>
        <v>臺中市大里區益民國民小學</v>
      </c>
      <c r="F2306" s="14" t="str">
        <f>IFERROR(__xludf.DUMMYFUNCTION("""COMPUTED_VALUE"""),"五年級")</f>
        <v>五年級</v>
      </c>
      <c r="G2306" s="14" t="str">
        <f>IFERROR(__xludf.DUMMYFUNCTION("""COMPUTED_VALUE"""),"獎狀")</f>
        <v>獎狀</v>
      </c>
      <c r="H2306" s="8"/>
    </row>
    <row r="2307">
      <c r="A2307" s="18"/>
      <c r="B2307" s="14">
        <f>IFERROR(__xludf.DUMMYFUNCTION("""COMPUTED_VALUE"""),758720.0)</f>
        <v>758720</v>
      </c>
      <c r="C2307" s="14" t="str">
        <f>IFERROR(__xludf.DUMMYFUNCTION("""COMPUTED_VALUE"""),"詹子誼")</f>
        <v>詹子誼</v>
      </c>
      <c r="D2307" s="16" t="str">
        <f>IFERROR(__xludf.DUMMYFUNCTION("""COMPUTED_VALUE"""),"tc.*****3@mail.edu.tw")</f>
        <v>tc.*****3@mail.edu.tw</v>
      </c>
      <c r="E2307" s="17" t="str">
        <f>IFERROR(__xludf.DUMMYFUNCTION("""COMPUTED_VALUE"""),"臺中市大里區益民國民小學")</f>
        <v>臺中市大里區益民國民小學</v>
      </c>
      <c r="F2307" s="14" t="str">
        <f>IFERROR(__xludf.DUMMYFUNCTION("""COMPUTED_VALUE"""),"五年級")</f>
        <v>五年級</v>
      </c>
      <c r="G2307" s="14" t="str">
        <f>IFERROR(__xludf.DUMMYFUNCTION("""COMPUTED_VALUE"""),"獎狀")</f>
        <v>獎狀</v>
      </c>
      <c r="H2307" s="8"/>
    </row>
    <row r="2308">
      <c r="A2308" s="18"/>
      <c r="B2308" s="14">
        <f>IFERROR(__xludf.DUMMYFUNCTION("""COMPUTED_VALUE"""),920824.0)</f>
        <v>920824</v>
      </c>
      <c r="C2308" s="14" t="str">
        <f>IFERROR(__xludf.DUMMYFUNCTION("""COMPUTED_VALUE"""),"高羽妡")</f>
        <v>高羽妡</v>
      </c>
      <c r="D2308" s="16" t="str">
        <f>IFERROR(__xludf.DUMMYFUNCTION("""COMPUTED_VALUE"""),"tc.*****8@mail.edu.tw")</f>
        <v>tc.*****8@mail.edu.tw</v>
      </c>
      <c r="E2308" s="17" t="str">
        <f>IFERROR(__xludf.DUMMYFUNCTION("""COMPUTED_VALUE"""),"臺中市霧峰區峰谷國民小學")</f>
        <v>臺中市霧峰區峰谷國民小學</v>
      </c>
      <c r="F2308" s="14" t="str">
        <f>IFERROR(__xludf.DUMMYFUNCTION("""COMPUTED_VALUE"""),"四年級")</f>
        <v>四年級</v>
      </c>
      <c r="G2308" s="14" t="str">
        <f>IFERROR(__xludf.DUMMYFUNCTION("""COMPUTED_VALUE"""),"獎狀")</f>
        <v>獎狀</v>
      </c>
      <c r="H2308" s="8"/>
    </row>
    <row r="2309">
      <c r="A2309" s="18"/>
      <c r="B2309" s="14">
        <f>IFERROR(__xludf.DUMMYFUNCTION("""COMPUTED_VALUE"""),469856.0)</f>
        <v>469856</v>
      </c>
      <c r="C2309" s="14" t="str">
        <f>IFERROR(__xludf.DUMMYFUNCTION("""COMPUTED_VALUE"""),"廖祥閎")</f>
        <v>廖祥閎</v>
      </c>
      <c r="D2309" s="16" t="str">
        <f>IFERROR(__xludf.DUMMYFUNCTION("""COMPUTED_VALUE"""),"tc.*****2336@mail.edu.tw")</f>
        <v>tc.*****2336@mail.edu.tw</v>
      </c>
      <c r="E2309" s="17" t="str">
        <f>IFERROR(__xludf.DUMMYFUNCTION("""COMPUTED_VALUE"""),"臺中市烏日區烏日國民小學")</f>
        <v>臺中市烏日區烏日國民小學</v>
      </c>
      <c r="F2309" s="14" t="str">
        <f>IFERROR(__xludf.DUMMYFUNCTION("""COMPUTED_VALUE"""),"六年級")</f>
        <v>六年級</v>
      </c>
      <c r="G2309" s="14" t="str">
        <f>IFERROR(__xludf.DUMMYFUNCTION("""COMPUTED_VALUE"""),"●小禮物")</f>
        <v>●小禮物</v>
      </c>
      <c r="H2309" s="8"/>
    </row>
    <row r="2310">
      <c r="A2310" s="18"/>
      <c r="B2310" s="14">
        <f>IFERROR(__xludf.DUMMYFUNCTION("""COMPUTED_VALUE"""),1211576.0)</f>
        <v>1211576</v>
      </c>
      <c r="C2310" s="14" t="str">
        <f>IFERROR(__xludf.DUMMYFUNCTION("""COMPUTED_VALUE"""),"潘冠彣")</f>
        <v>潘冠彣</v>
      </c>
      <c r="D2310" s="16" t="str">
        <f>IFERROR(__xludf.DUMMYFUNCTION("""COMPUTED_VALUE"""),"tc.*****2380@mail.edu.tw")</f>
        <v>tc.*****2380@mail.edu.tw</v>
      </c>
      <c r="E2310" s="17" t="str">
        <f>IFERROR(__xludf.DUMMYFUNCTION("""COMPUTED_VALUE"""),"臺中市烏日區烏日國民小學")</f>
        <v>臺中市烏日區烏日國民小學</v>
      </c>
      <c r="F2310" s="14" t="str">
        <f>IFERROR(__xludf.DUMMYFUNCTION("""COMPUTED_VALUE"""),"六年級")</f>
        <v>六年級</v>
      </c>
      <c r="G2310" s="14" t="str">
        <f>IFERROR(__xludf.DUMMYFUNCTION("""COMPUTED_VALUE"""),"●小禮物")</f>
        <v>●小禮物</v>
      </c>
      <c r="H2310" s="8"/>
    </row>
    <row r="2311">
      <c r="A2311" s="18"/>
      <c r="B2311" s="14">
        <f>IFERROR(__xludf.DUMMYFUNCTION("""COMPUTED_VALUE"""),1207326.0)</f>
        <v>1207326</v>
      </c>
      <c r="C2311" s="14" t="str">
        <f>IFERROR(__xludf.DUMMYFUNCTION("""COMPUTED_VALUE"""),"賴旗豐")</f>
        <v>賴旗豐</v>
      </c>
      <c r="D2311" s="16" t="str">
        <f>IFERROR(__xludf.DUMMYFUNCTION("""COMPUTED_VALUE"""),"tc.*****2381@mail.edu.tw")</f>
        <v>tc.*****2381@mail.edu.tw</v>
      </c>
      <c r="E2311" s="17" t="str">
        <f>IFERROR(__xludf.DUMMYFUNCTION("""COMPUTED_VALUE"""),"臺中市烏日區烏日國民小學")</f>
        <v>臺中市烏日區烏日國民小學</v>
      </c>
      <c r="F2311" s="14" t="str">
        <f>IFERROR(__xludf.DUMMYFUNCTION("""COMPUTED_VALUE"""),"六年級")</f>
        <v>六年級</v>
      </c>
      <c r="G2311" s="14" t="str">
        <f>IFERROR(__xludf.DUMMYFUNCTION("""COMPUTED_VALUE"""),"獎狀")</f>
        <v>獎狀</v>
      </c>
      <c r="H2311" s="8"/>
    </row>
    <row r="2312">
      <c r="A2312" s="18"/>
      <c r="B2312" s="14">
        <f>IFERROR(__xludf.DUMMYFUNCTION("""COMPUTED_VALUE"""),814346.0)</f>
        <v>814346</v>
      </c>
      <c r="C2312" s="14" t="str">
        <f>IFERROR(__xludf.DUMMYFUNCTION("""COMPUTED_VALUE"""),"王宥心")</f>
        <v>王宥心</v>
      </c>
      <c r="D2312" s="16" t="str">
        <f>IFERROR(__xludf.DUMMYFUNCTION("""COMPUTED_VALUE"""),"tc.*****2220@mail.edu.tw")</f>
        <v>tc.*****2220@mail.edu.tw</v>
      </c>
      <c r="E2312" s="17" t="str">
        <f>IFERROR(__xludf.DUMMYFUNCTION("""COMPUTED_VALUE"""),"臺中市烏日區烏日國民小學")</f>
        <v>臺中市烏日區烏日國民小學</v>
      </c>
      <c r="F2312" s="14" t="str">
        <f>IFERROR(__xludf.DUMMYFUNCTION("""COMPUTED_VALUE"""),"六年級")</f>
        <v>六年級</v>
      </c>
      <c r="G2312" s="14" t="str">
        <f>IFERROR(__xludf.DUMMYFUNCTION("""COMPUTED_VALUE"""),"●小禮物")</f>
        <v>●小禮物</v>
      </c>
      <c r="H2312" s="8"/>
    </row>
    <row r="2313">
      <c r="A2313" s="18"/>
      <c r="B2313" s="14">
        <f>IFERROR(__xludf.DUMMYFUNCTION("""COMPUTED_VALUE"""),814349.0)</f>
        <v>814349</v>
      </c>
      <c r="C2313" s="14" t="str">
        <f>IFERROR(__xludf.DUMMYFUNCTION("""COMPUTED_VALUE"""),"楊宥順")</f>
        <v>楊宥順</v>
      </c>
      <c r="D2313" s="16" t="str">
        <f>IFERROR(__xludf.DUMMYFUNCTION("""COMPUTED_VALUE"""),"tc.*****2389@mail.edu.tw")</f>
        <v>tc.*****2389@mail.edu.tw</v>
      </c>
      <c r="E2313" s="17" t="str">
        <f>IFERROR(__xludf.DUMMYFUNCTION("""COMPUTED_VALUE"""),"臺中市烏日區烏日國民小學")</f>
        <v>臺中市烏日區烏日國民小學</v>
      </c>
      <c r="F2313" s="14" t="str">
        <f>IFERROR(__xludf.DUMMYFUNCTION("""COMPUTED_VALUE"""),"六年級")</f>
        <v>六年級</v>
      </c>
      <c r="G2313" s="14" t="str">
        <f>IFERROR(__xludf.DUMMYFUNCTION("""COMPUTED_VALUE"""),"●小禮物")</f>
        <v>●小禮物</v>
      </c>
      <c r="H2313" s="8"/>
    </row>
    <row r="2314">
      <c r="A2314" s="18"/>
      <c r="B2314" s="14">
        <f>IFERROR(__xludf.DUMMYFUNCTION("""COMPUTED_VALUE"""),814345.0)</f>
        <v>814345</v>
      </c>
      <c r="C2314" s="14" t="str">
        <f>IFERROR(__xludf.DUMMYFUNCTION("""COMPUTED_VALUE"""),"蔡憶慈")</f>
        <v>蔡憶慈</v>
      </c>
      <c r="D2314" s="16" t="str">
        <f>IFERROR(__xludf.DUMMYFUNCTION("""COMPUTED_VALUE"""),"tc.*****2380@mail.edu.tw")</f>
        <v>tc.*****2380@mail.edu.tw</v>
      </c>
      <c r="E2314" s="17" t="str">
        <f>IFERROR(__xludf.DUMMYFUNCTION("""COMPUTED_VALUE"""),"臺中市烏日區烏日國民小學")</f>
        <v>臺中市烏日區烏日國民小學</v>
      </c>
      <c r="F2314" s="14" t="str">
        <f>IFERROR(__xludf.DUMMYFUNCTION("""COMPUTED_VALUE"""),"六年級")</f>
        <v>六年級</v>
      </c>
      <c r="G2314" s="14" t="str">
        <f>IFERROR(__xludf.DUMMYFUNCTION("""COMPUTED_VALUE"""),"★禮券$500")</f>
        <v>★禮券$500</v>
      </c>
      <c r="H2314" s="8"/>
    </row>
    <row r="2315">
      <c r="A2315" s="18"/>
      <c r="B2315" s="14">
        <f>IFERROR(__xludf.DUMMYFUNCTION("""COMPUTED_VALUE"""),828855.0)</f>
        <v>828855</v>
      </c>
      <c r="C2315" s="14" t="str">
        <f>IFERROR(__xludf.DUMMYFUNCTION("""COMPUTED_VALUE"""),"陳崴翔")</f>
        <v>陳崴翔</v>
      </c>
      <c r="D2315" s="16" t="str">
        <f>IFERROR(__xludf.DUMMYFUNCTION("""COMPUTED_VALUE"""),"tc.*****2305@mail.edu.tw")</f>
        <v>tc.*****2305@mail.edu.tw</v>
      </c>
      <c r="E2315" s="17" t="str">
        <f>IFERROR(__xludf.DUMMYFUNCTION("""COMPUTED_VALUE"""),"臺中市烏日區烏日國民小學")</f>
        <v>臺中市烏日區烏日國民小學</v>
      </c>
      <c r="F2315" s="14" t="str">
        <f>IFERROR(__xludf.DUMMYFUNCTION("""COMPUTED_VALUE"""),"六年級")</f>
        <v>六年級</v>
      </c>
      <c r="G2315" s="14" t="str">
        <f>IFERROR(__xludf.DUMMYFUNCTION("""COMPUTED_VALUE"""),"●小禮物")</f>
        <v>●小禮物</v>
      </c>
      <c r="H2315" s="8"/>
    </row>
    <row r="2316">
      <c r="A2316" s="18"/>
      <c r="B2316" s="14">
        <f>IFERROR(__xludf.DUMMYFUNCTION("""COMPUTED_VALUE"""),1211573.0)</f>
        <v>1211573</v>
      </c>
      <c r="C2316" s="14" t="str">
        <f>IFERROR(__xludf.DUMMYFUNCTION("""COMPUTED_VALUE"""),"史聖勳")</f>
        <v>史聖勳</v>
      </c>
      <c r="D2316" s="16" t="str">
        <f>IFERROR(__xludf.DUMMYFUNCTION("""COMPUTED_VALUE"""),"tc.*****2087@mail.edu.tw")</f>
        <v>tc.*****2087@mail.edu.tw</v>
      </c>
      <c r="E2316" s="17" t="str">
        <f>IFERROR(__xludf.DUMMYFUNCTION("""COMPUTED_VALUE"""),"臺中市烏日區烏日國民小學")</f>
        <v>臺中市烏日區烏日國民小學</v>
      </c>
      <c r="F2316" s="14" t="str">
        <f>IFERROR(__xludf.DUMMYFUNCTION("""COMPUTED_VALUE"""),"六年級")</f>
        <v>六年級</v>
      </c>
      <c r="G2316" s="14" t="str">
        <f>IFERROR(__xludf.DUMMYFUNCTION("""COMPUTED_VALUE"""),"獎狀")</f>
        <v>獎狀</v>
      </c>
      <c r="H2316" s="8"/>
    </row>
    <row r="2317">
      <c r="A2317" s="18"/>
      <c r="B2317" s="14">
        <f>IFERROR(__xludf.DUMMYFUNCTION("""COMPUTED_VALUE"""),828862.0)</f>
        <v>828862</v>
      </c>
      <c r="C2317" s="14" t="str">
        <f>IFERROR(__xludf.DUMMYFUNCTION("""COMPUTED_VALUE"""),"李若薇")</f>
        <v>李若薇</v>
      </c>
      <c r="D2317" s="16" t="str">
        <f>IFERROR(__xludf.DUMMYFUNCTION("""COMPUTED_VALUE"""),"tc.*****5@mail.edu.tw")</f>
        <v>tc.*****5@mail.edu.tw</v>
      </c>
      <c r="E2317" s="17" t="str">
        <f>IFERROR(__xludf.DUMMYFUNCTION("""COMPUTED_VALUE"""),"臺中市烏日區烏日國民小學")</f>
        <v>臺中市烏日區烏日國民小學</v>
      </c>
      <c r="F2317" s="14" t="str">
        <f>IFERROR(__xludf.DUMMYFUNCTION("""COMPUTED_VALUE"""),"六年級")</f>
        <v>六年級</v>
      </c>
      <c r="G2317" s="14" t="str">
        <f>IFERROR(__xludf.DUMMYFUNCTION("""COMPUTED_VALUE"""),"獎狀")</f>
        <v>獎狀</v>
      </c>
      <c r="H2317" s="8"/>
    </row>
    <row r="2318">
      <c r="A2318" s="18"/>
      <c r="B2318" s="14">
        <f>IFERROR(__xludf.DUMMYFUNCTION("""COMPUTED_VALUE"""),469422.0)</f>
        <v>469422</v>
      </c>
      <c r="C2318" s="14" t="str">
        <f>IFERROR(__xludf.DUMMYFUNCTION("""COMPUTED_VALUE"""),"林渝恩")</f>
        <v>林渝恩</v>
      </c>
      <c r="D2318" s="16" t="str">
        <f>IFERROR(__xludf.DUMMYFUNCTION("""COMPUTED_VALUE"""),"tc.*****2159@mail.edu.tw")</f>
        <v>tc.*****2159@mail.edu.tw</v>
      </c>
      <c r="E2318" s="17" t="str">
        <f>IFERROR(__xludf.DUMMYFUNCTION("""COMPUTED_VALUE"""),"臺中市烏日區烏日國民小學")</f>
        <v>臺中市烏日區烏日國民小學</v>
      </c>
      <c r="F2318" s="14" t="str">
        <f>IFERROR(__xludf.DUMMYFUNCTION("""COMPUTED_VALUE"""),"六年級")</f>
        <v>六年級</v>
      </c>
      <c r="G2318" s="14" t="str">
        <f>IFERROR(__xludf.DUMMYFUNCTION("""COMPUTED_VALUE"""),"獎狀")</f>
        <v>獎狀</v>
      </c>
      <c r="H2318" s="8"/>
    </row>
    <row r="2319">
      <c r="A2319" s="18"/>
      <c r="B2319" s="14">
        <f>IFERROR(__xludf.DUMMYFUNCTION("""COMPUTED_VALUE"""),872458.0)</f>
        <v>872458</v>
      </c>
      <c r="C2319" s="14" t="str">
        <f>IFERROR(__xludf.DUMMYFUNCTION("""COMPUTED_VALUE"""),"黃國瑞")</f>
        <v>黃國瑞</v>
      </c>
      <c r="D2319" s="16" t="str">
        <f>IFERROR(__xludf.DUMMYFUNCTION("""COMPUTED_VALUE"""),"isl*****sodor@mail.edu.tw")</f>
        <v>isl*****sodor@mail.edu.tw</v>
      </c>
      <c r="E2319" s="17" t="str">
        <f>IFERROR(__xludf.DUMMYFUNCTION("""COMPUTED_VALUE"""),"臺中市烏日區烏日國民小學")</f>
        <v>臺中市烏日區烏日國民小學</v>
      </c>
      <c r="F2319" s="14" t="str">
        <f>IFERROR(__xludf.DUMMYFUNCTION("""COMPUTED_VALUE"""),"六年級")</f>
        <v>六年級</v>
      </c>
      <c r="G2319" s="14" t="str">
        <f>IFERROR(__xludf.DUMMYFUNCTION("""COMPUTED_VALUE"""),"獎狀")</f>
        <v>獎狀</v>
      </c>
      <c r="H2319" s="8"/>
    </row>
    <row r="2320">
      <c r="A2320" s="18"/>
      <c r="B2320" s="14">
        <f>IFERROR(__xludf.DUMMYFUNCTION("""COMPUTED_VALUE"""),1211579.0)</f>
        <v>1211579</v>
      </c>
      <c r="C2320" s="14" t="str">
        <f>IFERROR(__xludf.DUMMYFUNCTION("""COMPUTED_VALUE"""),"楊尚蓉")</f>
        <v>楊尚蓉</v>
      </c>
      <c r="D2320" s="16" t="str">
        <f>IFERROR(__xludf.DUMMYFUNCTION("""COMPUTED_VALUE"""),"tc.*****2235@mail.edu.tw")</f>
        <v>tc.*****2235@mail.edu.tw</v>
      </c>
      <c r="E2320" s="17" t="str">
        <f>IFERROR(__xludf.DUMMYFUNCTION("""COMPUTED_VALUE"""),"臺中市烏日區烏日國民小學")</f>
        <v>臺中市烏日區烏日國民小學</v>
      </c>
      <c r="F2320" s="14" t="str">
        <f>IFERROR(__xludf.DUMMYFUNCTION("""COMPUTED_VALUE"""),"六年級")</f>
        <v>六年級</v>
      </c>
      <c r="G2320" s="14" t="str">
        <f>IFERROR(__xludf.DUMMYFUNCTION("""COMPUTED_VALUE"""),"獎狀")</f>
        <v>獎狀</v>
      </c>
      <c r="H2320" s="8"/>
    </row>
    <row r="2321">
      <c r="A2321" s="18"/>
      <c r="B2321" s="14">
        <f>IFERROR(__xludf.DUMMYFUNCTION("""COMPUTED_VALUE"""),828861.0)</f>
        <v>828861</v>
      </c>
      <c r="C2321" s="14" t="str">
        <f>IFERROR(__xludf.DUMMYFUNCTION("""COMPUTED_VALUE"""),"楊惇宇")</f>
        <v>楊惇宇</v>
      </c>
      <c r="D2321" s="16" t="str">
        <f>IFERROR(__xludf.DUMMYFUNCTION("""COMPUTED_VALUE"""),"tc.*****2082@mail.edu.tw")</f>
        <v>tc.*****2082@mail.edu.tw</v>
      </c>
      <c r="E2321" s="17" t="str">
        <f>IFERROR(__xludf.DUMMYFUNCTION("""COMPUTED_VALUE"""),"臺中市烏日區烏日國民小學")</f>
        <v>臺中市烏日區烏日國民小學</v>
      </c>
      <c r="F2321" s="14" t="str">
        <f>IFERROR(__xludf.DUMMYFUNCTION("""COMPUTED_VALUE"""),"六年級")</f>
        <v>六年級</v>
      </c>
      <c r="G2321" s="14" t="str">
        <f>IFERROR(__xludf.DUMMYFUNCTION("""COMPUTED_VALUE"""),"獎狀")</f>
        <v>獎狀</v>
      </c>
      <c r="H2321" s="8"/>
    </row>
    <row r="2322">
      <c r="A2322" s="18"/>
      <c r="B2322" s="14">
        <f>IFERROR(__xludf.DUMMYFUNCTION("""COMPUTED_VALUE"""),817189.0)</f>
        <v>817189</v>
      </c>
      <c r="C2322" s="14" t="str">
        <f>IFERROR(__xludf.DUMMYFUNCTION("""COMPUTED_VALUE"""),"林品妤")</f>
        <v>林品妤</v>
      </c>
      <c r="D2322" s="16" t="str">
        <f>IFERROR(__xludf.DUMMYFUNCTION("""COMPUTED_VALUE"""),"tc.*****2382@mail.edu.tw")</f>
        <v>tc.*****2382@mail.edu.tw</v>
      </c>
      <c r="E2322" s="17" t="str">
        <f>IFERROR(__xludf.DUMMYFUNCTION("""COMPUTED_VALUE"""),"臺中市烏日區烏日國民小學")</f>
        <v>臺中市烏日區烏日國民小學</v>
      </c>
      <c r="F2322" s="14" t="str">
        <f>IFERROR(__xludf.DUMMYFUNCTION("""COMPUTED_VALUE"""),"六年級")</f>
        <v>六年級</v>
      </c>
      <c r="G2322" s="14" t="str">
        <f>IFERROR(__xludf.DUMMYFUNCTION("""COMPUTED_VALUE"""),"●小禮物")</f>
        <v>●小禮物</v>
      </c>
      <c r="H2322" s="8"/>
    </row>
    <row r="2323">
      <c r="A2323" s="18"/>
      <c r="B2323" s="14">
        <f>IFERROR(__xludf.DUMMYFUNCTION("""COMPUTED_VALUE"""),1207325.0)</f>
        <v>1207325</v>
      </c>
      <c r="C2323" s="14" t="str">
        <f>IFERROR(__xludf.DUMMYFUNCTION("""COMPUTED_VALUE"""),"林煒晢")</f>
        <v>林煒晢</v>
      </c>
      <c r="D2323" s="16" t="str">
        <f>IFERROR(__xludf.DUMMYFUNCTION("""COMPUTED_VALUE"""),"tc.*****2302@mail.edu.tw")</f>
        <v>tc.*****2302@mail.edu.tw</v>
      </c>
      <c r="E2323" s="17" t="str">
        <f>IFERROR(__xludf.DUMMYFUNCTION("""COMPUTED_VALUE"""),"臺中市烏日區烏日國民小學")</f>
        <v>臺中市烏日區烏日國民小學</v>
      </c>
      <c r="F2323" s="14" t="str">
        <f>IFERROR(__xludf.DUMMYFUNCTION("""COMPUTED_VALUE"""),"六年級")</f>
        <v>六年級</v>
      </c>
      <c r="G2323" s="14" t="str">
        <f>IFERROR(__xludf.DUMMYFUNCTION("""COMPUTED_VALUE"""),"●小禮物")</f>
        <v>●小禮物</v>
      </c>
      <c r="H2323" s="8"/>
    </row>
    <row r="2324">
      <c r="A2324" s="18"/>
      <c r="B2324" s="14">
        <f>IFERROR(__xludf.DUMMYFUNCTION("""COMPUTED_VALUE"""),828866.0)</f>
        <v>828866</v>
      </c>
      <c r="C2324" s="14" t="str">
        <f>IFERROR(__xludf.DUMMYFUNCTION("""COMPUTED_VALUE"""),"孫靖恩")</f>
        <v>孫靖恩</v>
      </c>
      <c r="D2324" s="16" t="str">
        <f>IFERROR(__xludf.DUMMYFUNCTION("""COMPUTED_VALUE"""),"tc.*****2113@mail.edu.tw")</f>
        <v>tc.*****2113@mail.edu.tw</v>
      </c>
      <c r="E2324" s="17" t="str">
        <f>IFERROR(__xludf.DUMMYFUNCTION("""COMPUTED_VALUE"""),"臺中市烏日區烏日國民小學")</f>
        <v>臺中市烏日區烏日國民小學</v>
      </c>
      <c r="F2324" s="14" t="str">
        <f>IFERROR(__xludf.DUMMYFUNCTION("""COMPUTED_VALUE"""),"六年級")</f>
        <v>六年級</v>
      </c>
      <c r="G2324" s="14" t="str">
        <f>IFERROR(__xludf.DUMMYFUNCTION("""COMPUTED_VALUE"""),"獎狀")</f>
        <v>獎狀</v>
      </c>
      <c r="H2324" s="8"/>
    </row>
    <row r="2325">
      <c r="A2325" s="18"/>
      <c r="B2325" s="14">
        <f>IFERROR(__xludf.DUMMYFUNCTION("""COMPUTED_VALUE"""),828854.0)</f>
        <v>828854</v>
      </c>
      <c r="C2325" s="14" t="str">
        <f>IFERROR(__xludf.DUMMYFUNCTION("""COMPUTED_VALUE"""),"許宥脩")</f>
        <v>許宥脩</v>
      </c>
      <c r="D2325" s="16" t="str">
        <f>IFERROR(__xludf.DUMMYFUNCTION("""COMPUTED_VALUE"""),"tc.*****2203@mail.edu.tw")</f>
        <v>tc.*****2203@mail.edu.tw</v>
      </c>
      <c r="E2325" s="17" t="str">
        <f>IFERROR(__xludf.DUMMYFUNCTION("""COMPUTED_VALUE"""),"臺中市烏日區烏日國民小學")</f>
        <v>臺中市烏日區烏日國民小學</v>
      </c>
      <c r="F2325" s="14" t="str">
        <f>IFERROR(__xludf.DUMMYFUNCTION("""COMPUTED_VALUE"""),"六年級")</f>
        <v>六年級</v>
      </c>
      <c r="G2325" s="14" t="str">
        <f>IFERROR(__xludf.DUMMYFUNCTION("""COMPUTED_VALUE"""),"獎狀")</f>
        <v>獎狀</v>
      </c>
      <c r="H2325" s="8"/>
    </row>
    <row r="2326">
      <c r="A2326" s="18"/>
      <c r="B2326" s="14">
        <f>IFERROR(__xludf.DUMMYFUNCTION("""COMPUTED_VALUE"""),1207324.0)</f>
        <v>1207324</v>
      </c>
      <c r="C2326" s="14" t="str">
        <f>IFERROR(__xludf.DUMMYFUNCTION("""COMPUTED_VALUE"""),"顏佑丞")</f>
        <v>顏佑丞</v>
      </c>
      <c r="D2326" s="16" t="str">
        <f>IFERROR(__xludf.DUMMYFUNCTION("""COMPUTED_VALUE"""),"tc.*****2615@mail.edu.tw")</f>
        <v>tc.*****2615@mail.edu.tw</v>
      </c>
      <c r="E2326" s="17" t="str">
        <f>IFERROR(__xludf.DUMMYFUNCTION("""COMPUTED_VALUE"""),"臺中市烏日區烏日國民小學")</f>
        <v>臺中市烏日區烏日國民小學</v>
      </c>
      <c r="F2326" s="14" t="str">
        <f>IFERROR(__xludf.DUMMYFUNCTION("""COMPUTED_VALUE"""),"六年級")</f>
        <v>六年級</v>
      </c>
      <c r="G2326" s="14" t="str">
        <f>IFERROR(__xludf.DUMMYFUNCTION("""COMPUTED_VALUE"""),"獎狀")</f>
        <v>獎狀</v>
      </c>
      <c r="H2326" s="8"/>
    </row>
    <row r="2327">
      <c r="A2327" s="18"/>
      <c r="B2327" s="14">
        <f>IFERROR(__xludf.DUMMYFUNCTION("""COMPUTED_VALUE"""),467668.0)</f>
        <v>467668</v>
      </c>
      <c r="C2327" s="14" t="str">
        <f>IFERROR(__xludf.DUMMYFUNCTION("""COMPUTED_VALUE"""),"魏楚元")</f>
        <v>魏楚元</v>
      </c>
      <c r="D2327" s="16" t="str">
        <f>IFERROR(__xludf.DUMMYFUNCTION("""COMPUTED_VALUE"""),"tc.*****2155@mail.edu.tw")</f>
        <v>tc.*****2155@mail.edu.tw</v>
      </c>
      <c r="E2327" s="17" t="str">
        <f>IFERROR(__xludf.DUMMYFUNCTION("""COMPUTED_VALUE"""),"臺中市烏日區烏日國民小學")</f>
        <v>臺中市烏日區烏日國民小學</v>
      </c>
      <c r="F2327" s="14" t="str">
        <f>IFERROR(__xludf.DUMMYFUNCTION("""COMPUTED_VALUE"""),"六年級")</f>
        <v>六年級</v>
      </c>
      <c r="G2327" s="14" t="str">
        <f>IFERROR(__xludf.DUMMYFUNCTION("""COMPUTED_VALUE"""),"獎狀")</f>
        <v>獎狀</v>
      </c>
      <c r="H2327" s="8"/>
    </row>
    <row r="2328">
      <c r="A2328" s="18"/>
      <c r="B2328" s="14">
        <f>IFERROR(__xludf.DUMMYFUNCTION("""COMPUTED_VALUE"""),1211575.0)</f>
        <v>1211575</v>
      </c>
      <c r="C2328" s="14" t="str">
        <f>IFERROR(__xludf.DUMMYFUNCTION("""COMPUTED_VALUE"""),"李承翰")</f>
        <v>李承翰</v>
      </c>
      <c r="D2328" s="16" t="str">
        <f>IFERROR(__xludf.DUMMYFUNCTION("""COMPUTED_VALUE"""),"600*****t.tc.edu.tw")</f>
        <v>600*****t.tc.edu.tw</v>
      </c>
      <c r="E2328" s="17" t="str">
        <f>IFERROR(__xludf.DUMMYFUNCTION("""COMPUTED_VALUE"""),"臺中市烏日區烏日國民小學")</f>
        <v>臺中市烏日區烏日國民小學</v>
      </c>
      <c r="F2328" s="14" t="str">
        <f>IFERROR(__xludf.DUMMYFUNCTION("""COMPUTED_VALUE"""),"六年級")</f>
        <v>六年級</v>
      </c>
      <c r="G2328" s="14" t="str">
        <f>IFERROR(__xludf.DUMMYFUNCTION("""COMPUTED_VALUE"""),"●小禮物")</f>
        <v>●小禮物</v>
      </c>
      <c r="H2328" s="8"/>
    </row>
    <row r="2329">
      <c r="A2329" s="18"/>
      <c r="B2329" s="14">
        <f>IFERROR(__xludf.DUMMYFUNCTION("""COMPUTED_VALUE"""),828858.0)</f>
        <v>828858</v>
      </c>
      <c r="C2329" s="14" t="str">
        <f>IFERROR(__xludf.DUMMYFUNCTION("""COMPUTED_VALUE"""),"林晏靖")</f>
        <v>林晏靖</v>
      </c>
      <c r="D2329" s="16" t="str">
        <f>IFERROR(__xludf.DUMMYFUNCTION("""COMPUTED_VALUE"""),"tc.*****2390@mail.edu.tw")</f>
        <v>tc.*****2390@mail.edu.tw</v>
      </c>
      <c r="E2329" s="17" t="str">
        <f>IFERROR(__xludf.DUMMYFUNCTION("""COMPUTED_VALUE"""),"臺中市烏日區烏日國民小學")</f>
        <v>臺中市烏日區烏日國民小學</v>
      </c>
      <c r="F2329" s="14" t="str">
        <f>IFERROR(__xludf.DUMMYFUNCTION("""COMPUTED_VALUE"""),"六年級")</f>
        <v>六年級</v>
      </c>
      <c r="G2329" s="14" t="str">
        <f>IFERROR(__xludf.DUMMYFUNCTION("""COMPUTED_VALUE"""),"●小禮物")</f>
        <v>●小禮物</v>
      </c>
      <c r="H2329" s="8"/>
    </row>
    <row r="2330">
      <c r="A2330" s="18"/>
      <c r="B2330" s="14">
        <f>IFERROR(__xludf.DUMMYFUNCTION("""COMPUTED_VALUE"""),1211574.0)</f>
        <v>1211574</v>
      </c>
      <c r="C2330" s="14" t="str">
        <f>IFERROR(__xludf.DUMMYFUNCTION("""COMPUTED_VALUE"""),"吳亭儀")</f>
        <v>吳亭儀</v>
      </c>
      <c r="D2330" s="16" t="str">
        <f>IFERROR(__xludf.DUMMYFUNCTION("""COMPUTED_VALUE"""),"tc.*****2201@mail.edu.tw")</f>
        <v>tc.*****2201@mail.edu.tw</v>
      </c>
      <c r="E2330" s="17" t="str">
        <f>IFERROR(__xludf.DUMMYFUNCTION("""COMPUTED_VALUE"""),"臺中市烏日區烏日國民小學")</f>
        <v>臺中市烏日區烏日國民小學</v>
      </c>
      <c r="F2330" s="14" t="str">
        <f>IFERROR(__xludf.DUMMYFUNCTION("""COMPUTED_VALUE"""),"六年級")</f>
        <v>六年級</v>
      </c>
      <c r="G2330" s="14" t="str">
        <f>IFERROR(__xludf.DUMMYFUNCTION("""COMPUTED_VALUE"""),"獎狀")</f>
        <v>獎狀</v>
      </c>
      <c r="H2330" s="8"/>
    </row>
    <row r="2331">
      <c r="A2331" s="18"/>
      <c r="B2331" s="14">
        <f>IFERROR(__xludf.DUMMYFUNCTION("""COMPUTED_VALUE"""),828864.0)</f>
        <v>828864</v>
      </c>
      <c r="C2331" s="14" t="str">
        <f>IFERROR(__xludf.DUMMYFUNCTION("""COMPUTED_VALUE"""),"吳品瑢")</f>
        <v>吳品瑢</v>
      </c>
      <c r="D2331" s="16" t="str">
        <f>IFERROR(__xludf.DUMMYFUNCTION("""COMPUTED_VALUE"""),"tc.*****2553@mail.edu.tw")</f>
        <v>tc.*****2553@mail.edu.tw</v>
      </c>
      <c r="E2331" s="17" t="str">
        <f>IFERROR(__xludf.DUMMYFUNCTION("""COMPUTED_VALUE"""),"臺中市烏日區烏日國民小學")</f>
        <v>臺中市烏日區烏日國民小學</v>
      </c>
      <c r="F2331" s="14" t="str">
        <f>IFERROR(__xludf.DUMMYFUNCTION("""COMPUTED_VALUE"""),"六年級")</f>
        <v>六年級</v>
      </c>
      <c r="G2331" s="14" t="str">
        <f>IFERROR(__xludf.DUMMYFUNCTION("""COMPUTED_VALUE"""),"獎狀")</f>
        <v>獎狀</v>
      </c>
      <c r="H2331" s="8"/>
    </row>
    <row r="2332">
      <c r="A2332" s="18"/>
      <c r="B2332" s="14">
        <f>IFERROR(__xludf.DUMMYFUNCTION("""COMPUTED_VALUE"""),828853.0)</f>
        <v>828853</v>
      </c>
      <c r="C2332" s="14" t="str">
        <f>IFERROR(__xludf.DUMMYFUNCTION("""COMPUTED_VALUE"""),"林沁嬡")</f>
        <v>林沁嬡</v>
      </c>
      <c r="D2332" s="16" t="str">
        <f>IFERROR(__xludf.DUMMYFUNCTION("""COMPUTED_VALUE"""),"tc.*****2039@mail.edu.tw")</f>
        <v>tc.*****2039@mail.edu.tw</v>
      </c>
      <c r="E2332" s="17" t="str">
        <f>IFERROR(__xludf.DUMMYFUNCTION("""COMPUTED_VALUE"""),"臺中市烏日區烏日國民小學")</f>
        <v>臺中市烏日區烏日國民小學</v>
      </c>
      <c r="F2332" s="14" t="str">
        <f>IFERROR(__xludf.DUMMYFUNCTION("""COMPUTED_VALUE"""),"六年級")</f>
        <v>六年級</v>
      </c>
      <c r="G2332" s="14" t="str">
        <f>IFERROR(__xludf.DUMMYFUNCTION("""COMPUTED_VALUE"""),"獎狀")</f>
        <v>獎狀</v>
      </c>
      <c r="H2332" s="8"/>
    </row>
    <row r="2333">
      <c r="A2333" s="18"/>
      <c r="B2333" s="14">
        <f>IFERROR(__xludf.DUMMYFUNCTION("""COMPUTED_VALUE"""),828859.0)</f>
        <v>828859</v>
      </c>
      <c r="C2333" s="14" t="str">
        <f>IFERROR(__xludf.DUMMYFUNCTION("""COMPUTED_VALUE"""),"黃承翎")</f>
        <v>黃承翎</v>
      </c>
      <c r="D2333" s="16" t="str">
        <f>IFERROR(__xludf.DUMMYFUNCTION("""COMPUTED_VALUE"""),"tc.*****2230@mail.edu.tw")</f>
        <v>tc.*****2230@mail.edu.tw</v>
      </c>
      <c r="E2333" s="17" t="str">
        <f>IFERROR(__xludf.DUMMYFUNCTION("""COMPUTED_VALUE"""),"臺中市烏日區烏日國民小學")</f>
        <v>臺中市烏日區烏日國民小學</v>
      </c>
      <c r="F2333" s="14" t="str">
        <f>IFERROR(__xludf.DUMMYFUNCTION("""COMPUTED_VALUE"""),"六年級")</f>
        <v>六年級</v>
      </c>
      <c r="G2333" s="14" t="str">
        <f>IFERROR(__xludf.DUMMYFUNCTION("""COMPUTED_VALUE"""),"獎狀")</f>
        <v>獎狀</v>
      </c>
      <c r="H2333" s="8"/>
    </row>
    <row r="2334">
      <c r="A2334" s="18"/>
      <c r="B2334" s="14">
        <f>IFERROR(__xludf.DUMMYFUNCTION("""COMPUTED_VALUE"""),467677.0)</f>
        <v>467677</v>
      </c>
      <c r="C2334" s="14" t="str">
        <f>IFERROR(__xludf.DUMMYFUNCTION("""COMPUTED_VALUE"""),"王立文")</f>
        <v>王立文</v>
      </c>
      <c r="D2334" s="16" t="str">
        <f>IFERROR(__xludf.DUMMYFUNCTION("""COMPUTED_VALUE"""),"dov*****062338@mail.edu.tw")</f>
        <v>dov*****062338@mail.edu.tw</v>
      </c>
      <c r="E2334" s="17" t="str">
        <f>IFERROR(__xludf.DUMMYFUNCTION("""COMPUTED_VALUE"""),"臺中市烏日區烏日國民小學")</f>
        <v>臺中市烏日區烏日國民小學</v>
      </c>
      <c r="F2334" s="14" t="str">
        <f>IFERROR(__xludf.DUMMYFUNCTION("""COMPUTED_VALUE"""),"六年級")</f>
        <v>六年級</v>
      </c>
      <c r="G2334" s="14" t="str">
        <f>IFERROR(__xludf.DUMMYFUNCTION("""COMPUTED_VALUE"""),"獎狀")</f>
        <v>獎狀</v>
      </c>
      <c r="H2334" s="8"/>
    </row>
    <row r="2335">
      <c r="A2335" s="18"/>
      <c r="B2335" s="14">
        <f>IFERROR(__xludf.DUMMYFUNCTION("""COMPUTED_VALUE"""),814344.0)</f>
        <v>814344</v>
      </c>
      <c r="C2335" s="14" t="str">
        <f>IFERROR(__xludf.DUMMYFUNCTION("""COMPUTED_VALUE"""),"郭百崧")</f>
        <v>郭百崧</v>
      </c>
      <c r="D2335" s="16" t="str">
        <f>IFERROR(__xludf.DUMMYFUNCTION("""COMPUTED_VALUE"""),"tc.*****2301@mail.edu.tw")</f>
        <v>tc.*****2301@mail.edu.tw</v>
      </c>
      <c r="E2335" s="17" t="str">
        <f>IFERROR(__xludf.DUMMYFUNCTION("""COMPUTED_VALUE"""),"臺中市烏日區烏日國民小學")</f>
        <v>臺中市烏日區烏日國民小學</v>
      </c>
      <c r="F2335" s="14" t="str">
        <f>IFERROR(__xludf.DUMMYFUNCTION("""COMPUTED_VALUE"""),"六年級")</f>
        <v>六年級</v>
      </c>
      <c r="G2335" s="14" t="str">
        <f>IFERROR(__xludf.DUMMYFUNCTION("""COMPUTED_VALUE"""),"獎狀")</f>
        <v>獎狀</v>
      </c>
      <c r="H2335" s="8"/>
    </row>
    <row r="2336">
      <c r="A2336" s="18"/>
      <c r="B2336" s="14">
        <f>IFERROR(__xludf.DUMMYFUNCTION("""COMPUTED_VALUE"""),814352.0)</f>
        <v>814352</v>
      </c>
      <c r="C2336" s="14" t="str">
        <f>IFERROR(__xludf.DUMMYFUNCTION("""COMPUTED_VALUE"""),"趙恩宣")</f>
        <v>趙恩宣</v>
      </c>
      <c r="D2336" s="16" t="str">
        <f>IFERROR(__xludf.DUMMYFUNCTION("""COMPUTED_VALUE"""),"tc.*****2119@mail.edu.tw")</f>
        <v>tc.*****2119@mail.edu.tw</v>
      </c>
      <c r="E2336" s="17" t="str">
        <f>IFERROR(__xludf.DUMMYFUNCTION("""COMPUTED_VALUE"""),"臺中市烏日區烏日國民小學")</f>
        <v>臺中市烏日區烏日國民小學</v>
      </c>
      <c r="F2336" s="14" t="str">
        <f>IFERROR(__xludf.DUMMYFUNCTION("""COMPUTED_VALUE"""),"六年級")</f>
        <v>六年級</v>
      </c>
      <c r="G2336" s="14" t="str">
        <f>IFERROR(__xludf.DUMMYFUNCTION("""COMPUTED_VALUE"""),"獎狀")</f>
        <v>獎狀</v>
      </c>
      <c r="H2336" s="8"/>
    </row>
    <row r="2337">
      <c r="A2337" s="18"/>
      <c r="B2337" s="14">
        <f>IFERROR(__xludf.DUMMYFUNCTION("""COMPUTED_VALUE"""),828856.0)</f>
        <v>828856</v>
      </c>
      <c r="C2337" s="14" t="str">
        <f>IFERROR(__xludf.DUMMYFUNCTION("""COMPUTED_VALUE"""),"黃怡和")</f>
        <v>黃怡和</v>
      </c>
      <c r="D2337" s="16" t="str">
        <f>IFERROR(__xludf.DUMMYFUNCTION("""COMPUTED_VALUE"""),"tc.*****0039@mail.edu.tw")</f>
        <v>tc.*****0039@mail.edu.tw</v>
      </c>
      <c r="E2337" s="17" t="str">
        <f>IFERROR(__xludf.DUMMYFUNCTION("""COMPUTED_VALUE"""),"臺中市烏日區五光國民小學")</f>
        <v>臺中市烏日區五光國民小學</v>
      </c>
      <c r="F2337" s="14" t="str">
        <f>IFERROR(__xludf.DUMMYFUNCTION("""COMPUTED_VALUE"""),"六年級")</f>
        <v>六年級</v>
      </c>
      <c r="G2337" s="14" t="str">
        <f>IFERROR(__xludf.DUMMYFUNCTION("""COMPUTED_VALUE"""),"獎狀")</f>
        <v>獎狀</v>
      </c>
      <c r="H2337" s="8"/>
    </row>
    <row r="2338">
      <c r="A2338" s="18"/>
      <c r="B2338" s="14">
        <f>IFERROR(__xludf.DUMMYFUNCTION("""COMPUTED_VALUE"""),1089269.0)</f>
        <v>1089269</v>
      </c>
      <c r="C2338" s="14" t="str">
        <f>IFERROR(__xludf.DUMMYFUNCTION("""COMPUTED_VALUE"""),"吳沐恩")</f>
        <v>吳沐恩</v>
      </c>
      <c r="D2338" s="16" t="str">
        <f>IFERROR(__xludf.DUMMYFUNCTION("""COMPUTED_VALUE"""),"wuw*****20@gmail.com")</f>
        <v>wuw*****20@gmail.com</v>
      </c>
      <c r="E2338" s="17" t="str">
        <f>IFERROR(__xludf.DUMMYFUNCTION("""COMPUTED_VALUE"""),"臺中市烏日區九德國民小學")</f>
        <v>臺中市烏日區九德國民小學</v>
      </c>
      <c r="F2338" s="14" t="str">
        <f>IFERROR(__xludf.DUMMYFUNCTION("""COMPUTED_VALUE"""),"三年級")</f>
        <v>三年級</v>
      </c>
      <c r="G2338" s="14" t="str">
        <f>IFERROR(__xludf.DUMMYFUNCTION("""COMPUTED_VALUE"""),"獎狀")</f>
        <v>獎狀</v>
      </c>
      <c r="H2338" s="8"/>
    </row>
    <row r="2339">
      <c r="A2339" s="18"/>
      <c r="B2339" s="14">
        <f>IFERROR(__xludf.DUMMYFUNCTION("""COMPUTED_VALUE"""),1024402.0)</f>
        <v>1024402</v>
      </c>
      <c r="C2339" s="14" t="str">
        <f>IFERROR(__xludf.DUMMYFUNCTION("""COMPUTED_VALUE"""),"廖子馨")</f>
        <v>廖子馨</v>
      </c>
      <c r="D2339" s="16" t="str">
        <f>IFERROR(__xludf.DUMMYFUNCTION("""COMPUTED_VALUE"""),"joa*****06@mail.edu.tw")</f>
        <v>joa*****06@mail.edu.tw</v>
      </c>
      <c r="E2339" s="17" t="str">
        <f>IFERROR(__xludf.DUMMYFUNCTION("""COMPUTED_VALUE"""),"臺中市烏日區旭光國民小學")</f>
        <v>臺中市烏日區旭光國民小學</v>
      </c>
      <c r="F2339" s="14" t="str">
        <f>IFERROR(__xludf.DUMMYFUNCTION("""COMPUTED_VALUE"""),"四年級")</f>
        <v>四年級</v>
      </c>
      <c r="G2339" s="14" t="str">
        <f>IFERROR(__xludf.DUMMYFUNCTION("""COMPUTED_VALUE"""),"獎狀")</f>
        <v>獎狀</v>
      </c>
      <c r="H2339" s="8"/>
    </row>
    <row r="2340">
      <c r="A2340" s="18"/>
      <c r="B2340" s="14">
        <f>IFERROR(__xludf.DUMMYFUNCTION("""COMPUTED_VALUE"""),746929.0)</f>
        <v>746929</v>
      </c>
      <c r="C2340" s="14" t="str">
        <f>IFERROR(__xludf.DUMMYFUNCTION("""COMPUTED_VALUE"""),"張仲毅")</f>
        <v>張仲毅</v>
      </c>
      <c r="D2340" s="16" t="str">
        <f>IFERROR(__xludf.DUMMYFUNCTION("""COMPUTED_VALUE"""),"708*****t.tc.edu.tw")</f>
        <v>708*****t.tc.edu.tw</v>
      </c>
      <c r="E2340" s="17" t="str">
        <f>IFERROR(__xludf.DUMMYFUNCTION("""COMPUTED_VALUE"""),"臺中市烏日區旭光國民小學")</f>
        <v>臺中市烏日區旭光國民小學</v>
      </c>
      <c r="F2340" s="14" t="str">
        <f>IFERROR(__xludf.DUMMYFUNCTION("""COMPUTED_VALUE"""),"五年級")</f>
        <v>五年級</v>
      </c>
      <c r="G2340" s="14" t="str">
        <f>IFERROR(__xludf.DUMMYFUNCTION("""COMPUTED_VALUE"""),"獎狀")</f>
        <v>獎狀</v>
      </c>
      <c r="H2340" s="8"/>
    </row>
    <row r="2341">
      <c r="A2341" s="18"/>
      <c r="B2341" s="14">
        <f>IFERROR(__xludf.DUMMYFUNCTION("""COMPUTED_VALUE"""),1147447.0)</f>
        <v>1147447</v>
      </c>
      <c r="C2341" s="14" t="str">
        <f>IFERROR(__xludf.DUMMYFUNCTION("""COMPUTED_VALUE"""),"林立崴")</f>
        <v>林立崴</v>
      </c>
      <c r="D2341" s="16" t="str">
        <f>IFERROR(__xludf.DUMMYFUNCTION("""COMPUTED_VALUE"""),"egg*****20271@mail.edu.tw")</f>
        <v>egg*****20271@mail.edu.tw</v>
      </c>
      <c r="E2341" s="17" t="str">
        <f>IFERROR(__xludf.DUMMYFUNCTION("""COMPUTED_VALUE"""),"臺中市烏日區旭光國民小學")</f>
        <v>臺中市烏日區旭光國民小學</v>
      </c>
      <c r="F2341" s="14" t="str">
        <f>IFERROR(__xludf.DUMMYFUNCTION("""COMPUTED_VALUE"""),"六年級")</f>
        <v>六年級</v>
      </c>
      <c r="G2341" s="14" t="str">
        <f>IFERROR(__xludf.DUMMYFUNCTION("""COMPUTED_VALUE"""),"獎狀")</f>
        <v>獎狀</v>
      </c>
      <c r="H2341" s="8"/>
    </row>
    <row r="2342">
      <c r="A2342" s="18"/>
      <c r="B2342" s="14">
        <f>IFERROR(__xludf.DUMMYFUNCTION("""COMPUTED_VALUE"""),1189664.0)</f>
        <v>1189664</v>
      </c>
      <c r="C2342" s="14" t="str">
        <f>IFERROR(__xludf.DUMMYFUNCTION("""COMPUTED_VALUE"""),"蕭芮羚")</f>
        <v>蕭芮羚</v>
      </c>
      <c r="D2342" s="16" t="str">
        <f>IFERROR(__xludf.DUMMYFUNCTION("""COMPUTED_VALUE"""),"947*****t.tc.edu.tw")</f>
        <v>947*****t.tc.edu.tw</v>
      </c>
      <c r="E2342" s="17" t="str">
        <f>IFERROR(__xludf.DUMMYFUNCTION("""COMPUTED_VALUE"""),"臺中市豐原區瑞穗國民小學")</f>
        <v>臺中市豐原區瑞穗國民小學</v>
      </c>
      <c r="F2342" s="14" t="str">
        <f>IFERROR(__xludf.DUMMYFUNCTION("""COMPUTED_VALUE"""),"三年級")</f>
        <v>三年級</v>
      </c>
      <c r="G2342" s="14" t="str">
        <f>IFERROR(__xludf.DUMMYFUNCTION("""COMPUTED_VALUE"""),"獎狀")</f>
        <v>獎狀</v>
      </c>
      <c r="H2342" s="8"/>
    </row>
    <row r="2343">
      <c r="A2343" s="18"/>
      <c r="B2343" s="14">
        <f>IFERROR(__xludf.DUMMYFUNCTION("""COMPUTED_VALUE"""),883309.0)</f>
        <v>883309</v>
      </c>
      <c r="C2343" s="14" t="str">
        <f>IFERROR(__xludf.DUMMYFUNCTION("""COMPUTED_VALUE"""),"粟璽宇")</f>
        <v>粟璽宇</v>
      </c>
      <c r="D2343" s="16" t="str">
        <f>IFERROR(__xludf.DUMMYFUNCTION("""COMPUTED_VALUE"""),"tc.*****9@mail.edu.tw")</f>
        <v>tc.*****9@mail.edu.tw</v>
      </c>
      <c r="E2343" s="17" t="str">
        <f>IFERROR(__xludf.DUMMYFUNCTION("""COMPUTED_VALUE"""),"臺中市豐原區瑞穗國民小學")</f>
        <v>臺中市豐原區瑞穗國民小學</v>
      </c>
      <c r="F2343" s="14" t="str">
        <f>IFERROR(__xludf.DUMMYFUNCTION("""COMPUTED_VALUE"""),"五年級")</f>
        <v>五年級</v>
      </c>
      <c r="G2343" s="14" t="str">
        <f>IFERROR(__xludf.DUMMYFUNCTION("""COMPUTED_VALUE"""),"獎狀")</f>
        <v>獎狀</v>
      </c>
      <c r="H2343" s="8"/>
    </row>
    <row r="2344">
      <c r="A2344" s="18"/>
      <c r="B2344" s="14">
        <f>IFERROR(__xludf.DUMMYFUNCTION("""COMPUTED_VALUE"""),1118083.0)</f>
        <v>1118083</v>
      </c>
      <c r="C2344" s="14" t="str">
        <f>IFERROR(__xludf.DUMMYFUNCTION("""COMPUTED_VALUE"""),"林卉淳")</f>
        <v>林卉淳</v>
      </c>
      <c r="D2344" s="16" t="str">
        <f>IFERROR(__xludf.DUMMYFUNCTION("""COMPUTED_VALUE"""),"704*****t.tc.edu.tw")</f>
        <v>704*****t.tc.edu.tw</v>
      </c>
      <c r="E2344" s="17" t="str">
        <f>IFERROR(__xludf.DUMMYFUNCTION("""COMPUTED_VALUE"""),"臺中市豐原區瑞穗國民小學")</f>
        <v>臺中市豐原區瑞穗國民小學</v>
      </c>
      <c r="F2344" s="14" t="str">
        <f>IFERROR(__xludf.DUMMYFUNCTION("""COMPUTED_VALUE"""),"五年級")</f>
        <v>五年級</v>
      </c>
      <c r="G2344" s="14" t="str">
        <f>IFERROR(__xludf.DUMMYFUNCTION("""COMPUTED_VALUE"""),"●小禮物")</f>
        <v>●小禮物</v>
      </c>
      <c r="H2344" s="8"/>
    </row>
    <row r="2345">
      <c r="A2345" s="18"/>
      <c r="B2345" s="14">
        <f>IFERROR(__xludf.DUMMYFUNCTION("""COMPUTED_VALUE"""),1018511.0)</f>
        <v>1018511</v>
      </c>
      <c r="C2345" s="14" t="str">
        <f>IFERROR(__xludf.DUMMYFUNCTION("""COMPUTED_VALUE"""),"蕭淯渟")</f>
        <v>蕭淯渟</v>
      </c>
      <c r="D2345" s="16" t="str">
        <f>IFERROR(__xludf.DUMMYFUNCTION("""COMPUTED_VALUE"""),"704*****t.tc.edu.tw")</f>
        <v>704*****t.tc.edu.tw</v>
      </c>
      <c r="E2345" s="17" t="str">
        <f>IFERROR(__xludf.DUMMYFUNCTION("""COMPUTED_VALUE"""),"臺中市豐原區瑞穗國民小學")</f>
        <v>臺中市豐原區瑞穗國民小學</v>
      </c>
      <c r="F2345" s="14" t="str">
        <f>IFERROR(__xludf.DUMMYFUNCTION("""COMPUTED_VALUE"""),"五年級")</f>
        <v>五年級</v>
      </c>
      <c r="G2345" s="14" t="str">
        <f>IFERROR(__xludf.DUMMYFUNCTION("""COMPUTED_VALUE"""),"獎狀")</f>
        <v>獎狀</v>
      </c>
      <c r="H2345" s="8"/>
    </row>
    <row r="2346">
      <c r="A2346" s="18"/>
      <c r="B2346" s="14">
        <f>IFERROR(__xludf.DUMMYFUNCTION("""COMPUTED_VALUE"""),533966.0)</f>
        <v>533966</v>
      </c>
      <c r="C2346" s="14" t="str">
        <f>IFERROR(__xludf.DUMMYFUNCTION("""COMPUTED_VALUE"""),"謝學文")</f>
        <v>謝學文</v>
      </c>
      <c r="D2346" s="16" t="str">
        <f>IFERROR(__xludf.DUMMYFUNCTION("""COMPUTED_VALUE"""),"tc.*****0579@mail.edu.tw")</f>
        <v>tc.*****0579@mail.edu.tw</v>
      </c>
      <c r="E2346" s="17" t="str">
        <f>IFERROR(__xludf.DUMMYFUNCTION("""COMPUTED_VALUE"""),"臺中市豐原區瑞穗國民小學")</f>
        <v>臺中市豐原區瑞穗國民小學</v>
      </c>
      <c r="F2346" s="14" t="str">
        <f>IFERROR(__xludf.DUMMYFUNCTION("""COMPUTED_VALUE"""),"六年級")</f>
        <v>六年級</v>
      </c>
      <c r="G2346" s="14" t="str">
        <f>IFERROR(__xludf.DUMMYFUNCTION("""COMPUTED_VALUE"""),"獎狀")</f>
        <v>獎狀</v>
      </c>
      <c r="H2346" s="8"/>
    </row>
    <row r="2347">
      <c r="A2347" s="18"/>
      <c r="B2347" s="14">
        <f>IFERROR(__xludf.DUMMYFUNCTION("""COMPUTED_VALUE"""),579479.0)</f>
        <v>579479</v>
      </c>
      <c r="C2347" s="14" t="str">
        <f>IFERROR(__xludf.DUMMYFUNCTION("""COMPUTED_VALUE"""),"張景惠")</f>
        <v>張景惠</v>
      </c>
      <c r="D2347" s="16" t="str">
        <f>IFERROR(__xludf.DUMMYFUNCTION("""COMPUTED_VALUE"""),"700*****t.tc.edu.tw")</f>
        <v>700*****t.tc.edu.tw</v>
      </c>
      <c r="E2347" s="17" t="str">
        <f>IFERROR(__xludf.DUMMYFUNCTION("""COMPUTED_VALUE"""),"臺中市豐原區瑞穗國民小學")</f>
        <v>臺中市豐原區瑞穗國民小學</v>
      </c>
      <c r="F2347" s="14" t="str">
        <f>IFERROR(__xludf.DUMMYFUNCTION("""COMPUTED_VALUE"""),"六年級")</f>
        <v>六年級</v>
      </c>
      <c r="G2347" s="14" t="str">
        <f>IFERROR(__xludf.DUMMYFUNCTION("""COMPUTED_VALUE"""),"獎狀")</f>
        <v>獎狀</v>
      </c>
      <c r="H2347" s="8"/>
    </row>
    <row r="2348">
      <c r="A2348" s="18"/>
      <c r="B2348" s="14">
        <f>IFERROR(__xludf.DUMMYFUNCTION("""COMPUTED_VALUE"""),882564.0)</f>
        <v>882564</v>
      </c>
      <c r="C2348" s="14" t="str">
        <f>IFERROR(__xludf.DUMMYFUNCTION("""COMPUTED_VALUE"""),"粟璽恩")</f>
        <v>粟璽恩</v>
      </c>
      <c r="D2348" s="16" t="str">
        <f>IFERROR(__xludf.DUMMYFUNCTION("""COMPUTED_VALUE"""),"tc.*****1250@mail.edu.tw")</f>
        <v>tc.*****1250@mail.edu.tw</v>
      </c>
      <c r="E2348" s="17" t="str">
        <f>IFERROR(__xludf.DUMMYFUNCTION("""COMPUTED_VALUE"""),"臺中市豐原區瑞穗國民小學")</f>
        <v>臺中市豐原區瑞穗國民小學</v>
      </c>
      <c r="F2348" s="14" t="str">
        <f>IFERROR(__xludf.DUMMYFUNCTION("""COMPUTED_VALUE"""),"六年級")</f>
        <v>六年級</v>
      </c>
      <c r="G2348" s="14" t="str">
        <f>IFERROR(__xludf.DUMMYFUNCTION("""COMPUTED_VALUE"""),"●小禮物")</f>
        <v>●小禮物</v>
      </c>
      <c r="H2348" s="8"/>
    </row>
    <row r="2349">
      <c r="A2349" s="18"/>
      <c r="B2349" s="14">
        <f>IFERROR(__xludf.DUMMYFUNCTION("""COMPUTED_VALUE"""),878262.0)</f>
        <v>878262</v>
      </c>
      <c r="C2349" s="14" t="str">
        <f>IFERROR(__xludf.DUMMYFUNCTION("""COMPUTED_VALUE"""),"陳詰融")</f>
        <v>陳詰融</v>
      </c>
      <c r="D2349" s="16" t="str">
        <f>IFERROR(__xludf.DUMMYFUNCTION("""COMPUTED_VALUE"""),"830*****t.tc.edu.tw")</f>
        <v>830*****t.tc.edu.tw</v>
      </c>
      <c r="E2349" s="17" t="str">
        <f>IFERROR(__xludf.DUMMYFUNCTION("""COMPUTED_VALUE"""),"臺中市石岡區土牛國民小學")</f>
        <v>臺中市石岡區土牛國民小學</v>
      </c>
      <c r="F2349" s="14" t="str">
        <f>IFERROR(__xludf.DUMMYFUNCTION("""COMPUTED_VALUE"""),"四年級")</f>
        <v>四年級</v>
      </c>
      <c r="G2349" s="14" t="str">
        <f>IFERROR(__xludf.DUMMYFUNCTION("""COMPUTED_VALUE"""),"●小禮物")</f>
        <v>●小禮物</v>
      </c>
      <c r="H2349" s="8"/>
    </row>
    <row r="2350">
      <c r="A2350" s="18"/>
      <c r="B2350" s="14">
        <f>IFERROR(__xludf.DUMMYFUNCTION("""COMPUTED_VALUE"""),766293.0)</f>
        <v>766293</v>
      </c>
      <c r="C2350" s="14" t="str">
        <f>IFERROR(__xludf.DUMMYFUNCTION("""COMPUTED_VALUE"""),"林岑旻")</f>
        <v>林岑旻</v>
      </c>
      <c r="D2350" s="16" t="str">
        <f>IFERROR(__xludf.DUMMYFUNCTION("""COMPUTED_VALUE"""),"603*****t.tc.edu.tw")</f>
        <v>603*****t.tc.edu.tw</v>
      </c>
      <c r="E2350" s="17" t="str">
        <f>IFERROR(__xludf.DUMMYFUNCTION("""COMPUTED_VALUE"""),"臺中市潭子區潭子國民小學")</f>
        <v>臺中市潭子區潭子國民小學</v>
      </c>
      <c r="F2350" s="14" t="str">
        <f>IFERROR(__xludf.DUMMYFUNCTION("""COMPUTED_VALUE"""),"六年級")</f>
        <v>六年級</v>
      </c>
      <c r="G2350" s="14" t="str">
        <f>IFERROR(__xludf.DUMMYFUNCTION("""COMPUTED_VALUE"""),"獎狀")</f>
        <v>獎狀</v>
      </c>
      <c r="H2350" s="8"/>
    </row>
    <row r="2351">
      <c r="A2351" s="18"/>
      <c r="B2351" s="14">
        <f>IFERROR(__xludf.DUMMYFUNCTION("""COMPUTED_VALUE"""),805943.0)</f>
        <v>805943</v>
      </c>
      <c r="C2351" s="14" t="str">
        <f>IFERROR(__xludf.DUMMYFUNCTION("""COMPUTED_VALUE"""),"莊佳蓁")</f>
        <v>莊佳蓁</v>
      </c>
      <c r="D2351" s="16" t="str">
        <f>IFERROR(__xludf.DUMMYFUNCTION("""COMPUTED_VALUE"""),"tzp*****67@mail.edu.tw")</f>
        <v>tzp*****67@mail.edu.tw</v>
      </c>
      <c r="E2351" s="17" t="str">
        <f>IFERROR(__xludf.DUMMYFUNCTION("""COMPUTED_VALUE"""),"臺中市潭子區潭子國民小學")</f>
        <v>臺中市潭子區潭子國民小學</v>
      </c>
      <c r="F2351" s="14" t="str">
        <f>IFERROR(__xludf.DUMMYFUNCTION("""COMPUTED_VALUE"""),"六年級")</f>
        <v>六年級</v>
      </c>
      <c r="G2351" s="14" t="str">
        <f>IFERROR(__xludf.DUMMYFUNCTION("""COMPUTED_VALUE"""),"獎狀")</f>
        <v>獎狀</v>
      </c>
      <c r="H2351" s="8"/>
    </row>
    <row r="2352">
      <c r="A2352" s="18"/>
      <c r="B2352" s="14">
        <f>IFERROR(__xludf.DUMMYFUNCTION("""COMPUTED_VALUE"""),1007864.0)</f>
        <v>1007864</v>
      </c>
      <c r="C2352" s="14" t="str">
        <f>IFERROR(__xludf.DUMMYFUNCTION("""COMPUTED_VALUE"""),"劉宥頡")</f>
        <v>劉宥頡</v>
      </c>
      <c r="D2352" s="16" t="str">
        <f>IFERROR(__xludf.DUMMYFUNCTION("""COMPUTED_VALUE"""),"tc.*****5@mail.edu.tw")</f>
        <v>tc.*****5@mail.edu.tw</v>
      </c>
      <c r="E2352" s="17" t="str">
        <f>IFERROR(__xludf.DUMMYFUNCTION("""COMPUTED_VALUE"""),"臺中市潭子區頭家國民小學")</f>
        <v>臺中市潭子區頭家國民小學</v>
      </c>
      <c r="F2352" s="14" t="str">
        <f>IFERROR(__xludf.DUMMYFUNCTION("""COMPUTED_VALUE"""),"四年級")</f>
        <v>四年級</v>
      </c>
      <c r="G2352" s="14" t="str">
        <f>IFERROR(__xludf.DUMMYFUNCTION("""COMPUTED_VALUE"""),"獎狀")</f>
        <v>獎狀</v>
      </c>
      <c r="H2352" s="8"/>
    </row>
    <row r="2353">
      <c r="A2353" s="18"/>
      <c r="B2353" s="14">
        <f>IFERROR(__xludf.DUMMYFUNCTION("""COMPUTED_VALUE"""),136891.0)</f>
        <v>136891</v>
      </c>
      <c r="C2353" s="14" t="str">
        <f>IFERROR(__xludf.DUMMYFUNCTION("""COMPUTED_VALUE"""),"蘇稟原")</f>
        <v>蘇稟原</v>
      </c>
      <c r="D2353" s="16" t="str">
        <f>IFERROR(__xludf.DUMMYFUNCTION("""COMPUTED_VALUE"""),"t02*****jh.tc.edu.tw")</f>
        <v>t02*****jh.tc.edu.tw</v>
      </c>
      <c r="E2353" s="17" t="str">
        <f>IFERROR(__xludf.DUMMYFUNCTION("""COMPUTED_VALUE"""),"臺中市潭子區頭家國民小學")</f>
        <v>臺中市潭子區頭家國民小學</v>
      </c>
      <c r="F2353" s="14" t="str">
        <f>IFERROR(__xludf.DUMMYFUNCTION("""COMPUTED_VALUE"""),"六年級")</f>
        <v>六年級</v>
      </c>
      <c r="G2353" s="14" t="str">
        <f>IFERROR(__xludf.DUMMYFUNCTION("""COMPUTED_VALUE"""),"獎狀")</f>
        <v>獎狀</v>
      </c>
      <c r="H2353" s="8"/>
    </row>
    <row r="2354">
      <c r="A2354" s="18"/>
      <c r="B2354" s="14">
        <f>IFERROR(__xludf.DUMMYFUNCTION("""COMPUTED_VALUE"""),1091216.0)</f>
        <v>1091216</v>
      </c>
      <c r="C2354" s="14" t="str">
        <f>IFERROR(__xludf.DUMMYFUNCTION("""COMPUTED_VALUE"""),"宋峻安")</f>
        <v>宋峻安</v>
      </c>
      <c r="D2354" s="16" t="str">
        <f>IFERROR(__xludf.DUMMYFUNCTION("""COMPUTED_VALUE"""),"wes*****030104@washington.org.tw")</f>
        <v>wes*****030104@washington.org.tw</v>
      </c>
      <c r="E2354" s="17" t="str">
        <f>IFERROR(__xludf.DUMMYFUNCTION("""COMPUTED_VALUE"""),"臺中市私立華盛頓雙語小學")</f>
        <v>臺中市私立華盛頓雙語小學</v>
      </c>
      <c r="F2354" s="14" t="str">
        <f>IFERROR(__xludf.DUMMYFUNCTION("""COMPUTED_VALUE"""),"三年級")</f>
        <v>三年級</v>
      </c>
      <c r="G2354" s="14" t="str">
        <f>IFERROR(__xludf.DUMMYFUNCTION("""COMPUTED_VALUE"""),"獎狀")</f>
        <v>獎狀</v>
      </c>
      <c r="H2354" s="8"/>
    </row>
    <row r="2355">
      <c r="A2355" s="18"/>
      <c r="B2355" s="14">
        <f>IFERROR(__xludf.DUMMYFUNCTION("""COMPUTED_VALUE"""),532066.0)</f>
        <v>532066</v>
      </c>
      <c r="C2355" s="14" t="str">
        <f>IFERROR(__xludf.DUMMYFUNCTION("""COMPUTED_VALUE"""),"黃煜宸")</f>
        <v>黃煜宸</v>
      </c>
      <c r="D2355" s="16" t="str">
        <f>IFERROR(__xludf.DUMMYFUNCTION("""COMPUTED_VALUE"""),"824*****t.tc.edu.tw")</f>
        <v>824*****t.tc.edu.tw</v>
      </c>
      <c r="E2355" s="17" t="str">
        <f>IFERROR(__xludf.DUMMYFUNCTION("""COMPUTED_VALUE"""),"臺中市大雅區大明國民小學")</f>
        <v>臺中市大雅區大明國民小學</v>
      </c>
      <c r="F2355" s="14" t="str">
        <f>IFERROR(__xludf.DUMMYFUNCTION("""COMPUTED_VALUE"""),"五年級")</f>
        <v>五年級</v>
      </c>
      <c r="G2355" s="14" t="str">
        <f>IFERROR(__xludf.DUMMYFUNCTION("""COMPUTED_VALUE"""),"獎狀")</f>
        <v>獎狀</v>
      </c>
      <c r="H2355" s="8"/>
    </row>
    <row r="2356">
      <c r="A2356" s="18"/>
      <c r="B2356" s="14">
        <f>IFERROR(__xludf.DUMMYFUNCTION("""COMPUTED_VALUE"""),798875.0)</f>
        <v>798875</v>
      </c>
      <c r="C2356" s="14" t="str">
        <f>IFERROR(__xludf.DUMMYFUNCTION("""COMPUTED_VALUE"""),"陳苡甄")</f>
        <v>陳苡甄</v>
      </c>
      <c r="D2356" s="16" t="str">
        <f>IFERROR(__xludf.DUMMYFUNCTION("""COMPUTED_VALUE"""),"708*****t.tc.edu.tw")</f>
        <v>708*****t.tc.edu.tw</v>
      </c>
      <c r="E2356" s="17" t="str">
        <f>IFERROR(__xludf.DUMMYFUNCTION("""COMPUTED_VALUE"""),"臺中市神岡區社口國民小學")</f>
        <v>臺中市神岡區社口國民小學</v>
      </c>
      <c r="F2356" s="14" t="str">
        <f>IFERROR(__xludf.DUMMYFUNCTION("""COMPUTED_VALUE"""),"五年級")</f>
        <v>五年級</v>
      </c>
      <c r="G2356" s="14" t="str">
        <f>IFERROR(__xludf.DUMMYFUNCTION("""COMPUTED_VALUE"""),"●小禮物")</f>
        <v>●小禮物</v>
      </c>
      <c r="H2356" s="8"/>
    </row>
    <row r="2357">
      <c r="A2357" s="18"/>
      <c r="B2357" s="14">
        <f>IFERROR(__xludf.DUMMYFUNCTION("""COMPUTED_VALUE"""),1219444.0)</f>
        <v>1219444</v>
      </c>
      <c r="C2357" s="14" t="str">
        <f>IFERROR(__xludf.DUMMYFUNCTION("""COMPUTED_VALUE"""),"李政穎")</f>
        <v>李政穎</v>
      </c>
      <c r="D2357" s="16" t="str">
        <f>IFERROR(__xludf.DUMMYFUNCTION("""COMPUTED_VALUE"""),"tc.*****0@mail.edu.tw")</f>
        <v>tc.*****0@mail.edu.tw</v>
      </c>
      <c r="E2357" s="17" t="str">
        <f>IFERROR(__xludf.DUMMYFUNCTION("""COMPUTED_VALUE"""),"臺中市神岡區社口國民小學")</f>
        <v>臺中市神岡區社口國民小學</v>
      </c>
      <c r="F2357" s="14" t="str">
        <f>IFERROR(__xludf.DUMMYFUNCTION("""COMPUTED_VALUE"""),"六年級")</f>
        <v>六年級</v>
      </c>
      <c r="G2357" s="14" t="str">
        <f>IFERROR(__xludf.DUMMYFUNCTION("""COMPUTED_VALUE"""),"獎狀")</f>
        <v>獎狀</v>
      </c>
      <c r="H2357" s="8"/>
    </row>
    <row r="2358">
      <c r="A2358" s="18"/>
      <c r="B2358" s="14">
        <f>IFERROR(__xludf.DUMMYFUNCTION("""COMPUTED_VALUE"""),890971.0)</f>
        <v>890971</v>
      </c>
      <c r="C2358" s="14" t="str">
        <f>IFERROR(__xludf.DUMMYFUNCTION("""COMPUTED_VALUE"""),"張庭瑋")</f>
        <v>張庭瑋</v>
      </c>
      <c r="D2358" s="16" t="str">
        <f>IFERROR(__xludf.DUMMYFUNCTION("""COMPUTED_VALUE"""),"tc.*****8@mail.edu.tw")</f>
        <v>tc.*****8@mail.edu.tw</v>
      </c>
      <c r="E2358" s="17" t="str">
        <f>IFERROR(__xludf.DUMMYFUNCTION("""COMPUTED_VALUE"""),"臺中市神岡區社口國民小學")</f>
        <v>臺中市神岡區社口國民小學</v>
      </c>
      <c r="F2358" s="14" t="str">
        <f>IFERROR(__xludf.DUMMYFUNCTION("""COMPUTED_VALUE"""),"六年級")</f>
        <v>六年級</v>
      </c>
      <c r="G2358" s="14" t="str">
        <f>IFERROR(__xludf.DUMMYFUNCTION("""COMPUTED_VALUE"""),"獎狀")</f>
        <v>獎狀</v>
      </c>
      <c r="H2358" s="8"/>
    </row>
    <row r="2359">
      <c r="A2359" s="18"/>
      <c r="B2359" s="14">
        <f>IFERROR(__xludf.DUMMYFUNCTION("""COMPUTED_VALUE"""),999427.0)</f>
        <v>999427</v>
      </c>
      <c r="C2359" s="14" t="str">
        <f>IFERROR(__xludf.DUMMYFUNCTION("""COMPUTED_VALUE"""),"林敬浧")</f>
        <v>林敬浧</v>
      </c>
      <c r="D2359" s="16" t="str">
        <f>IFERROR(__xludf.DUMMYFUNCTION("""COMPUTED_VALUE"""),"tc.*****8@mail.edu.tw")</f>
        <v>tc.*****8@mail.edu.tw</v>
      </c>
      <c r="E2359" s="17" t="str">
        <f>IFERROR(__xludf.DUMMYFUNCTION("""COMPUTED_VALUE"""),"臺中市神岡區社口國民小學")</f>
        <v>臺中市神岡區社口國民小學</v>
      </c>
      <c r="F2359" s="14" t="str">
        <f>IFERROR(__xludf.DUMMYFUNCTION("""COMPUTED_VALUE"""),"六年級")</f>
        <v>六年級</v>
      </c>
      <c r="G2359" s="14" t="str">
        <f>IFERROR(__xludf.DUMMYFUNCTION("""COMPUTED_VALUE"""),"獎狀")</f>
        <v>獎狀</v>
      </c>
      <c r="H2359" s="8"/>
    </row>
    <row r="2360">
      <c r="A2360" s="18"/>
      <c r="B2360" s="14">
        <f>IFERROR(__xludf.DUMMYFUNCTION("""COMPUTED_VALUE"""),497800.0)</f>
        <v>497800</v>
      </c>
      <c r="C2360" s="14" t="str">
        <f>IFERROR(__xludf.DUMMYFUNCTION("""COMPUTED_VALUE"""),"羅意勝")</f>
        <v>羅意勝</v>
      </c>
      <c r="D2360" s="16" t="str">
        <f>IFERROR(__xludf.DUMMYFUNCTION("""COMPUTED_VALUE"""),"eas*****mail.edu.tw")</f>
        <v>eas*****mail.edu.tw</v>
      </c>
      <c r="E2360" s="17" t="str">
        <f>IFERROR(__xludf.DUMMYFUNCTION("""COMPUTED_VALUE"""),"臺中市沙鹿區沙鹿國民小學")</f>
        <v>臺中市沙鹿區沙鹿國民小學</v>
      </c>
      <c r="F2360" s="14" t="str">
        <f>IFERROR(__xludf.DUMMYFUNCTION("""COMPUTED_VALUE"""),"四年級")</f>
        <v>四年級</v>
      </c>
      <c r="G2360" s="14" t="str">
        <f>IFERROR(__xludf.DUMMYFUNCTION("""COMPUTED_VALUE"""),"獎狀")</f>
        <v>獎狀</v>
      </c>
      <c r="H2360" s="8"/>
    </row>
    <row r="2361">
      <c r="A2361" s="18"/>
      <c r="B2361" s="14">
        <f>IFERROR(__xludf.DUMMYFUNCTION("""COMPUTED_VALUE"""),496214.0)</f>
        <v>496214</v>
      </c>
      <c r="C2361" s="14" t="str">
        <f>IFERROR(__xludf.DUMMYFUNCTION("""COMPUTED_VALUE"""),"羅琬棠")</f>
        <v>羅琬棠</v>
      </c>
      <c r="D2361" s="16" t="str">
        <f>IFERROR(__xludf.DUMMYFUNCTION("""COMPUTED_VALUE"""),"can*****mail.edu.tw")</f>
        <v>can*****mail.edu.tw</v>
      </c>
      <c r="E2361" s="17" t="str">
        <f>IFERROR(__xludf.DUMMYFUNCTION("""COMPUTED_VALUE"""),"臺中市沙鹿區沙鹿國民小學")</f>
        <v>臺中市沙鹿區沙鹿國民小學</v>
      </c>
      <c r="F2361" s="14" t="str">
        <f>IFERROR(__xludf.DUMMYFUNCTION("""COMPUTED_VALUE"""),"五年級")</f>
        <v>五年級</v>
      </c>
      <c r="G2361" s="14" t="str">
        <f>IFERROR(__xludf.DUMMYFUNCTION("""COMPUTED_VALUE"""),"獎狀")</f>
        <v>獎狀</v>
      </c>
      <c r="H2361" s="8"/>
    </row>
    <row r="2362">
      <c r="A2362" s="18"/>
      <c r="B2362" s="14">
        <f>IFERROR(__xludf.DUMMYFUNCTION("""COMPUTED_VALUE"""),1022270.0)</f>
        <v>1022270</v>
      </c>
      <c r="C2362" s="14" t="str">
        <f>IFERROR(__xludf.DUMMYFUNCTION("""COMPUTED_VALUE"""),"洪沛妤")</f>
        <v>洪沛妤</v>
      </c>
      <c r="D2362" s="16" t="str">
        <f>IFERROR(__xludf.DUMMYFUNCTION("""COMPUTED_VALUE"""),"606*****t.tc.edu.tw")</f>
        <v>606*****t.tc.edu.tw</v>
      </c>
      <c r="E2362" s="17" t="str">
        <f>IFERROR(__xludf.DUMMYFUNCTION("""COMPUTED_VALUE"""),"臺中市沙鹿區鹿峰國民小學")</f>
        <v>臺中市沙鹿區鹿峰國民小學</v>
      </c>
      <c r="F2362" s="14" t="str">
        <f>IFERROR(__xludf.DUMMYFUNCTION("""COMPUTED_VALUE"""),"六年級")</f>
        <v>六年級</v>
      </c>
      <c r="G2362" s="14" t="str">
        <f>IFERROR(__xludf.DUMMYFUNCTION("""COMPUTED_VALUE"""),"●小禮物")</f>
        <v>●小禮物</v>
      </c>
      <c r="H2362" s="8"/>
    </row>
    <row r="2363">
      <c r="A2363" s="18"/>
      <c r="B2363" s="14">
        <f>IFERROR(__xludf.DUMMYFUNCTION("""COMPUTED_VALUE"""),1025850.0)</f>
        <v>1025850</v>
      </c>
      <c r="C2363" s="14" t="str">
        <f>IFERROR(__xludf.DUMMYFUNCTION("""COMPUTED_VALUE"""),"黃子育")</f>
        <v>黃子育</v>
      </c>
      <c r="D2363" s="16" t="str">
        <f>IFERROR(__xludf.DUMMYFUNCTION("""COMPUTED_VALUE"""),"606*****t.tc.edu.tw")</f>
        <v>606*****t.tc.edu.tw</v>
      </c>
      <c r="E2363" s="17" t="str">
        <f>IFERROR(__xludf.DUMMYFUNCTION("""COMPUTED_VALUE"""),"臺中市沙鹿區鹿峰國民小學")</f>
        <v>臺中市沙鹿區鹿峰國民小學</v>
      </c>
      <c r="F2363" s="14" t="str">
        <f>IFERROR(__xludf.DUMMYFUNCTION("""COMPUTED_VALUE"""),"六年級")</f>
        <v>六年級</v>
      </c>
      <c r="G2363" s="14" t="str">
        <f>IFERROR(__xludf.DUMMYFUNCTION("""COMPUTED_VALUE"""),"●小禮物")</f>
        <v>●小禮物</v>
      </c>
      <c r="H2363" s="8"/>
    </row>
    <row r="2364">
      <c r="A2364" s="18"/>
      <c r="B2364" s="14">
        <f>IFERROR(__xludf.DUMMYFUNCTION("""COMPUTED_VALUE"""),1021573.0)</f>
        <v>1021573</v>
      </c>
      <c r="C2364" s="14" t="str">
        <f>IFERROR(__xludf.DUMMYFUNCTION("""COMPUTED_VALUE"""),"邱暄芸")</f>
        <v>邱暄芸</v>
      </c>
      <c r="D2364" s="16" t="str">
        <f>IFERROR(__xludf.DUMMYFUNCTION("""COMPUTED_VALUE"""),"606*****t.tc.edu.tw")</f>
        <v>606*****t.tc.edu.tw</v>
      </c>
      <c r="E2364" s="17" t="str">
        <f>IFERROR(__xludf.DUMMYFUNCTION("""COMPUTED_VALUE"""),"臺中市沙鹿區鹿峰國民小學")</f>
        <v>臺中市沙鹿區鹿峰國民小學</v>
      </c>
      <c r="F2364" s="14" t="str">
        <f>IFERROR(__xludf.DUMMYFUNCTION("""COMPUTED_VALUE"""),"六年級")</f>
        <v>六年級</v>
      </c>
      <c r="G2364" s="14" t="str">
        <f>IFERROR(__xludf.DUMMYFUNCTION("""COMPUTED_VALUE"""),"★禮券$200")</f>
        <v>★禮券$200</v>
      </c>
      <c r="H2364" s="8"/>
    </row>
    <row r="2365">
      <c r="A2365" s="18"/>
      <c r="B2365" s="14">
        <f>IFERROR(__xludf.DUMMYFUNCTION("""COMPUTED_VALUE"""),1021517.0)</f>
        <v>1021517</v>
      </c>
      <c r="C2365" s="14" t="str">
        <f>IFERROR(__xludf.DUMMYFUNCTION("""COMPUTED_VALUE"""),"王思晴")</f>
        <v>王思晴</v>
      </c>
      <c r="D2365" s="16" t="str">
        <f>IFERROR(__xludf.DUMMYFUNCTION("""COMPUTED_VALUE"""),"606*****t.tc.edu.tw")</f>
        <v>606*****t.tc.edu.tw</v>
      </c>
      <c r="E2365" s="17" t="str">
        <f>IFERROR(__xludf.DUMMYFUNCTION("""COMPUTED_VALUE"""),"臺中市沙鹿區鹿峰國民小學")</f>
        <v>臺中市沙鹿區鹿峰國民小學</v>
      </c>
      <c r="F2365" s="14" t="str">
        <f>IFERROR(__xludf.DUMMYFUNCTION("""COMPUTED_VALUE"""),"六年級")</f>
        <v>六年級</v>
      </c>
      <c r="G2365" s="14" t="str">
        <f>IFERROR(__xludf.DUMMYFUNCTION("""COMPUTED_VALUE"""),"獎狀")</f>
        <v>獎狀</v>
      </c>
      <c r="H2365" s="8"/>
    </row>
    <row r="2366">
      <c r="A2366" s="18"/>
      <c r="B2366" s="14">
        <f>IFERROR(__xludf.DUMMYFUNCTION("""COMPUTED_VALUE"""),1025852.0)</f>
        <v>1025852</v>
      </c>
      <c r="C2366" s="14" t="str">
        <f>IFERROR(__xludf.DUMMYFUNCTION("""COMPUTED_VALUE"""),"吳士朋")</f>
        <v>吳士朋</v>
      </c>
      <c r="D2366" s="16" t="str">
        <f>IFERROR(__xludf.DUMMYFUNCTION("""COMPUTED_VALUE"""),"606*****t.tc.edu.tw")</f>
        <v>606*****t.tc.edu.tw</v>
      </c>
      <c r="E2366" s="17" t="str">
        <f>IFERROR(__xludf.DUMMYFUNCTION("""COMPUTED_VALUE"""),"臺中市沙鹿區鹿峰國民小學")</f>
        <v>臺中市沙鹿區鹿峰國民小學</v>
      </c>
      <c r="F2366" s="14" t="str">
        <f>IFERROR(__xludf.DUMMYFUNCTION("""COMPUTED_VALUE"""),"六年級")</f>
        <v>六年級</v>
      </c>
      <c r="G2366" s="14" t="str">
        <f>IFERROR(__xludf.DUMMYFUNCTION("""COMPUTED_VALUE"""),"獎狀")</f>
        <v>獎狀</v>
      </c>
      <c r="H2366" s="8"/>
    </row>
    <row r="2367">
      <c r="A2367" s="18"/>
      <c r="B2367" s="14">
        <f>IFERROR(__xludf.DUMMYFUNCTION("""COMPUTED_VALUE"""),1021534.0)</f>
        <v>1021534</v>
      </c>
      <c r="C2367" s="14" t="str">
        <f>IFERROR(__xludf.DUMMYFUNCTION("""COMPUTED_VALUE"""),"張紫恩")</f>
        <v>張紫恩</v>
      </c>
      <c r="D2367" s="16" t="str">
        <f>IFERROR(__xludf.DUMMYFUNCTION("""COMPUTED_VALUE"""),"606*****t.tc.edu.tw")</f>
        <v>606*****t.tc.edu.tw</v>
      </c>
      <c r="E2367" s="17" t="str">
        <f>IFERROR(__xludf.DUMMYFUNCTION("""COMPUTED_VALUE"""),"臺中市沙鹿區鹿峰國民小學")</f>
        <v>臺中市沙鹿區鹿峰國民小學</v>
      </c>
      <c r="F2367" s="14" t="str">
        <f>IFERROR(__xludf.DUMMYFUNCTION("""COMPUTED_VALUE"""),"六年級")</f>
        <v>六年級</v>
      </c>
      <c r="G2367" s="14" t="str">
        <f>IFERROR(__xludf.DUMMYFUNCTION("""COMPUTED_VALUE"""),"獎狀")</f>
        <v>獎狀</v>
      </c>
      <c r="H2367" s="8"/>
    </row>
    <row r="2368">
      <c r="A2368" s="18"/>
      <c r="B2368" s="14">
        <f>IFERROR(__xludf.DUMMYFUNCTION("""COMPUTED_VALUE"""),1023991.0)</f>
        <v>1023991</v>
      </c>
      <c r="C2368" s="14" t="str">
        <f>IFERROR(__xludf.DUMMYFUNCTION("""COMPUTED_VALUE"""),"趙子喬")</f>
        <v>趙子喬</v>
      </c>
      <c r="D2368" s="16" t="str">
        <f>IFERROR(__xludf.DUMMYFUNCTION("""COMPUTED_VALUE"""),"606*****t.tc.edu.tw")</f>
        <v>606*****t.tc.edu.tw</v>
      </c>
      <c r="E2368" s="17" t="str">
        <f>IFERROR(__xludf.DUMMYFUNCTION("""COMPUTED_VALUE"""),"臺中市沙鹿區鹿峰國民小學")</f>
        <v>臺中市沙鹿區鹿峰國民小學</v>
      </c>
      <c r="F2368" s="14" t="str">
        <f>IFERROR(__xludf.DUMMYFUNCTION("""COMPUTED_VALUE"""),"六年級")</f>
        <v>六年級</v>
      </c>
      <c r="G2368" s="14" t="str">
        <f>IFERROR(__xludf.DUMMYFUNCTION("""COMPUTED_VALUE"""),"獎狀")</f>
        <v>獎狀</v>
      </c>
      <c r="H2368" s="8"/>
    </row>
    <row r="2369">
      <c r="A2369" s="18"/>
      <c r="B2369" s="14">
        <f>IFERROR(__xludf.DUMMYFUNCTION("""COMPUTED_VALUE"""),1025705.0)</f>
        <v>1025705</v>
      </c>
      <c r="C2369" s="14" t="str">
        <f>IFERROR(__xludf.DUMMYFUNCTION("""COMPUTED_VALUE"""),"蔡昀諭")</f>
        <v>蔡昀諭</v>
      </c>
      <c r="D2369" s="16" t="str">
        <f>IFERROR(__xludf.DUMMYFUNCTION("""COMPUTED_VALUE"""),"606*****t.tc.edu.tw")</f>
        <v>606*****t.tc.edu.tw</v>
      </c>
      <c r="E2369" s="17" t="str">
        <f>IFERROR(__xludf.DUMMYFUNCTION("""COMPUTED_VALUE"""),"臺中市沙鹿區鹿峰國民小學")</f>
        <v>臺中市沙鹿區鹿峰國民小學</v>
      </c>
      <c r="F2369" s="14" t="str">
        <f>IFERROR(__xludf.DUMMYFUNCTION("""COMPUTED_VALUE"""),"六年級")</f>
        <v>六年級</v>
      </c>
      <c r="G2369" s="14" t="str">
        <f>IFERROR(__xludf.DUMMYFUNCTION("""COMPUTED_VALUE"""),"獎狀")</f>
        <v>獎狀</v>
      </c>
      <c r="H2369" s="8"/>
    </row>
    <row r="2370">
      <c r="A2370" s="18"/>
      <c r="B2370" s="14">
        <f>IFERROR(__xludf.DUMMYFUNCTION("""COMPUTED_VALUE"""),744448.0)</f>
        <v>744448</v>
      </c>
      <c r="C2370" s="14" t="str">
        <f>IFERROR(__xludf.DUMMYFUNCTION("""COMPUTED_VALUE"""),"張家銓")</f>
        <v>張家銓</v>
      </c>
      <c r="D2370" s="16" t="str">
        <f>IFERROR(__xludf.DUMMYFUNCTION("""COMPUTED_VALUE"""),"715*****t.tc.edu.tw")</f>
        <v>715*****t.tc.edu.tw</v>
      </c>
      <c r="E2370" s="17" t="str">
        <f>IFERROR(__xludf.DUMMYFUNCTION("""COMPUTED_VALUE"""),"臺中市沙鹿區竹林國民小學")</f>
        <v>臺中市沙鹿區竹林國民小學</v>
      </c>
      <c r="F2370" s="14" t="str">
        <f>IFERROR(__xludf.DUMMYFUNCTION("""COMPUTED_VALUE"""),"五年級")</f>
        <v>五年級</v>
      </c>
      <c r="G2370" s="14" t="str">
        <f>IFERROR(__xludf.DUMMYFUNCTION("""COMPUTED_VALUE"""),"獎狀")</f>
        <v>獎狀</v>
      </c>
      <c r="H2370" s="8"/>
    </row>
    <row r="2371">
      <c r="A2371" s="18"/>
      <c r="B2371" s="14">
        <f>IFERROR(__xludf.DUMMYFUNCTION("""COMPUTED_VALUE"""),766768.0)</f>
        <v>766768</v>
      </c>
      <c r="C2371" s="14" t="str">
        <f>IFERROR(__xludf.DUMMYFUNCTION("""COMPUTED_VALUE"""),"張宸瑜")</f>
        <v>張宸瑜</v>
      </c>
      <c r="D2371" s="16" t="str">
        <f>IFERROR(__xludf.DUMMYFUNCTION("""COMPUTED_VALUE"""),"606*****t.tc.edu.tw")</f>
        <v>606*****t.tc.edu.tw</v>
      </c>
      <c r="E2371" s="17" t="str">
        <f>IFERROR(__xludf.DUMMYFUNCTION("""COMPUTED_VALUE"""),"臺中市沙鹿區竹林國民小學")</f>
        <v>臺中市沙鹿區竹林國民小學</v>
      </c>
      <c r="F2371" s="14" t="str">
        <f>IFERROR(__xludf.DUMMYFUNCTION("""COMPUTED_VALUE"""),"六年級")</f>
        <v>六年級</v>
      </c>
      <c r="G2371" s="14" t="str">
        <f>IFERROR(__xludf.DUMMYFUNCTION("""COMPUTED_VALUE"""),"獎狀")</f>
        <v>獎狀</v>
      </c>
      <c r="H2371" s="8"/>
    </row>
    <row r="2372">
      <c r="A2372" s="18"/>
      <c r="B2372" s="14">
        <f>IFERROR(__xludf.DUMMYFUNCTION("""COMPUTED_VALUE"""),1119865.0)</f>
        <v>1119865</v>
      </c>
      <c r="C2372" s="14" t="str">
        <f>IFERROR(__xludf.DUMMYFUNCTION("""COMPUTED_VALUE"""),"黃丞汝")</f>
        <v>黃丞汝</v>
      </c>
      <c r="D2372" s="16" t="str">
        <f>IFERROR(__xludf.DUMMYFUNCTION("""COMPUTED_VALUE"""),"829*****t.tc.edu.tw")</f>
        <v>829*****t.tc.edu.tw</v>
      </c>
      <c r="E2372" s="17" t="str">
        <f>IFERROR(__xludf.DUMMYFUNCTION("""COMPUTED_VALUE"""),"臺中市龍井區龍山國民小學")</f>
        <v>臺中市龍井區龍山國民小學</v>
      </c>
      <c r="F2372" s="14" t="str">
        <f>IFERROR(__xludf.DUMMYFUNCTION("""COMPUTED_VALUE"""),"四年級")</f>
        <v>四年級</v>
      </c>
      <c r="G2372" s="14" t="str">
        <f>IFERROR(__xludf.DUMMYFUNCTION("""COMPUTED_VALUE"""),"●小禮物")</f>
        <v>●小禮物</v>
      </c>
      <c r="H2372" s="8"/>
    </row>
    <row r="2373">
      <c r="A2373" s="18"/>
      <c r="B2373" s="14">
        <f>IFERROR(__xludf.DUMMYFUNCTION("""COMPUTED_VALUE"""),1050991.0)</f>
        <v>1050991</v>
      </c>
      <c r="C2373" s="14" t="str">
        <f>IFERROR(__xludf.DUMMYFUNCTION("""COMPUTED_VALUE"""),"陳羿涵")</f>
        <v>陳羿涵</v>
      </c>
      <c r="D2373" s="16" t="str">
        <f>IFERROR(__xludf.DUMMYFUNCTION("""COMPUTED_VALUE"""),"827*****t.tc.edu.tw")</f>
        <v>827*****t.tc.edu.tw</v>
      </c>
      <c r="E2373" s="17" t="str">
        <f>IFERROR(__xludf.DUMMYFUNCTION("""COMPUTED_VALUE"""),"臺中市梧棲區大德國民小學")</f>
        <v>臺中市梧棲區大德國民小學</v>
      </c>
      <c r="F2373" s="14" t="str">
        <f>IFERROR(__xludf.DUMMYFUNCTION("""COMPUTED_VALUE"""),"四年級")</f>
        <v>四年級</v>
      </c>
      <c r="G2373" s="14" t="str">
        <f>IFERROR(__xludf.DUMMYFUNCTION("""COMPUTED_VALUE"""),"●小禮物")</f>
        <v>●小禮物</v>
      </c>
      <c r="H2373" s="8"/>
    </row>
    <row r="2374">
      <c r="A2374" s="18"/>
      <c r="B2374" s="14">
        <f>IFERROR(__xludf.DUMMYFUNCTION("""COMPUTED_VALUE"""),1183449.0)</f>
        <v>1183449</v>
      </c>
      <c r="C2374" s="14" t="str">
        <f>IFERROR(__xludf.DUMMYFUNCTION("""COMPUTED_VALUE"""),"陳抒妍")</f>
        <v>陳抒妍</v>
      </c>
      <c r="D2374" s="16" t="str">
        <f>IFERROR(__xludf.DUMMYFUNCTION("""COMPUTED_VALUE"""),"ail*****03@mail.edu.tw")</f>
        <v>ail*****03@mail.edu.tw</v>
      </c>
      <c r="E2374" s="17" t="str">
        <f>IFERROR(__xludf.DUMMYFUNCTION("""COMPUTED_VALUE"""),"臺中市梧棲區梧棲國民小學")</f>
        <v>臺中市梧棲區梧棲國民小學</v>
      </c>
      <c r="F2374" s="14" t="str">
        <f>IFERROR(__xludf.DUMMYFUNCTION("""COMPUTED_VALUE"""),"三年級")</f>
        <v>三年級</v>
      </c>
      <c r="G2374" s="14" t="str">
        <f>IFERROR(__xludf.DUMMYFUNCTION("""COMPUTED_VALUE"""),"獎狀")</f>
        <v>獎狀</v>
      </c>
      <c r="H2374" s="8"/>
    </row>
    <row r="2375">
      <c r="A2375" s="18"/>
      <c r="B2375" s="14">
        <f>IFERROR(__xludf.DUMMYFUNCTION("""COMPUTED_VALUE"""),1119982.0)</f>
        <v>1119982</v>
      </c>
      <c r="C2375" s="14" t="str">
        <f>IFERROR(__xludf.DUMMYFUNCTION("""COMPUTED_VALUE"""),"紀姿岑")</f>
        <v>紀姿岑</v>
      </c>
      <c r="D2375" s="16" t="str">
        <f>IFERROR(__xludf.DUMMYFUNCTION("""COMPUTED_VALUE"""),"tc.*****0@mail.edu.tw")</f>
        <v>tc.*****0@mail.edu.tw</v>
      </c>
      <c r="E2375" s="17" t="str">
        <f>IFERROR(__xludf.DUMMYFUNCTION("""COMPUTED_VALUE"""),"臺中市梧棲區梧棲國民小學")</f>
        <v>臺中市梧棲區梧棲國民小學</v>
      </c>
      <c r="F2375" s="14" t="str">
        <f>IFERROR(__xludf.DUMMYFUNCTION("""COMPUTED_VALUE"""),"四年級")</f>
        <v>四年級</v>
      </c>
      <c r="G2375" s="14" t="str">
        <f>IFERROR(__xludf.DUMMYFUNCTION("""COMPUTED_VALUE"""),"●小禮物")</f>
        <v>●小禮物</v>
      </c>
      <c r="H2375" s="8"/>
    </row>
    <row r="2376">
      <c r="A2376" s="18"/>
      <c r="B2376" s="14">
        <f>IFERROR(__xludf.DUMMYFUNCTION("""COMPUTED_VALUE"""),716249.0)</f>
        <v>716249</v>
      </c>
      <c r="C2376" s="14" t="str">
        <f>IFERROR(__xludf.DUMMYFUNCTION("""COMPUTED_VALUE"""),"紀姿妤")</f>
        <v>紀姿妤</v>
      </c>
      <c r="D2376" s="16" t="str">
        <f>IFERROR(__xludf.DUMMYFUNCTION("""COMPUTED_VALUE"""),"tc.*****7@mail.edu.tw")</f>
        <v>tc.*****7@mail.edu.tw</v>
      </c>
      <c r="E2376" s="17" t="str">
        <f>IFERROR(__xludf.DUMMYFUNCTION("""COMPUTED_VALUE"""),"臺中市梧棲區梧棲國民小學")</f>
        <v>臺中市梧棲區梧棲國民小學</v>
      </c>
      <c r="F2376" s="14" t="str">
        <f>IFERROR(__xludf.DUMMYFUNCTION("""COMPUTED_VALUE"""),"五年級")</f>
        <v>五年級</v>
      </c>
      <c r="G2376" s="14" t="str">
        <f>IFERROR(__xludf.DUMMYFUNCTION("""COMPUTED_VALUE"""),"●小禮物")</f>
        <v>●小禮物</v>
      </c>
      <c r="H2376" s="8"/>
    </row>
    <row r="2377">
      <c r="A2377" s="18"/>
      <c r="B2377" s="14">
        <f>IFERROR(__xludf.DUMMYFUNCTION("""COMPUTED_VALUE"""),715247.0)</f>
        <v>715247</v>
      </c>
      <c r="C2377" s="14" t="str">
        <f>IFERROR(__xludf.DUMMYFUNCTION("""COMPUTED_VALUE"""),"劉彥彤")</f>
        <v>劉彥彤</v>
      </c>
      <c r="D2377" s="16" t="str">
        <f>IFERROR(__xludf.DUMMYFUNCTION("""COMPUTED_VALUE"""),"tc.*****3@mail.edu.tw")</f>
        <v>tc.*****3@mail.edu.tw</v>
      </c>
      <c r="E2377" s="17" t="str">
        <f>IFERROR(__xludf.DUMMYFUNCTION("""COMPUTED_VALUE"""),"臺中市梧棲區梧棲國民小學")</f>
        <v>臺中市梧棲區梧棲國民小學</v>
      </c>
      <c r="F2377" s="14" t="str">
        <f>IFERROR(__xludf.DUMMYFUNCTION("""COMPUTED_VALUE"""),"五年級")</f>
        <v>五年級</v>
      </c>
      <c r="G2377" s="14" t="str">
        <f>IFERROR(__xludf.DUMMYFUNCTION("""COMPUTED_VALUE"""),"●小禮物")</f>
        <v>●小禮物</v>
      </c>
      <c r="H2377" s="8"/>
    </row>
    <row r="2378">
      <c r="A2378" s="18"/>
      <c r="B2378" s="14">
        <f>IFERROR(__xludf.DUMMYFUNCTION("""COMPUTED_VALUE"""),450941.0)</f>
        <v>450941</v>
      </c>
      <c r="C2378" s="14" t="str">
        <f>IFERROR(__xludf.DUMMYFUNCTION("""COMPUTED_VALUE"""),"林亭萱")</f>
        <v>林亭萱</v>
      </c>
      <c r="D2378" s="16" t="str">
        <f>IFERROR(__xludf.DUMMYFUNCTION("""COMPUTED_VALUE"""),"tc.*****3@mail.edu.tw")</f>
        <v>tc.*****3@mail.edu.tw</v>
      </c>
      <c r="E2378" s="17" t="str">
        <f>IFERROR(__xludf.DUMMYFUNCTION("""COMPUTED_VALUE"""),"臺中市梧棲區梧棲國民小學")</f>
        <v>臺中市梧棲區梧棲國民小學</v>
      </c>
      <c r="F2378" s="14" t="str">
        <f>IFERROR(__xludf.DUMMYFUNCTION("""COMPUTED_VALUE"""),"五年級")</f>
        <v>五年級</v>
      </c>
      <c r="G2378" s="14" t="str">
        <f>IFERROR(__xludf.DUMMYFUNCTION("""COMPUTED_VALUE"""),"●小禮物")</f>
        <v>●小禮物</v>
      </c>
      <c r="H2378" s="8"/>
    </row>
    <row r="2379">
      <c r="A2379" s="18"/>
      <c r="B2379" s="14">
        <f>IFERROR(__xludf.DUMMYFUNCTION("""COMPUTED_VALUE"""),1197531.0)</f>
        <v>1197531</v>
      </c>
      <c r="C2379" s="14" t="str">
        <f>IFERROR(__xludf.DUMMYFUNCTION("""COMPUTED_VALUE"""),"王靖臻")</f>
        <v>王靖臻</v>
      </c>
      <c r="D2379" s="16" t="str">
        <f>IFERROR(__xludf.DUMMYFUNCTION("""COMPUTED_VALUE"""),"827*****t.tc.edu.tw")</f>
        <v>827*****t.tc.edu.tw</v>
      </c>
      <c r="E2379" s="17" t="str">
        <f>IFERROR(__xludf.DUMMYFUNCTION("""COMPUTED_VALUE"""),"臺中市梧棲區中正國民小學")</f>
        <v>臺中市梧棲區中正國民小學</v>
      </c>
      <c r="F2379" s="14" t="str">
        <f>IFERROR(__xludf.DUMMYFUNCTION("""COMPUTED_VALUE"""),"四年級")</f>
        <v>四年級</v>
      </c>
      <c r="G2379" s="14" t="str">
        <f>IFERROR(__xludf.DUMMYFUNCTION("""COMPUTED_VALUE"""),"●小禮物")</f>
        <v>●小禮物</v>
      </c>
      <c r="H2379" s="8"/>
    </row>
    <row r="2380">
      <c r="A2380" s="18"/>
      <c r="B2380" s="14">
        <f>IFERROR(__xludf.DUMMYFUNCTION("""COMPUTED_VALUE"""),796720.0)</f>
        <v>796720</v>
      </c>
      <c r="C2380" s="14" t="str">
        <f>IFERROR(__xludf.DUMMYFUNCTION("""COMPUTED_VALUE"""),"黃宥中")</f>
        <v>黃宥中</v>
      </c>
      <c r="D2380" s="16" t="str">
        <f>IFERROR(__xludf.DUMMYFUNCTION("""COMPUTED_VALUE"""),"tc.*****9@mail.edu.tw")</f>
        <v>tc.*****9@mail.edu.tw</v>
      </c>
      <c r="E2380" s="17" t="str">
        <f>IFERROR(__xludf.DUMMYFUNCTION("""COMPUTED_VALUE"""),"臺中市梧棲區中正國民小學")</f>
        <v>臺中市梧棲區中正國民小學</v>
      </c>
      <c r="F2380" s="14" t="str">
        <f>IFERROR(__xludf.DUMMYFUNCTION("""COMPUTED_VALUE"""),"四年級")</f>
        <v>四年級</v>
      </c>
      <c r="G2380" s="14" t="str">
        <f>IFERROR(__xludf.DUMMYFUNCTION("""COMPUTED_VALUE"""),"獎狀")</f>
        <v>獎狀</v>
      </c>
      <c r="H2380" s="8"/>
    </row>
    <row r="2381">
      <c r="A2381" s="18"/>
      <c r="B2381" s="14">
        <f>IFERROR(__xludf.DUMMYFUNCTION("""COMPUTED_VALUE"""),796735.0)</f>
        <v>796735</v>
      </c>
      <c r="C2381" s="14" t="str">
        <f>IFERROR(__xludf.DUMMYFUNCTION("""COMPUTED_VALUE"""),"蔡忻窈")</f>
        <v>蔡忻窈</v>
      </c>
      <c r="D2381" s="16" t="str">
        <f>IFERROR(__xludf.DUMMYFUNCTION("""COMPUTED_VALUE"""),"tc.*****4@mail.edu.tw")</f>
        <v>tc.*****4@mail.edu.tw</v>
      </c>
      <c r="E2381" s="17" t="str">
        <f>IFERROR(__xludf.DUMMYFUNCTION("""COMPUTED_VALUE"""),"臺中市梧棲區中正國民小學")</f>
        <v>臺中市梧棲區中正國民小學</v>
      </c>
      <c r="F2381" s="14" t="str">
        <f>IFERROR(__xludf.DUMMYFUNCTION("""COMPUTED_VALUE"""),"四年級")</f>
        <v>四年級</v>
      </c>
      <c r="G2381" s="14" t="str">
        <f>IFERROR(__xludf.DUMMYFUNCTION("""COMPUTED_VALUE"""),"獎狀")</f>
        <v>獎狀</v>
      </c>
      <c r="H2381" s="8"/>
    </row>
    <row r="2382">
      <c r="A2382" s="18"/>
      <c r="B2382" s="14">
        <f>IFERROR(__xludf.DUMMYFUNCTION("""COMPUTED_VALUE"""),801285.0)</f>
        <v>801285</v>
      </c>
      <c r="C2382" s="14" t="str">
        <f>IFERROR(__xludf.DUMMYFUNCTION("""COMPUTED_VALUE"""),"林宣辰")</f>
        <v>林宣辰</v>
      </c>
      <c r="D2382" s="16" t="str">
        <f>IFERROR(__xludf.DUMMYFUNCTION("""COMPUTED_VALUE"""),"tc.*****1@mail.edu.tw")</f>
        <v>tc.*****1@mail.edu.tw</v>
      </c>
      <c r="E2382" s="17" t="str">
        <f>IFERROR(__xludf.DUMMYFUNCTION("""COMPUTED_VALUE"""),"臺中市梧棲區中正國民小學")</f>
        <v>臺中市梧棲區中正國民小學</v>
      </c>
      <c r="F2382" s="14" t="str">
        <f>IFERROR(__xludf.DUMMYFUNCTION("""COMPUTED_VALUE"""),"四年級")</f>
        <v>四年級</v>
      </c>
      <c r="G2382" s="14" t="str">
        <f>IFERROR(__xludf.DUMMYFUNCTION("""COMPUTED_VALUE"""),"●小禮物")</f>
        <v>●小禮物</v>
      </c>
      <c r="H2382" s="8"/>
    </row>
    <row r="2383">
      <c r="A2383" s="18"/>
      <c r="B2383" s="14">
        <f>IFERROR(__xludf.DUMMYFUNCTION("""COMPUTED_VALUE"""),796664.0)</f>
        <v>796664</v>
      </c>
      <c r="C2383" s="14" t="str">
        <f>IFERROR(__xludf.DUMMYFUNCTION("""COMPUTED_VALUE"""),"紀宇哲")</f>
        <v>紀宇哲</v>
      </c>
      <c r="D2383" s="16" t="str">
        <f>IFERROR(__xludf.DUMMYFUNCTION("""COMPUTED_VALUE"""),"tc.*****5@mail.edu.tw")</f>
        <v>tc.*****5@mail.edu.tw</v>
      </c>
      <c r="E2383" s="17" t="str">
        <f>IFERROR(__xludf.DUMMYFUNCTION("""COMPUTED_VALUE"""),"臺中市梧棲區中正國民小學")</f>
        <v>臺中市梧棲區中正國民小學</v>
      </c>
      <c r="F2383" s="14" t="str">
        <f>IFERROR(__xludf.DUMMYFUNCTION("""COMPUTED_VALUE"""),"四年級")</f>
        <v>四年級</v>
      </c>
      <c r="G2383" s="14" t="str">
        <f>IFERROR(__xludf.DUMMYFUNCTION("""COMPUTED_VALUE"""),"獎狀")</f>
        <v>獎狀</v>
      </c>
      <c r="H2383" s="8"/>
    </row>
    <row r="2384">
      <c r="A2384" s="18"/>
      <c r="B2384" s="14">
        <f>IFERROR(__xludf.DUMMYFUNCTION("""COMPUTED_VALUE"""),801393.0)</f>
        <v>801393</v>
      </c>
      <c r="C2384" s="14" t="str">
        <f>IFERROR(__xludf.DUMMYFUNCTION("""COMPUTED_VALUE"""),"徐苡玹")</f>
        <v>徐苡玹</v>
      </c>
      <c r="D2384" s="16" t="str">
        <f>IFERROR(__xludf.DUMMYFUNCTION("""COMPUTED_VALUE"""),"tc.*****9@mail.edu.tw")</f>
        <v>tc.*****9@mail.edu.tw</v>
      </c>
      <c r="E2384" s="17" t="str">
        <f>IFERROR(__xludf.DUMMYFUNCTION("""COMPUTED_VALUE"""),"臺中市梧棲區中正國民小學")</f>
        <v>臺中市梧棲區中正國民小學</v>
      </c>
      <c r="F2384" s="14" t="str">
        <f>IFERROR(__xludf.DUMMYFUNCTION("""COMPUTED_VALUE"""),"四年級")</f>
        <v>四年級</v>
      </c>
      <c r="G2384" s="14" t="str">
        <f>IFERROR(__xludf.DUMMYFUNCTION("""COMPUTED_VALUE"""),"獎狀")</f>
        <v>獎狀</v>
      </c>
      <c r="H2384" s="8"/>
    </row>
    <row r="2385">
      <c r="A2385" s="18"/>
      <c r="B2385" s="14">
        <f>IFERROR(__xludf.DUMMYFUNCTION("""COMPUTED_VALUE"""),801332.0)</f>
        <v>801332</v>
      </c>
      <c r="C2385" s="14" t="str">
        <f>IFERROR(__xludf.DUMMYFUNCTION("""COMPUTED_VALUE"""),"林鈺惠")</f>
        <v>林鈺惠</v>
      </c>
      <c r="D2385" s="16" t="str">
        <f>IFERROR(__xludf.DUMMYFUNCTION("""COMPUTED_VALUE"""),"tc.*****1@mail.edu.tw")</f>
        <v>tc.*****1@mail.edu.tw</v>
      </c>
      <c r="E2385" s="17" t="str">
        <f>IFERROR(__xludf.DUMMYFUNCTION("""COMPUTED_VALUE"""),"臺中市梧棲區中正國民小學")</f>
        <v>臺中市梧棲區中正國民小學</v>
      </c>
      <c r="F2385" s="14" t="str">
        <f>IFERROR(__xludf.DUMMYFUNCTION("""COMPUTED_VALUE"""),"四年級")</f>
        <v>四年級</v>
      </c>
      <c r="G2385" s="14" t="str">
        <f>IFERROR(__xludf.DUMMYFUNCTION("""COMPUTED_VALUE"""),"●小禮物")</f>
        <v>●小禮物</v>
      </c>
      <c r="H2385" s="8"/>
    </row>
    <row r="2386">
      <c r="A2386" s="18"/>
      <c r="B2386" s="14">
        <f>IFERROR(__xludf.DUMMYFUNCTION("""COMPUTED_VALUE"""),796739.0)</f>
        <v>796739</v>
      </c>
      <c r="C2386" s="14" t="str">
        <f>IFERROR(__xludf.DUMMYFUNCTION("""COMPUTED_VALUE"""),"卓琰翰")</f>
        <v>卓琰翰</v>
      </c>
      <c r="D2386" s="16" t="str">
        <f>IFERROR(__xludf.DUMMYFUNCTION("""COMPUTED_VALUE"""),"tc.*****8@mail.edu.tw")</f>
        <v>tc.*****8@mail.edu.tw</v>
      </c>
      <c r="E2386" s="17" t="str">
        <f>IFERROR(__xludf.DUMMYFUNCTION("""COMPUTED_VALUE"""),"臺中市梧棲區中正國民小學")</f>
        <v>臺中市梧棲區中正國民小學</v>
      </c>
      <c r="F2386" s="14" t="str">
        <f>IFERROR(__xludf.DUMMYFUNCTION("""COMPUTED_VALUE"""),"四年級")</f>
        <v>四年級</v>
      </c>
      <c r="G2386" s="14" t="str">
        <f>IFERROR(__xludf.DUMMYFUNCTION("""COMPUTED_VALUE"""),"●小禮物")</f>
        <v>●小禮物</v>
      </c>
      <c r="H2386" s="8"/>
    </row>
    <row r="2387">
      <c r="A2387" s="18"/>
      <c r="B2387" s="14">
        <f>IFERROR(__xludf.DUMMYFUNCTION("""COMPUTED_VALUE"""),994060.0)</f>
        <v>994060</v>
      </c>
      <c r="C2387" s="14" t="str">
        <f>IFERROR(__xludf.DUMMYFUNCTION("""COMPUTED_VALUE"""),"陳明緒")</f>
        <v>陳明緒</v>
      </c>
      <c r="D2387" s="16" t="str">
        <f>IFERROR(__xludf.DUMMYFUNCTION("""COMPUTED_VALUE"""),"827*****t.tc.edu.tw")</f>
        <v>827*****t.tc.edu.tw</v>
      </c>
      <c r="E2387" s="17" t="str">
        <f>IFERROR(__xludf.DUMMYFUNCTION("""COMPUTED_VALUE"""),"臺中市梧棲區中正國民小學")</f>
        <v>臺中市梧棲區中正國民小學</v>
      </c>
      <c r="F2387" s="14" t="str">
        <f>IFERROR(__xludf.DUMMYFUNCTION("""COMPUTED_VALUE"""),"四年級")</f>
        <v>四年級</v>
      </c>
      <c r="G2387" s="14" t="str">
        <f>IFERROR(__xludf.DUMMYFUNCTION("""COMPUTED_VALUE"""),"●小禮物")</f>
        <v>●小禮物</v>
      </c>
      <c r="H2387" s="8"/>
    </row>
    <row r="2388">
      <c r="A2388" s="18"/>
      <c r="B2388" s="14">
        <f>IFERROR(__xludf.DUMMYFUNCTION("""COMPUTED_VALUE"""),806981.0)</f>
        <v>806981</v>
      </c>
      <c r="C2388" s="14" t="str">
        <f>IFERROR(__xludf.DUMMYFUNCTION("""COMPUTED_VALUE"""),"林呈鋼")</f>
        <v>林呈鋼</v>
      </c>
      <c r="D2388" s="16" t="str">
        <f>IFERROR(__xludf.DUMMYFUNCTION("""COMPUTED_VALUE"""),"tc.*****7@mail.edu.tw")</f>
        <v>tc.*****7@mail.edu.tw</v>
      </c>
      <c r="E2388" s="17" t="str">
        <f>IFERROR(__xludf.DUMMYFUNCTION("""COMPUTED_VALUE"""),"臺中市梧棲區中正國民小學")</f>
        <v>臺中市梧棲區中正國民小學</v>
      </c>
      <c r="F2388" s="14" t="str">
        <f>IFERROR(__xludf.DUMMYFUNCTION("""COMPUTED_VALUE"""),"四年級")</f>
        <v>四年級</v>
      </c>
      <c r="G2388" s="14" t="str">
        <f>IFERROR(__xludf.DUMMYFUNCTION("""COMPUTED_VALUE"""),"獎狀")</f>
        <v>獎狀</v>
      </c>
      <c r="H2388" s="8"/>
    </row>
    <row r="2389">
      <c r="A2389" s="18"/>
      <c r="B2389" s="14">
        <f>IFERROR(__xludf.DUMMYFUNCTION("""COMPUTED_VALUE"""),801350.0)</f>
        <v>801350</v>
      </c>
      <c r="C2389" s="14" t="str">
        <f>IFERROR(__xludf.DUMMYFUNCTION("""COMPUTED_VALUE"""),"蔡翔")</f>
        <v>蔡翔</v>
      </c>
      <c r="D2389" s="16" t="str">
        <f>IFERROR(__xludf.DUMMYFUNCTION("""COMPUTED_VALUE"""),"tc.*****0@mail.edu.tw")</f>
        <v>tc.*****0@mail.edu.tw</v>
      </c>
      <c r="E2389" s="17" t="str">
        <f>IFERROR(__xludf.DUMMYFUNCTION("""COMPUTED_VALUE"""),"臺中市梧棲區中正國民小學")</f>
        <v>臺中市梧棲區中正國民小學</v>
      </c>
      <c r="F2389" s="14" t="str">
        <f>IFERROR(__xludf.DUMMYFUNCTION("""COMPUTED_VALUE"""),"四年級")</f>
        <v>四年級</v>
      </c>
      <c r="G2389" s="14" t="str">
        <f>IFERROR(__xludf.DUMMYFUNCTION("""COMPUTED_VALUE"""),"獎狀")</f>
        <v>獎狀</v>
      </c>
      <c r="H2389" s="8"/>
    </row>
    <row r="2390">
      <c r="A2390" s="18"/>
      <c r="B2390" s="14">
        <f>IFERROR(__xludf.DUMMYFUNCTION("""COMPUTED_VALUE"""),798192.0)</f>
        <v>798192</v>
      </c>
      <c r="C2390" s="14" t="str">
        <f>IFERROR(__xludf.DUMMYFUNCTION("""COMPUTED_VALUE"""),"林珈妃")</f>
        <v>林珈妃</v>
      </c>
      <c r="D2390" s="16" t="str">
        <f>IFERROR(__xludf.DUMMYFUNCTION("""COMPUTED_VALUE"""),"tc.*****5@mail.edu.tw")</f>
        <v>tc.*****5@mail.edu.tw</v>
      </c>
      <c r="E2390" s="17" t="str">
        <f>IFERROR(__xludf.DUMMYFUNCTION("""COMPUTED_VALUE"""),"臺中市梧棲區中正國民小學")</f>
        <v>臺中市梧棲區中正國民小學</v>
      </c>
      <c r="F2390" s="14" t="str">
        <f>IFERROR(__xludf.DUMMYFUNCTION("""COMPUTED_VALUE"""),"四年級")</f>
        <v>四年級</v>
      </c>
      <c r="G2390" s="14" t="str">
        <f>IFERROR(__xludf.DUMMYFUNCTION("""COMPUTED_VALUE"""),"獎狀")</f>
        <v>獎狀</v>
      </c>
      <c r="H2390" s="8"/>
    </row>
    <row r="2391">
      <c r="A2391" s="18"/>
      <c r="B2391" s="14">
        <f>IFERROR(__xludf.DUMMYFUNCTION("""COMPUTED_VALUE"""),801336.0)</f>
        <v>801336</v>
      </c>
      <c r="C2391" s="14" t="str">
        <f>IFERROR(__xludf.DUMMYFUNCTION("""COMPUTED_VALUE"""),"羅品甯")</f>
        <v>羅品甯</v>
      </c>
      <c r="D2391" s="16" t="str">
        <f>IFERROR(__xludf.DUMMYFUNCTION("""COMPUTED_VALUE"""),"tc.*****2@mail.edu.tw")</f>
        <v>tc.*****2@mail.edu.tw</v>
      </c>
      <c r="E2391" s="17" t="str">
        <f>IFERROR(__xludf.DUMMYFUNCTION("""COMPUTED_VALUE"""),"臺中市梧棲區中正國民小學")</f>
        <v>臺中市梧棲區中正國民小學</v>
      </c>
      <c r="F2391" s="14" t="str">
        <f>IFERROR(__xludf.DUMMYFUNCTION("""COMPUTED_VALUE"""),"四年級")</f>
        <v>四年級</v>
      </c>
      <c r="G2391" s="14" t="str">
        <f>IFERROR(__xludf.DUMMYFUNCTION("""COMPUTED_VALUE"""),"獎狀")</f>
        <v>獎狀</v>
      </c>
      <c r="H2391" s="8"/>
    </row>
    <row r="2392">
      <c r="A2392" s="18"/>
      <c r="B2392" s="14">
        <f>IFERROR(__xludf.DUMMYFUNCTION("""COMPUTED_VALUE"""),797960.0)</f>
        <v>797960</v>
      </c>
      <c r="C2392" s="14" t="str">
        <f>IFERROR(__xludf.DUMMYFUNCTION("""COMPUTED_VALUE"""),"陳羿丞")</f>
        <v>陳羿丞</v>
      </c>
      <c r="D2392" s="16" t="str">
        <f>IFERROR(__xludf.DUMMYFUNCTION("""COMPUTED_VALUE"""),"tc.*****1@mail.edu.tw")</f>
        <v>tc.*****1@mail.edu.tw</v>
      </c>
      <c r="E2392" s="17" t="str">
        <f>IFERROR(__xludf.DUMMYFUNCTION("""COMPUTED_VALUE"""),"臺中市梧棲區中正國民小學")</f>
        <v>臺中市梧棲區中正國民小學</v>
      </c>
      <c r="F2392" s="14" t="str">
        <f>IFERROR(__xludf.DUMMYFUNCTION("""COMPUTED_VALUE"""),"四年級")</f>
        <v>四年級</v>
      </c>
      <c r="G2392" s="14" t="str">
        <f>IFERROR(__xludf.DUMMYFUNCTION("""COMPUTED_VALUE"""),"獎狀")</f>
        <v>獎狀</v>
      </c>
      <c r="H2392" s="8"/>
    </row>
    <row r="2393">
      <c r="A2393" s="18"/>
      <c r="B2393" s="14">
        <f>IFERROR(__xludf.DUMMYFUNCTION("""COMPUTED_VALUE"""),302572.0)</f>
        <v>302572</v>
      </c>
      <c r="C2393" s="14" t="str">
        <f>IFERROR(__xludf.DUMMYFUNCTION("""COMPUTED_VALUE"""),"陳柏任")</f>
        <v>陳柏任</v>
      </c>
      <c r="D2393" s="16" t="str">
        <f>IFERROR(__xludf.DUMMYFUNCTION("""COMPUTED_VALUE"""),"egg*****70@mail.edu.tw")</f>
        <v>egg*****70@mail.edu.tw</v>
      </c>
      <c r="E2393" s="17" t="str">
        <f>IFERROR(__xludf.DUMMYFUNCTION("""COMPUTED_VALUE"""),"臺中市梧棲區中正國民小學")</f>
        <v>臺中市梧棲區中正國民小學</v>
      </c>
      <c r="F2393" s="14" t="str">
        <f>IFERROR(__xludf.DUMMYFUNCTION("""COMPUTED_VALUE"""),"五年級")</f>
        <v>五年級</v>
      </c>
      <c r="G2393" s="14" t="str">
        <f>IFERROR(__xludf.DUMMYFUNCTION("""COMPUTED_VALUE"""),"●小禮物")</f>
        <v>●小禮物</v>
      </c>
      <c r="H2393" s="8"/>
    </row>
    <row r="2394">
      <c r="A2394" s="18"/>
      <c r="B2394" s="14">
        <f>IFERROR(__xludf.DUMMYFUNCTION("""COMPUTED_VALUE"""),450933.0)</f>
        <v>450933</v>
      </c>
      <c r="C2394" s="14" t="str">
        <f>IFERROR(__xludf.DUMMYFUNCTION("""COMPUTED_VALUE"""),"王韋仁")</f>
        <v>王韋仁</v>
      </c>
      <c r="D2394" s="16" t="str">
        <f>IFERROR(__xludf.DUMMYFUNCTION("""COMPUTED_VALUE"""),"tc.*****6@mail.edu.tw")</f>
        <v>tc.*****6@mail.edu.tw</v>
      </c>
      <c r="E2394" s="17" t="str">
        <f>IFERROR(__xludf.DUMMYFUNCTION("""COMPUTED_VALUE"""),"臺中市梧棲區中正國民小學")</f>
        <v>臺中市梧棲區中正國民小學</v>
      </c>
      <c r="F2394" s="14" t="str">
        <f>IFERROR(__xludf.DUMMYFUNCTION("""COMPUTED_VALUE"""),"五年級")</f>
        <v>五年級</v>
      </c>
      <c r="G2394" s="14" t="str">
        <f>IFERROR(__xludf.DUMMYFUNCTION("""COMPUTED_VALUE"""),"獎狀")</f>
        <v>獎狀</v>
      </c>
      <c r="H2394" s="8"/>
    </row>
    <row r="2395">
      <c r="A2395" s="18"/>
      <c r="B2395" s="14">
        <f>IFERROR(__xludf.DUMMYFUNCTION("""COMPUTED_VALUE"""),450352.0)</f>
        <v>450352</v>
      </c>
      <c r="C2395" s="14" t="str">
        <f>IFERROR(__xludf.DUMMYFUNCTION("""COMPUTED_VALUE"""),"王珈翎")</f>
        <v>王珈翎</v>
      </c>
      <c r="D2395" s="16" t="str">
        <f>IFERROR(__xludf.DUMMYFUNCTION("""COMPUTED_VALUE"""),"tc.*****6@mail.edu.tw")</f>
        <v>tc.*****6@mail.edu.tw</v>
      </c>
      <c r="E2395" s="17" t="str">
        <f>IFERROR(__xludf.DUMMYFUNCTION("""COMPUTED_VALUE"""),"臺中市梧棲區中正國民小學")</f>
        <v>臺中市梧棲區中正國民小學</v>
      </c>
      <c r="F2395" s="14" t="str">
        <f>IFERROR(__xludf.DUMMYFUNCTION("""COMPUTED_VALUE"""),"五年級")</f>
        <v>五年級</v>
      </c>
      <c r="G2395" s="14" t="str">
        <f>IFERROR(__xludf.DUMMYFUNCTION("""COMPUTED_VALUE"""),"獎狀")</f>
        <v>獎狀</v>
      </c>
      <c r="H2395" s="8"/>
    </row>
    <row r="2396">
      <c r="A2396" s="18"/>
      <c r="B2396" s="14">
        <f>IFERROR(__xludf.DUMMYFUNCTION("""COMPUTED_VALUE"""),450873.0)</f>
        <v>450873</v>
      </c>
      <c r="C2396" s="14" t="str">
        <f>IFERROR(__xludf.DUMMYFUNCTION("""COMPUTED_VALUE"""),"陳采渟")</f>
        <v>陳采渟</v>
      </c>
      <c r="D2396" s="16" t="str">
        <f>IFERROR(__xludf.DUMMYFUNCTION("""COMPUTED_VALUE"""),"tc.*****8@mail.edu.tw")</f>
        <v>tc.*****8@mail.edu.tw</v>
      </c>
      <c r="E2396" s="17" t="str">
        <f>IFERROR(__xludf.DUMMYFUNCTION("""COMPUTED_VALUE"""),"臺中市梧棲區中正國民小學")</f>
        <v>臺中市梧棲區中正國民小學</v>
      </c>
      <c r="F2396" s="14" t="str">
        <f>IFERROR(__xludf.DUMMYFUNCTION("""COMPUTED_VALUE"""),"五年級")</f>
        <v>五年級</v>
      </c>
      <c r="G2396" s="14" t="str">
        <f>IFERROR(__xludf.DUMMYFUNCTION("""COMPUTED_VALUE"""),"獎狀")</f>
        <v>獎狀</v>
      </c>
      <c r="H2396" s="8"/>
    </row>
    <row r="2397">
      <c r="A2397" s="18"/>
      <c r="B2397" s="14">
        <f>IFERROR(__xludf.DUMMYFUNCTION("""COMPUTED_VALUE"""),450850.0)</f>
        <v>450850</v>
      </c>
      <c r="C2397" s="14" t="str">
        <f>IFERROR(__xludf.DUMMYFUNCTION("""COMPUTED_VALUE"""),"張可賢")</f>
        <v>張可賢</v>
      </c>
      <c r="D2397" s="16" t="str">
        <f>IFERROR(__xludf.DUMMYFUNCTION("""COMPUTED_VALUE"""),"tc.*****8@mail.edu.tw")</f>
        <v>tc.*****8@mail.edu.tw</v>
      </c>
      <c r="E2397" s="17" t="str">
        <f>IFERROR(__xludf.DUMMYFUNCTION("""COMPUTED_VALUE"""),"臺中市梧棲區中正國民小學")</f>
        <v>臺中市梧棲區中正國民小學</v>
      </c>
      <c r="F2397" s="14" t="str">
        <f>IFERROR(__xludf.DUMMYFUNCTION("""COMPUTED_VALUE"""),"五年級")</f>
        <v>五年級</v>
      </c>
      <c r="G2397" s="14" t="str">
        <f>IFERROR(__xludf.DUMMYFUNCTION("""COMPUTED_VALUE"""),"獎狀")</f>
        <v>獎狀</v>
      </c>
      <c r="H2397" s="8"/>
    </row>
    <row r="2398">
      <c r="A2398" s="18"/>
      <c r="B2398" s="14">
        <f>IFERROR(__xludf.DUMMYFUNCTION("""COMPUTED_VALUE"""),451629.0)</f>
        <v>451629</v>
      </c>
      <c r="C2398" s="14" t="str">
        <f>IFERROR(__xludf.DUMMYFUNCTION("""COMPUTED_VALUE"""),"陳慶溢")</f>
        <v>陳慶溢</v>
      </c>
      <c r="D2398" s="16" t="str">
        <f>IFERROR(__xludf.DUMMYFUNCTION("""COMPUTED_VALUE"""),"tc.*****9@mail.edu.tw")</f>
        <v>tc.*****9@mail.edu.tw</v>
      </c>
      <c r="E2398" s="17" t="str">
        <f>IFERROR(__xludf.DUMMYFUNCTION("""COMPUTED_VALUE"""),"臺中市梧棲區中正國民小學")</f>
        <v>臺中市梧棲區中正國民小學</v>
      </c>
      <c r="F2398" s="14" t="str">
        <f>IFERROR(__xludf.DUMMYFUNCTION("""COMPUTED_VALUE"""),"五年級")</f>
        <v>五年級</v>
      </c>
      <c r="G2398" s="14" t="str">
        <f>IFERROR(__xludf.DUMMYFUNCTION("""COMPUTED_VALUE"""),"獎狀")</f>
        <v>獎狀</v>
      </c>
      <c r="H2398" s="8"/>
    </row>
    <row r="2399">
      <c r="A2399" s="18"/>
      <c r="B2399" s="14">
        <f>IFERROR(__xludf.DUMMYFUNCTION("""COMPUTED_VALUE"""),449942.0)</f>
        <v>449942</v>
      </c>
      <c r="C2399" s="14" t="str">
        <f>IFERROR(__xludf.DUMMYFUNCTION("""COMPUTED_VALUE"""),"馮彥喆")</f>
        <v>馮彥喆</v>
      </c>
      <c r="D2399" s="16" t="str">
        <f>IFERROR(__xludf.DUMMYFUNCTION("""COMPUTED_VALUE"""),"tc.*****5@mail.edu.tw")</f>
        <v>tc.*****5@mail.edu.tw</v>
      </c>
      <c r="E2399" s="17" t="str">
        <f>IFERROR(__xludf.DUMMYFUNCTION("""COMPUTED_VALUE"""),"臺中市梧棲區中正國民小學")</f>
        <v>臺中市梧棲區中正國民小學</v>
      </c>
      <c r="F2399" s="14" t="str">
        <f>IFERROR(__xludf.DUMMYFUNCTION("""COMPUTED_VALUE"""),"五年級")</f>
        <v>五年級</v>
      </c>
      <c r="G2399" s="14" t="str">
        <f>IFERROR(__xludf.DUMMYFUNCTION("""COMPUTED_VALUE"""),"獎狀")</f>
        <v>獎狀</v>
      </c>
      <c r="H2399" s="8"/>
    </row>
    <row r="2400">
      <c r="A2400" s="18"/>
      <c r="B2400" s="14">
        <f>IFERROR(__xludf.DUMMYFUNCTION("""COMPUTED_VALUE"""),451635.0)</f>
        <v>451635</v>
      </c>
      <c r="C2400" s="14" t="str">
        <f>IFERROR(__xludf.DUMMYFUNCTION("""COMPUTED_VALUE"""),"顏妏臻")</f>
        <v>顏妏臻</v>
      </c>
      <c r="D2400" s="16" t="str">
        <f>IFERROR(__xludf.DUMMYFUNCTION("""COMPUTED_VALUE"""),"tc.*****7@mail.edu.tw")</f>
        <v>tc.*****7@mail.edu.tw</v>
      </c>
      <c r="E2400" s="17" t="str">
        <f>IFERROR(__xludf.DUMMYFUNCTION("""COMPUTED_VALUE"""),"臺中市梧棲區中正國民小學")</f>
        <v>臺中市梧棲區中正國民小學</v>
      </c>
      <c r="F2400" s="14" t="str">
        <f>IFERROR(__xludf.DUMMYFUNCTION("""COMPUTED_VALUE"""),"五年級")</f>
        <v>五年級</v>
      </c>
      <c r="G2400" s="14" t="str">
        <f>IFERROR(__xludf.DUMMYFUNCTION("""COMPUTED_VALUE"""),"●小禮物")</f>
        <v>●小禮物</v>
      </c>
      <c r="H2400" s="8"/>
    </row>
    <row r="2401">
      <c r="A2401" s="18"/>
      <c r="B2401" s="14">
        <f>IFERROR(__xludf.DUMMYFUNCTION("""COMPUTED_VALUE"""),448404.0)</f>
        <v>448404</v>
      </c>
      <c r="C2401" s="14" t="str">
        <f>IFERROR(__xludf.DUMMYFUNCTION("""COMPUTED_VALUE"""),"紀又綾")</f>
        <v>紀又綾</v>
      </c>
      <c r="D2401" s="16" t="str">
        <f>IFERROR(__xludf.DUMMYFUNCTION("""COMPUTED_VALUE"""),"lil*****24@mail.edu.tw")</f>
        <v>lil*****24@mail.edu.tw</v>
      </c>
      <c r="E2401" s="17" t="str">
        <f>IFERROR(__xludf.DUMMYFUNCTION("""COMPUTED_VALUE"""),"臺中市梧棲區中正國民小學")</f>
        <v>臺中市梧棲區中正國民小學</v>
      </c>
      <c r="F2401" s="14" t="str">
        <f>IFERROR(__xludf.DUMMYFUNCTION("""COMPUTED_VALUE"""),"五年級")</f>
        <v>五年級</v>
      </c>
      <c r="G2401" s="14" t="str">
        <f>IFERROR(__xludf.DUMMYFUNCTION("""COMPUTED_VALUE"""),"獎狀")</f>
        <v>獎狀</v>
      </c>
      <c r="H2401" s="8"/>
    </row>
    <row r="2402">
      <c r="A2402" s="18"/>
      <c r="B2402" s="14">
        <f>IFERROR(__xludf.DUMMYFUNCTION("""COMPUTED_VALUE"""),449905.0)</f>
        <v>449905</v>
      </c>
      <c r="C2402" s="14" t="str">
        <f>IFERROR(__xludf.DUMMYFUNCTION("""COMPUTED_VALUE"""),"陳怡蓁")</f>
        <v>陳怡蓁</v>
      </c>
      <c r="D2402" s="16" t="str">
        <f>IFERROR(__xludf.DUMMYFUNCTION("""COMPUTED_VALUE"""),"tc.*****2@mail.edu.tw")</f>
        <v>tc.*****2@mail.edu.tw</v>
      </c>
      <c r="E2402" s="17" t="str">
        <f>IFERROR(__xludf.DUMMYFUNCTION("""COMPUTED_VALUE"""),"臺中市梧棲區中正國民小學")</f>
        <v>臺中市梧棲區中正國民小學</v>
      </c>
      <c r="F2402" s="14" t="str">
        <f>IFERROR(__xludf.DUMMYFUNCTION("""COMPUTED_VALUE"""),"五年級")</f>
        <v>五年級</v>
      </c>
      <c r="G2402" s="14" t="str">
        <f>IFERROR(__xludf.DUMMYFUNCTION("""COMPUTED_VALUE"""),"獎狀")</f>
        <v>獎狀</v>
      </c>
      <c r="H2402" s="8"/>
    </row>
    <row r="2403">
      <c r="A2403" s="18"/>
      <c r="B2403" s="14">
        <f>IFERROR(__xludf.DUMMYFUNCTION("""COMPUTED_VALUE"""),451355.0)</f>
        <v>451355</v>
      </c>
      <c r="C2403" s="14" t="str">
        <f>IFERROR(__xludf.DUMMYFUNCTION("""COMPUTED_VALUE"""),"楊謙")</f>
        <v>楊謙</v>
      </c>
      <c r="D2403" s="16" t="str">
        <f>IFERROR(__xludf.DUMMYFUNCTION("""COMPUTED_VALUE"""),"tc.*****5@mail.edu.tw")</f>
        <v>tc.*****5@mail.edu.tw</v>
      </c>
      <c r="E2403" s="17" t="str">
        <f>IFERROR(__xludf.DUMMYFUNCTION("""COMPUTED_VALUE"""),"臺中市梧棲區中正國民小學")</f>
        <v>臺中市梧棲區中正國民小學</v>
      </c>
      <c r="F2403" s="14" t="str">
        <f>IFERROR(__xludf.DUMMYFUNCTION("""COMPUTED_VALUE"""),"五年級")</f>
        <v>五年級</v>
      </c>
      <c r="G2403" s="14" t="str">
        <f>IFERROR(__xludf.DUMMYFUNCTION("""COMPUTED_VALUE"""),"獎狀")</f>
        <v>獎狀</v>
      </c>
      <c r="H2403" s="8"/>
    </row>
    <row r="2404">
      <c r="A2404" s="18"/>
      <c r="B2404" s="14">
        <f>IFERROR(__xludf.DUMMYFUNCTION("""COMPUTED_VALUE"""),451552.0)</f>
        <v>451552</v>
      </c>
      <c r="C2404" s="14" t="str">
        <f>IFERROR(__xludf.DUMMYFUNCTION("""COMPUTED_VALUE"""),"蔡雨淨")</f>
        <v>蔡雨淨</v>
      </c>
      <c r="D2404" s="16" t="str">
        <f>IFERROR(__xludf.DUMMYFUNCTION("""COMPUTED_VALUE"""),"tc.*****7@mail.edu.tw")</f>
        <v>tc.*****7@mail.edu.tw</v>
      </c>
      <c r="E2404" s="17" t="str">
        <f>IFERROR(__xludf.DUMMYFUNCTION("""COMPUTED_VALUE"""),"臺中市梧棲區中正國民小學")</f>
        <v>臺中市梧棲區中正國民小學</v>
      </c>
      <c r="F2404" s="14" t="str">
        <f>IFERROR(__xludf.DUMMYFUNCTION("""COMPUTED_VALUE"""),"五年級")</f>
        <v>五年級</v>
      </c>
      <c r="G2404" s="14" t="str">
        <f>IFERROR(__xludf.DUMMYFUNCTION("""COMPUTED_VALUE"""),"獎狀")</f>
        <v>獎狀</v>
      </c>
      <c r="H2404" s="8"/>
    </row>
    <row r="2405">
      <c r="A2405" s="18"/>
      <c r="B2405" s="14">
        <f>IFERROR(__xludf.DUMMYFUNCTION("""COMPUTED_VALUE"""),1198096.0)</f>
        <v>1198096</v>
      </c>
      <c r="C2405" s="14" t="str">
        <f>IFERROR(__xludf.DUMMYFUNCTION("""COMPUTED_VALUE"""),"陳宥蓁")</f>
        <v>陳宥蓁</v>
      </c>
      <c r="D2405" s="16" t="str">
        <f>IFERROR(__xludf.DUMMYFUNCTION("""COMPUTED_VALUE"""),"706*****t.tc.edu.tw")</f>
        <v>706*****t.tc.edu.tw</v>
      </c>
      <c r="E2405" s="17" t="str">
        <f>IFERROR(__xludf.DUMMYFUNCTION("""COMPUTED_VALUE"""),"臺中市梧棲區中正國民小學")</f>
        <v>臺中市梧棲區中正國民小學</v>
      </c>
      <c r="F2405" s="14" t="str">
        <f>IFERROR(__xludf.DUMMYFUNCTION("""COMPUTED_VALUE"""),"五年級")</f>
        <v>五年級</v>
      </c>
      <c r="G2405" s="14" t="str">
        <f>IFERROR(__xludf.DUMMYFUNCTION("""COMPUTED_VALUE"""),"●小禮物")</f>
        <v>●小禮物</v>
      </c>
      <c r="H2405" s="8"/>
    </row>
    <row r="2406">
      <c r="A2406" s="18"/>
      <c r="B2406" s="14">
        <f>IFERROR(__xludf.DUMMYFUNCTION("""COMPUTED_VALUE"""),451555.0)</f>
        <v>451555</v>
      </c>
      <c r="C2406" s="14" t="str">
        <f>IFERROR(__xludf.DUMMYFUNCTION("""COMPUTED_VALUE"""),"周邘右")</f>
        <v>周邘右</v>
      </c>
      <c r="D2406" s="16" t="str">
        <f>IFERROR(__xludf.DUMMYFUNCTION("""COMPUTED_VALUE"""),"tc.*****9@mail.edu.tw")</f>
        <v>tc.*****9@mail.edu.tw</v>
      </c>
      <c r="E2406" s="17" t="str">
        <f>IFERROR(__xludf.DUMMYFUNCTION("""COMPUTED_VALUE"""),"臺中市梧棲區中正國民小學")</f>
        <v>臺中市梧棲區中正國民小學</v>
      </c>
      <c r="F2406" s="14" t="str">
        <f>IFERROR(__xludf.DUMMYFUNCTION("""COMPUTED_VALUE"""),"五年級")</f>
        <v>五年級</v>
      </c>
      <c r="G2406" s="14" t="str">
        <f>IFERROR(__xludf.DUMMYFUNCTION("""COMPUTED_VALUE"""),"●小禮物")</f>
        <v>●小禮物</v>
      </c>
      <c r="H2406" s="8"/>
    </row>
    <row r="2407">
      <c r="A2407" s="18"/>
      <c r="B2407" s="14">
        <f>IFERROR(__xludf.DUMMYFUNCTION("""COMPUTED_VALUE"""),451620.0)</f>
        <v>451620</v>
      </c>
      <c r="C2407" s="14" t="str">
        <f>IFERROR(__xludf.DUMMYFUNCTION("""COMPUTED_VALUE"""),"黃聖凱")</f>
        <v>黃聖凱</v>
      </c>
      <c r="D2407" s="16" t="str">
        <f>IFERROR(__xludf.DUMMYFUNCTION("""COMPUTED_VALUE"""),"tc.*****5@mail.edu.tw")</f>
        <v>tc.*****5@mail.edu.tw</v>
      </c>
      <c r="E2407" s="17" t="str">
        <f>IFERROR(__xludf.DUMMYFUNCTION("""COMPUTED_VALUE"""),"臺中市梧棲區中正國民小學")</f>
        <v>臺中市梧棲區中正國民小學</v>
      </c>
      <c r="F2407" s="14" t="str">
        <f>IFERROR(__xludf.DUMMYFUNCTION("""COMPUTED_VALUE"""),"五年級")</f>
        <v>五年級</v>
      </c>
      <c r="G2407" s="14" t="str">
        <f>IFERROR(__xludf.DUMMYFUNCTION("""COMPUTED_VALUE"""),"●小禮物")</f>
        <v>●小禮物</v>
      </c>
      <c r="H2407" s="8"/>
    </row>
    <row r="2408">
      <c r="A2408" s="18"/>
      <c r="B2408" s="14">
        <f>IFERROR(__xludf.DUMMYFUNCTION("""COMPUTED_VALUE"""),450924.0)</f>
        <v>450924</v>
      </c>
      <c r="C2408" s="14" t="str">
        <f>IFERROR(__xludf.DUMMYFUNCTION("""COMPUTED_VALUE"""),"廖淳毅")</f>
        <v>廖淳毅</v>
      </c>
      <c r="D2408" s="16" t="str">
        <f>IFERROR(__xludf.DUMMYFUNCTION("""COMPUTED_VALUE"""),"tc.*****4@mail.edu.tw")</f>
        <v>tc.*****4@mail.edu.tw</v>
      </c>
      <c r="E2408" s="17" t="str">
        <f>IFERROR(__xludf.DUMMYFUNCTION("""COMPUTED_VALUE"""),"臺中市梧棲區中正國民小學")</f>
        <v>臺中市梧棲區中正國民小學</v>
      </c>
      <c r="F2408" s="14" t="str">
        <f>IFERROR(__xludf.DUMMYFUNCTION("""COMPUTED_VALUE"""),"五年級")</f>
        <v>五年級</v>
      </c>
      <c r="G2408" s="14" t="str">
        <f>IFERROR(__xludf.DUMMYFUNCTION("""COMPUTED_VALUE"""),"●小禮物")</f>
        <v>●小禮物</v>
      </c>
      <c r="H2408" s="8"/>
    </row>
    <row r="2409">
      <c r="A2409" s="18"/>
      <c r="B2409" s="14">
        <f>IFERROR(__xludf.DUMMYFUNCTION("""COMPUTED_VALUE"""),451636.0)</f>
        <v>451636</v>
      </c>
      <c r="C2409" s="14" t="str">
        <f>IFERROR(__xludf.DUMMYFUNCTION("""COMPUTED_VALUE"""),"蔡孟涵")</f>
        <v>蔡孟涵</v>
      </c>
      <c r="D2409" s="16" t="str">
        <f>IFERROR(__xludf.DUMMYFUNCTION("""COMPUTED_VALUE"""),"tc.*****4@mail.edu.tw")</f>
        <v>tc.*****4@mail.edu.tw</v>
      </c>
      <c r="E2409" s="17" t="str">
        <f>IFERROR(__xludf.DUMMYFUNCTION("""COMPUTED_VALUE"""),"臺中市梧棲區中正國民小學")</f>
        <v>臺中市梧棲區中正國民小學</v>
      </c>
      <c r="F2409" s="14" t="str">
        <f>IFERROR(__xludf.DUMMYFUNCTION("""COMPUTED_VALUE"""),"五年級")</f>
        <v>五年級</v>
      </c>
      <c r="G2409" s="14" t="str">
        <f>IFERROR(__xludf.DUMMYFUNCTION("""COMPUTED_VALUE"""),"●小禮物")</f>
        <v>●小禮物</v>
      </c>
      <c r="H2409" s="8"/>
    </row>
    <row r="2410">
      <c r="A2410" s="18"/>
      <c r="B2410" s="14">
        <f>IFERROR(__xludf.DUMMYFUNCTION("""COMPUTED_VALUE"""),449888.0)</f>
        <v>449888</v>
      </c>
      <c r="C2410" s="14" t="str">
        <f>IFERROR(__xludf.DUMMYFUNCTION("""COMPUTED_VALUE"""),"林東毅")</f>
        <v>林東毅</v>
      </c>
      <c r="D2410" s="16" t="str">
        <f>IFERROR(__xludf.DUMMYFUNCTION("""COMPUTED_VALUE"""),"tc.*****2@mail.edu.tw")</f>
        <v>tc.*****2@mail.edu.tw</v>
      </c>
      <c r="E2410" s="17" t="str">
        <f>IFERROR(__xludf.DUMMYFUNCTION("""COMPUTED_VALUE"""),"臺中市梧棲區中正國民小學")</f>
        <v>臺中市梧棲區中正國民小學</v>
      </c>
      <c r="F2410" s="14" t="str">
        <f>IFERROR(__xludf.DUMMYFUNCTION("""COMPUTED_VALUE"""),"五年級")</f>
        <v>五年級</v>
      </c>
      <c r="G2410" s="14" t="str">
        <f>IFERROR(__xludf.DUMMYFUNCTION("""COMPUTED_VALUE"""),"獎狀")</f>
        <v>獎狀</v>
      </c>
      <c r="H2410" s="8"/>
    </row>
    <row r="2411">
      <c r="A2411" s="18"/>
      <c r="B2411" s="14">
        <f>IFERROR(__xludf.DUMMYFUNCTION("""COMPUTED_VALUE"""),450298.0)</f>
        <v>450298</v>
      </c>
      <c r="C2411" s="14" t="str">
        <f>IFERROR(__xludf.DUMMYFUNCTION("""COMPUTED_VALUE"""),"紀羽瑄")</f>
        <v>紀羽瑄</v>
      </c>
      <c r="D2411" s="16" t="str">
        <f>IFERROR(__xludf.DUMMYFUNCTION("""COMPUTED_VALUE"""),"tc.*****5@mail.edu.tw")</f>
        <v>tc.*****5@mail.edu.tw</v>
      </c>
      <c r="E2411" s="17" t="str">
        <f>IFERROR(__xludf.DUMMYFUNCTION("""COMPUTED_VALUE"""),"臺中市梧棲區中正國民小學")</f>
        <v>臺中市梧棲區中正國民小學</v>
      </c>
      <c r="F2411" s="14" t="str">
        <f>IFERROR(__xludf.DUMMYFUNCTION("""COMPUTED_VALUE"""),"五年級")</f>
        <v>五年級</v>
      </c>
      <c r="G2411" s="14" t="str">
        <f>IFERROR(__xludf.DUMMYFUNCTION("""COMPUTED_VALUE"""),"獎狀")</f>
        <v>獎狀</v>
      </c>
      <c r="H2411" s="8"/>
    </row>
    <row r="2412">
      <c r="A2412" s="18"/>
      <c r="B2412" s="14">
        <f>IFERROR(__xludf.DUMMYFUNCTION("""COMPUTED_VALUE"""),450844.0)</f>
        <v>450844</v>
      </c>
      <c r="C2412" s="14" t="str">
        <f>IFERROR(__xludf.DUMMYFUNCTION("""COMPUTED_VALUE"""),"林秉杰")</f>
        <v>林秉杰</v>
      </c>
      <c r="D2412" s="16" t="str">
        <f>IFERROR(__xludf.DUMMYFUNCTION("""COMPUTED_VALUE"""),"tc.*****4@mail.edu.tw")</f>
        <v>tc.*****4@mail.edu.tw</v>
      </c>
      <c r="E2412" s="17" t="str">
        <f>IFERROR(__xludf.DUMMYFUNCTION("""COMPUTED_VALUE"""),"臺中市梧棲區中正國民小學")</f>
        <v>臺中市梧棲區中正國民小學</v>
      </c>
      <c r="F2412" s="14" t="str">
        <f>IFERROR(__xludf.DUMMYFUNCTION("""COMPUTED_VALUE"""),"五年級")</f>
        <v>五年級</v>
      </c>
      <c r="G2412" s="14" t="str">
        <f>IFERROR(__xludf.DUMMYFUNCTION("""COMPUTED_VALUE"""),"●小禮物")</f>
        <v>●小禮物</v>
      </c>
      <c r="H2412" s="8"/>
    </row>
    <row r="2413">
      <c r="A2413" s="18"/>
      <c r="B2413" s="14">
        <f>IFERROR(__xludf.DUMMYFUNCTION("""COMPUTED_VALUE"""),450922.0)</f>
        <v>450922</v>
      </c>
      <c r="C2413" s="14" t="str">
        <f>IFERROR(__xludf.DUMMYFUNCTION("""COMPUTED_VALUE"""),"童炫凱")</f>
        <v>童炫凱</v>
      </c>
      <c r="D2413" s="16" t="str">
        <f>IFERROR(__xludf.DUMMYFUNCTION("""COMPUTED_VALUE"""),"tc.*****2@mail.edu.tw")</f>
        <v>tc.*****2@mail.edu.tw</v>
      </c>
      <c r="E2413" s="17" t="str">
        <f>IFERROR(__xludf.DUMMYFUNCTION("""COMPUTED_VALUE"""),"臺中市梧棲區中正國民小學")</f>
        <v>臺中市梧棲區中正國民小學</v>
      </c>
      <c r="F2413" s="14" t="str">
        <f>IFERROR(__xludf.DUMMYFUNCTION("""COMPUTED_VALUE"""),"五年級")</f>
        <v>五年級</v>
      </c>
      <c r="G2413" s="14" t="str">
        <f>IFERROR(__xludf.DUMMYFUNCTION("""COMPUTED_VALUE"""),"●小禮物")</f>
        <v>●小禮物</v>
      </c>
      <c r="H2413" s="8"/>
    </row>
    <row r="2414">
      <c r="A2414" s="18"/>
      <c r="B2414" s="14">
        <f>IFERROR(__xludf.DUMMYFUNCTION("""COMPUTED_VALUE"""),450296.0)</f>
        <v>450296</v>
      </c>
      <c r="C2414" s="14" t="str">
        <f>IFERROR(__xludf.DUMMYFUNCTION("""COMPUTED_VALUE"""),"蔡瑋庭")</f>
        <v>蔡瑋庭</v>
      </c>
      <c r="D2414" s="16" t="str">
        <f>IFERROR(__xludf.DUMMYFUNCTION("""COMPUTED_VALUE"""),"tc.*****4@mail.edu.tw")</f>
        <v>tc.*****4@mail.edu.tw</v>
      </c>
      <c r="E2414" s="17" t="str">
        <f>IFERROR(__xludf.DUMMYFUNCTION("""COMPUTED_VALUE"""),"臺中市梧棲區中正國民小學")</f>
        <v>臺中市梧棲區中正國民小學</v>
      </c>
      <c r="F2414" s="14" t="str">
        <f>IFERROR(__xludf.DUMMYFUNCTION("""COMPUTED_VALUE"""),"五年級")</f>
        <v>五年級</v>
      </c>
      <c r="G2414" s="14" t="str">
        <f>IFERROR(__xludf.DUMMYFUNCTION("""COMPUTED_VALUE"""),"●小禮物")</f>
        <v>●小禮物</v>
      </c>
      <c r="H2414" s="8"/>
    </row>
    <row r="2415">
      <c r="A2415" s="18"/>
      <c r="B2415" s="14">
        <f>IFERROR(__xludf.DUMMYFUNCTION("""COMPUTED_VALUE"""),449941.0)</f>
        <v>449941</v>
      </c>
      <c r="C2415" s="14" t="str">
        <f>IFERROR(__xludf.DUMMYFUNCTION("""COMPUTED_VALUE"""),"卓隸宬")</f>
        <v>卓隸宬</v>
      </c>
      <c r="D2415" s="16" t="str">
        <f>IFERROR(__xludf.DUMMYFUNCTION("""COMPUTED_VALUE"""),"tc.*****0@mail.edu.tw")</f>
        <v>tc.*****0@mail.edu.tw</v>
      </c>
      <c r="E2415" s="17" t="str">
        <f>IFERROR(__xludf.DUMMYFUNCTION("""COMPUTED_VALUE"""),"臺中市梧棲區中正國民小學")</f>
        <v>臺中市梧棲區中正國民小學</v>
      </c>
      <c r="F2415" s="14" t="str">
        <f>IFERROR(__xludf.DUMMYFUNCTION("""COMPUTED_VALUE"""),"五年級")</f>
        <v>五年級</v>
      </c>
      <c r="G2415" s="14" t="str">
        <f>IFERROR(__xludf.DUMMYFUNCTION("""COMPUTED_VALUE"""),"●小禮物")</f>
        <v>●小禮物</v>
      </c>
      <c r="H2415" s="8"/>
    </row>
    <row r="2416">
      <c r="A2416" s="18"/>
      <c r="B2416" s="14">
        <f>IFERROR(__xludf.DUMMYFUNCTION("""COMPUTED_VALUE"""),261529.0)</f>
        <v>261529</v>
      </c>
      <c r="C2416" s="14" t="str">
        <f>IFERROR(__xludf.DUMMYFUNCTION("""COMPUTED_VALUE"""),"徐晨哲")</f>
        <v>徐晨哲</v>
      </c>
      <c r="D2416" s="16" t="str">
        <f>IFERROR(__xludf.DUMMYFUNCTION("""COMPUTED_VALUE"""),"tc.*****0315@mail.edu.tw")</f>
        <v>tc.*****0315@mail.edu.tw</v>
      </c>
      <c r="E2416" s="17" t="str">
        <f>IFERROR(__xludf.DUMMYFUNCTION("""COMPUTED_VALUE"""),"臺中市梧棲區中正國民小學")</f>
        <v>臺中市梧棲區中正國民小學</v>
      </c>
      <c r="F2416" s="14" t="str">
        <f>IFERROR(__xludf.DUMMYFUNCTION("""COMPUTED_VALUE"""),"六年級")</f>
        <v>六年級</v>
      </c>
      <c r="G2416" s="14" t="str">
        <f>IFERROR(__xludf.DUMMYFUNCTION("""COMPUTED_VALUE"""),"獎狀")</f>
        <v>獎狀</v>
      </c>
      <c r="H2416" s="8"/>
    </row>
    <row r="2417">
      <c r="A2417" s="18"/>
      <c r="B2417" s="14">
        <f>IFERROR(__xludf.DUMMYFUNCTION("""COMPUTED_VALUE"""),260898.0)</f>
        <v>260898</v>
      </c>
      <c r="C2417" s="14" t="str">
        <f>IFERROR(__xludf.DUMMYFUNCTION("""COMPUTED_VALUE"""),"陳儀蓁")</f>
        <v>陳儀蓁</v>
      </c>
      <c r="D2417" s="16" t="str">
        <f>IFERROR(__xludf.DUMMYFUNCTION("""COMPUTED_VALUE"""),"tc.*****0811@mail.edu.tw")</f>
        <v>tc.*****0811@mail.edu.tw</v>
      </c>
      <c r="E2417" s="17" t="str">
        <f>IFERROR(__xludf.DUMMYFUNCTION("""COMPUTED_VALUE"""),"臺中市梧棲區中正國民小學")</f>
        <v>臺中市梧棲區中正國民小學</v>
      </c>
      <c r="F2417" s="14" t="str">
        <f>IFERROR(__xludf.DUMMYFUNCTION("""COMPUTED_VALUE"""),"六年級")</f>
        <v>六年級</v>
      </c>
      <c r="G2417" s="14" t="str">
        <f>IFERROR(__xludf.DUMMYFUNCTION("""COMPUTED_VALUE"""),"獎狀")</f>
        <v>獎狀</v>
      </c>
      <c r="H2417" s="8"/>
    </row>
    <row r="2418">
      <c r="A2418" s="18"/>
      <c r="B2418" s="14">
        <f>IFERROR(__xludf.DUMMYFUNCTION("""COMPUTED_VALUE"""),260783.0)</f>
        <v>260783</v>
      </c>
      <c r="C2418" s="14" t="str">
        <f>IFERROR(__xludf.DUMMYFUNCTION("""COMPUTED_VALUE"""),"王喬萱")</f>
        <v>王喬萱</v>
      </c>
      <c r="D2418" s="16" t="str">
        <f>IFERROR(__xludf.DUMMYFUNCTION("""COMPUTED_VALUE"""),"tc.*****0232@mail.edu.tw")</f>
        <v>tc.*****0232@mail.edu.tw</v>
      </c>
      <c r="E2418" s="17" t="str">
        <f>IFERROR(__xludf.DUMMYFUNCTION("""COMPUTED_VALUE"""),"臺中市梧棲區中正國民小學")</f>
        <v>臺中市梧棲區中正國民小學</v>
      </c>
      <c r="F2418" s="14" t="str">
        <f>IFERROR(__xludf.DUMMYFUNCTION("""COMPUTED_VALUE"""),"六年級")</f>
        <v>六年級</v>
      </c>
      <c r="G2418" s="14" t="str">
        <f>IFERROR(__xludf.DUMMYFUNCTION("""COMPUTED_VALUE"""),"●小禮物")</f>
        <v>●小禮物</v>
      </c>
      <c r="H2418" s="8"/>
    </row>
    <row r="2419">
      <c r="A2419" s="18"/>
      <c r="B2419" s="14">
        <f>IFERROR(__xludf.DUMMYFUNCTION("""COMPUTED_VALUE"""),260894.0)</f>
        <v>260894</v>
      </c>
      <c r="C2419" s="14" t="str">
        <f>IFERROR(__xludf.DUMMYFUNCTION("""COMPUTED_VALUE"""),"陳亮羽")</f>
        <v>陳亮羽</v>
      </c>
      <c r="D2419" s="16" t="str">
        <f>IFERROR(__xludf.DUMMYFUNCTION("""COMPUTED_VALUE"""),"tc.*****1036@mail.edu.tw")</f>
        <v>tc.*****1036@mail.edu.tw</v>
      </c>
      <c r="E2419" s="17" t="str">
        <f>IFERROR(__xludf.DUMMYFUNCTION("""COMPUTED_VALUE"""),"臺中市梧棲區中正國民小學")</f>
        <v>臺中市梧棲區中正國民小學</v>
      </c>
      <c r="F2419" s="14" t="str">
        <f>IFERROR(__xludf.DUMMYFUNCTION("""COMPUTED_VALUE"""),"六年級")</f>
        <v>六年級</v>
      </c>
      <c r="G2419" s="14" t="str">
        <f>IFERROR(__xludf.DUMMYFUNCTION("""COMPUTED_VALUE"""),"●小禮物")</f>
        <v>●小禮物</v>
      </c>
      <c r="H2419" s="8"/>
    </row>
    <row r="2420">
      <c r="A2420" s="18"/>
      <c r="B2420" s="14">
        <f>IFERROR(__xludf.DUMMYFUNCTION("""COMPUTED_VALUE"""),261530.0)</f>
        <v>261530</v>
      </c>
      <c r="C2420" s="14" t="str">
        <f>IFERROR(__xludf.DUMMYFUNCTION("""COMPUTED_VALUE"""),"柯嘉陞")</f>
        <v>柯嘉陞</v>
      </c>
      <c r="D2420" s="16" t="str">
        <f>IFERROR(__xludf.DUMMYFUNCTION("""COMPUTED_VALUE"""),"tc.*****1061@mail.edu.tw")</f>
        <v>tc.*****1061@mail.edu.tw</v>
      </c>
      <c r="E2420" s="17" t="str">
        <f>IFERROR(__xludf.DUMMYFUNCTION("""COMPUTED_VALUE"""),"臺中市梧棲區中正國民小學")</f>
        <v>臺中市梧棲區中正國民小學</v>
      </c>
      <c r="F2420" s="14" t="str">
        <f>IFERROR(__xludf.DUMMYFUNCTION("""COMPUTED_VALUE"""),"六年級")</f>
        <v>六年級</v>
      </c>
      <c r="G2420" s="14" t="str">
        <f>IFERROR(__xludf.DUMMYFUNCTION("""COMPUTED_VALUE"""),"獎狀")</f>
        <v>獎狀</v>
      </c>
      <c r="H2420" s="8"/>
    </row>
    <row r="2421">
      <c r="A2421" s="18"/>
      <c r="B2421" s="14">
        <f>IFERROR(__xludf.DUMMYFUNCTION("""COMPUTED_VALUE"""),260832.0)</f>
        <v>260832</v>
      </c>
      <c r="C2421" s="14" t="str">
        <f>IFERROR(__xludf.DUMMYFUNCTION("""COMPUTED_VALUE"""),"林家和")</f>
        <v>林家和</v>
      </c>
      <c r="D2421" s="16" t="str">
        <f>IFERROR(__xludf.DUMMYFUNCTION("""COMPUTED_VALUE"""),"tc.*****0280@mail.edu.tw")</f>
        <v>tc.*****0280@mail.edu.tw</v>
      </c>
      <c r="E2421" s="17" t="str">
        <f>IFERROR(__xludf.DUMMYFUNCTION("""COMPUTED_VALUE"""),"臺中市梧棲區中正國民小學")</f>
        <v>臺中市梧棲區中正國民小學</v>
      </c>
      <c r="F2421" s="14" t="str">
        <f>IFERROR(__xludf.DUMMYFUNCTION("""COMPUTED_VALUE"""),"六年級")</f>
        <v>六年級</v>
      </c>
      <c r="G2421" s="14" t="str">
        <f>IFERROR(__xludf.DUMMYFUNCTION("""COMPUTED_VALUE"""),"●小禮物")</f>
        <v>●小禮物</v>
      </c>
      <c r="H2421" s="8"/>
    </row>
    <row r="2422">
      <c r="A2422" s="18"/>
      <c r="B2422" s="14">
        <f>IFERROR(__xludf.DUMMYFUNCTION("""COMPUTED_VALUE"""),260907.0)</f>
        <v>260907</v>
      </c>
      <c r="C2422" s="14" t="str">
        <f>IFERROR(__xludf.DUMMYFUNCTION("""COMPUTED_VALUE"""),"楊宸瑀")</f>
        <v>楊宸瑀</v>
      </c>
      <c r="D2422" s="16" t="str">
        <f>IFERROR(__xludf.DUMMYFUNCTION("""COMPUTED_VALUE"""),"tc.*****0293@mail.edu.tw")</f>
        <v>tc.*****0293@mail.edu.tw</v>
      </c>
      <c r="E2422" s="17" t="str">
        <f>IFERROR(__xludf.DUMMYFUNCTION("""COMPUTED_VALUE"""),"臺中市梧棲區中正國民小學")</f>
        <v>臺中市梧棲區中正國民小學</v>
      </c>
      <c r="F2422" s="14" t="str">
        <f>IFERROR(__xludf.DUMMYFUNCTION("""COMPUTED_VALUE"""),"六年級")</f>
        <v>六年級</v>
      </c>
      <c r="G2422" s="14" t="str">
        <f>IFERROR(__xludf.DUMMYFUNCTION("""COMPUTED_VALUE"""),"●小禮物")</f>
        <v>●小禮物</v>
      </c>
      <c r="H2422" s="8"/>
    </row>
    <row r="2423">
      <c r="A2423" s="18"/>
      <c r="B2423" s="14">
        <f>IFERROR(__xludf.DUMMYFUNCTION("""COMPUTED_VALUE"""),260563.0)</f>
        <v>260563</v>
      </c>
      <c r="C2423" s="14" t="str">
        <f>IFERROR(__xludf.DUMMYFUNCTION("""COMPUTED_VALUE"""),"楊鈞皓")</f>
        <v>楊鈞皓</v>
      </c>
      <c r="D2423" s="16" t="str">
        <f>IFERROR(__xludf.DUMMYFUNCTION("""COMPUTED_VALUE"""),"tc.*****0512@mail.edu.tw")</f>
        <v>tc.*****0512@mail.edu.tw</v>
      </c>
      <c r="E2423" s="17" t="str">
        <f>IFERROR(__xludf.DUMMYFUNCTION("""COMPUTED_VALUE"""),"臺中市梧棲區中正國民小學")</f>
        <v>臺中市梧棲區中正國民小學</v>
      </c>
      <c r="F2423" s="14" t="str">
        <f>IFERROR(__xludf.DUMMYFUNCTION("""COMPUTED_VALUE"""),"六年級")</f>
        <v>六年級</v>
      </c>
      <c r="G2423" s="14" t="str">
        <f>IFERROR(__xludf.DUMMYFUNCTION("""COMPUTED_VALUE"""),"●小禮物")</f>
        <v>●小禮物</v>
      </c>
      <c r="H2423" s="8"/>
    </row>
    <row r="2424">
      <c r="A2424" s="18"/>
      <c r="B2424" s="14">
        <f>IFERROR(__xludf.DUMMYFUNCTION("""COMPUTED_VALUE"""),260758.0)</f>
        <v>260758</v>
      </c>
      <c r="C2424" s="14" t="str">
        <f>IFERROR(__xludf.DUMMYFUNCTION("""COMPUTED_VALUE"""),"謝其錞")</f>
        <v>謝其錞</v>
      </c>
      <c r="D2424" s="16" t="str">
        <f>IFERROR(__xludf.DUMMYFUNCTION("""COMPUTED_VALUE"""),"tc.*****0799@mail.edu.tw")</f>
        <v>tc.*****0799@mail.edu.tw</v>
      </c>
      <c r="E2424" s="17" t="str">
        <f>IFERROR(__xludf.DUMMYFUNCTION("""COMPUTED_VALUE"""),"臺中市梧棲區中正國民小學")</f>
        <v>臺中市梧棲區中正國民小學</v>
      </c>
      <c r="F2424" s="14" t="str">
        <f>IFERROR(__xludf.DUMMYFUNCTION("""COMPUTED_VALUE"""),"六年級")</f>
        <v>六年級</v>
      </c>
      <c r="G2424" s="14" t="str">
        <f>IFERROR(__xludf.DUMMYFUNCTION("""COMPUTED_VALUE"""),"★禮券$200")</f>
        <v>★禮券$200</v>
      </c>
      <c r="H2424" s="8"/>
    </row>
    <row r="2425">
      <c r="A2425" s="18"/>
      <c r="B2425" s="14">
        <f>IFERROR(__xludf.DUMMYFUNCTION("""COMPUTED_VALUE"""),260825.0)</f>
        <v>260825</v>
      </c>
      <c r="C2425" s="14" t="str">
        <f>IFERROR(__xludf.DUMMYFUNCTION("""COMPUTED_VALUE"""),"王尉達")</f>
        <v>王尉達</v>
      </c>
      <c r="D2425" s="16" t="str">
        <f>IFERROR(__xludf.DUMMYFUNCTION("""COMPUTED_VALUE"""),"tc.*****1177@mail.edu.tw")</f>
        <v>tc.*****1177@mail.edu.tw</v>
      </c>
      <c r="E2425" s="17" t="str">
        <f>IFERROR(__xludf.DUMMYFUNCTION("""COMPUTED_VALUE"""),"臺中市梧棲區中正國民小學")</f>
        <v>臺中市梧棲區中正國民小學</v>
      </c>
      <c r="F2425" s="14" t="str">
        <f>IFERROR(__xludf.DUMMYFUNCTION("""COMPUTED_VALUE"""),"六年級")</f>
        <v>六年級</v>
      </c>
      <c r="G2425" s="14" t="str">
        <f>IFERROR(__xludf.DUMMYFUNCTION("""COMPUTED_VALUE"""),"獎狀")</f>
        <v>獎狀</v>
      </c>
      <c r="H2425" s="8"/>
    </row>
    <row r="2426">
      <c r="A2426" s="18"/>
      <c r="B2426" s="14">
        <f>IFERROR(__xludf.DUMMYFUNCTION("""COMPUTED_VALUE"""),260542.0)</f>
        <v>260542</v>
      </c>
      <c r="C2426" s="14" t="str">
        <f>IFERROR(__xludf.DUMMYFUNCTION("""COMPUTED_VALUE"""),"楊閔筑")</f>
        <v>楊閔筑</v>
      </c>
      <c r="D2426" s="16" t="str">
        <f>IFERROR(__xludf.DUMMYFUNCTION("""COMPUTED_VALUE"""),"tc.*****0327@mail.edu.tw")</f>
        <v>tc.*****0327@mail.edu.tw</v>
      </c>
      <c r="E2426" s="17" t="str">
        <f>IFERROR(__xludf.DUMMYFUNCTION("""COMPUTED_VALUE"""),"臺中市梧棲區中正國民小學")</f>
        <v>臺中市梧棲區中正國民小學</v>
      </c>
      <c r="F2426" s="14" t="str">
        <f>IFERROR(__xludf.DUMMYFUNCTION("""COMPUTED_VALUE"""),"六年級")</f>
        <v>六年級</v>
      </c>
      <c r="G2426" s="14" t="str">
        <f>IFERROR(__xludf.DUMMYFUNCTION("""COMPUTED_VALUE"""),"獎狀")</f>
        <v>獎狀</v>
      </c>
      <c r="H2426" s="8"/>
    </row>
    <row r="2427">
      <c r="A2427" s="18"/>
      <c r="B2427" s="14">
        <f>IFERROR(__xludf.DUMMYFUNCTION("""COMPUTED_VALUE"""),260909.0)</f>
        <v>260909</v>
      </c>
      <c r="C2427" s="14" t="str">
        <f>IFERROR(__xludf.DUMMYFUNCTION("""COMPUTED_VALUE"""),"蔡妤甯")</f>
        <v>蔡妤甯</v>
      </c>
      <c r="D2427" s="16" t="str">
        <f>IFERROR(__xludf.DUMMYFUNCTION("""COMPUTED_VALUE"""),"tc.*****1035@mail.edu.tw")</f>
        <v>tc.*****1035@mail.edu.tw</v>
      </c>
      <c r="E2427" s="17" t="str">
        <f>IFERROR(__xludf.DUMMYFUNCTION("""COMPUTED_VALUE"""),"臺中市梧棲區中正國民小學")</f>
        <v>臺中市梧棲區中正國民小學</v>
      </c>
      <c r="F2427" s="14" t="str">
        <f>IFERROR(__xludf.DUMMYFUNCTION("""COMPUTED_VALUE"""),"六年級")</f>
        <v>六年級</v>
      </c>
      <c r="G2427" s="14" t="str">
        <f>IFERROR(__xludf.DUMMYFUNCTION("""COMPUTED_VALUE"""),"獎狀")</f>
        <v>獎狀</v>
      </c>
      <c r="H2427" s="8"/>
    </row>
    <row r="2428">
      <c r="A2428" s="18"/>
      <c r="B2428" s="14">
        <f>IFERROR(__xludf.DUMMYFUNCTION("""COMPUTED_VALUE"""),261526.0)</f>
        <v>261526</v>
      </c>
      <c r="C2428" s="14" t="str">
        <f>IFERROR(__xludf.DUMMYFUNCTION("""COMPUTED_VALUE"""),"鄭耀章")</f>
        <v>鄭耀章</v>
      </c>
      <c r="D2428" s="16" t="str">
        <f>IFERROR(__xludf.DUMMYFUNCTION("""COMPUTED_VALUE"""),"tc.*****0385@mail.edu.tw")</f>
        <v>tc.*****0385@mail.edu.tw</v>
      </c>
      <c r="E2428" s="17" t="str">
        <f>IFERROR(__xludf.DUMMYFUNCTION("""COMPUTED_VALUE"""),"臺中市梧棲區中正國民小學")</f>
        <v>臺中市梧棲區中正國民小學</v>
      </c>
      <c r="F2428" s="14" t="str">
        <f>IFERROR(__xludf.DUMMYFUNCTION("""COMPUTED_VALUE"""),"六年級")</f>
        <v>六年級</v>
      </c>
      <c r="G2428" s="14" t="str">
        <f>IFERROR(__xludf.DUMMYFUNCTION("""COMPUTED_VALUE"""),"獎狀")</f>
        <v>獎狀</v>
      </c>
      <c r="H2428" s="8"/>
    </row>
    <row r="2429">
      <c r="A2429" s="18"/>
      <c r="B2429" s="14">
        <f>IFERROR(__xludf.DUMMYFUNCTION("""COMPUTED_VALUE"""),260215.0)</f>
        <v>260215</v>
      </c>
      <c r="C2429" s="14" t="str">
        <f>IFERROR(__xludf.DUMMYFUNCTION("""COMPUTED_VALUE"""),"劉子溦")</f>
        <v>劉子溦</v>
      </c>
      <c r="D2429" s="16" t="str">
        <f>IFERROR(__xludf.DUMMYFUNCTION("""COMPUTED_VALUE"""),"tc.*****0781@mail.edu.tw")</f>
        <v>tc.*****0781@mail.edu.tw</v>
      </c>
      <c r="E2429" s="17" t="str">
        <f>IFERROR(__xludf.DUMMYFUNCTION("""COMPUTED_VALUE"""),"臺中市梧棲區中正國民小學")</f>
        <v>臺中市梧棲區中正國民小學</v>
      </c>
      <c r="F2429" s="14" t="str">
        <f>IFERROR(__xludf.DUMMYFUNCTION("""COMPUTED_VALUE"""),"六年級")</f>
        <v>六年級</v>
      </c>
      <c r="G2429" s="14" t="str">
        <f>IFERROR(__xludf.DUMMYFUNCTION("""COMPUTED_VALUE"""),"●小禮物")</f>
        <v>●小禮物</v>
      </c>
      <c r="H2429" s="8"/>
    </row>
    <row r="2430">
      <c r="A2430" s="18"/>
      <c r="B2430" s="14">
        <f>IFERROR(__xludf.DUMMYFUNCTION("""COMPUTED_VALUE"""),260893.0)</f>
        <v>260893</v>
      </c>
      <c r="C2430" s="14" t="str">
        <f>IFERROR(__xludf.DUMMYFUNCTION("""COMPUTED_VALUE"""),"陳菁縈")</f>
        <v>陳菁縈</v>
      </c>
      <c r="D2430" s="16" t="str">
        <f>IFERROR(__xludf.DUMMYFUNCTION("""COMPUTED_VALUE"""),"tc.*****0569@mail.edu.tw")</f>
        <v>tc.*****0569@mail.edu.tw</v>
      </c>
      <c r="E2430" s="17" t="str">
        <f>IFERROR(__xludf.DUMMYFUNCTION("""COMPUTED_VALUE"""),"臺中市梧棲區中正國民小學")</f>
        <v>臺中市梧棲區中正國民小學</v>
      </c>
      <c r="F2430" s="14" t="str">
        <f>IFERROR(__xludf.DUMMYFUNCTION("""COMPUTED_VALUE"""),"六年級")</f>
        <v>六年級</v>
      </c>
      <c r="G2430" s="14" t="str">
        <f>IFERROR(__xludf.DUMMYFUNCTION("""COMPUTED_VALUE"""),"獎狀")</f>
        <v>獎狀</v>
      </c>
      <c r="H2430" s="8"/>
    </row>
    <row r="2431">
      <c r="A2431" s="18"/>
      <c r="B2431" s="14">
        <f>IFERROR(__xludf.DUMMYFUNCTION("""COMPUTED_VALUE"""),260533.0)</f>
        <v>260533</v>
      </c>
      <c r="C2431" s="14" t="str">
        <f>IFERROR(__xludf.DUMMYFUNCTION("""COMPUTED_VALUE"""),"蕭士魁")</f>
        <v>蕭士魁</v>
      </c>
      <c r="D2431" s="16" t="str">
        <f>IFERROR(__xludf.DUMMYFUNCTION("""COMPUTED_VALUE"""),"tc.*****0222@mail.edu.tw")</f>
        <v>tc.*****0222@mail.edu.tw</v>
      </c>
      <c r="E2431" s="17" t="str">
        <f>IFERROR(__xludf.DUMMYFUNCTION("""COMPUTED_VALUE"""),"臺中市梧棲區中正國民小學")</f>
        <v>臺中市梧棲區中正國民小學</v>
      </c>
      <c r="F2431" s="14" t="str">
        <f>IFERROR(__xludf.DUMMYFUNCTION("""COMPUTED_VALUE"""),"六年級")</f>
        <v>六年級</v>
      </c>
      <c r="G2431" s="14" t="str">
        <f>IFERROR(__xludf.DUMMYFUNCTION("""COMPUTED_VALUE"""),"●小禮物")</f>
        <v>●小禮物</v>
      </c>
      <c r="H2431" s="8"/>
    </row>
    <row r="2432">
      <c r="A2432" s="18"/>
      <c r="B2432" s="14">
        <f>IFERROR(__xludf.DUMMYFUNCTION("""COMPUTED_VALUE"""),260579.0)</f>
        <v>260579</v>
      </c>
      <c r="C2432" s="14" t="str">
        <f>IFERROR(__xludf.DUMMYFUNCTION("""COMPUTED_VALUE"""),"王宥涵")</f>
        <v>王宥涵</v>
      </c>
      <c r="D2432" s="16" t="str">
        <f>IFERROR(__xludf.DUMMYFUNCTION("""COMPUTED_VALUE"""),"tc.*****1290@mail.edu.tw")</f>
        <v>tc.*****1290@mail.edu.tw</v>
      </c>
      <c r="E2432" s="17" t="str">
        <f>IFERROR(__xludf.DUMMYFUNCTION("""COMPUTED_VALUE"""),"臺中市梧棲區中正國民小學")</f>
        <v>臺中市梧棲區中正國民小學</v>
      </c>
      <c r="F2432" s="14" t="str">
        <f>IFERROR(__xludf.DUMMYFUNCTION("""COMPUTED_VALUE"""),"六年級")</f>
        <v>六年級</v>
      </c>
      <c r="G2432" s="14" t="str">
        <f>IFERROR(__xludf.DUMMYFUNCTION("""COMPUTED_VALUE"""),"獎狀")</f>
        <v>獎狀</v>
      </c>
      <c r="H2432" s="8"/>
    </row>
    <row r="2433">
      <c r="A2433" s="18"/>
      <c r="B2433" s="14">
        <f>IFERROR(__xludf.DUMMYFUNCTION("""COMPUTED_VALUE"""),261541.0)</f>
        <v>261541</v>
      </c>
      <c r="C2433" s="14" t="str">
        <f>IFERROR(__xludf.DUMMYFUNCTION("""COMPUTED_VALUE"""),"林以晴")</f>
        <v>林以晴</v>
      </c>
      <c r="D2433" s="16" t="str">
        <f>IFERROR(__xludf.DUMMYFUNCTION("""COMPUTED_VALUE"""),"tc.*****0353@mail.edu.tw")</f>
        <v>tc.*****0353@mail.edu.tw</v>
      </c>
      <c r="E2433" s="17" t="str">
        <f>IFERROR(__xludf.DUMMYFUNCTION("""COMPUTED_VALUE"""),"臺中市梧棲區中正國民小學")</f>
        <v>臺中市梧棲區中正國民小學</v>
      </c>
      <c r="F2433" s="14" t="str">
        <f>IFERROR(__xludf.DUMMYFUNCTION("""COMPUTED_VALUE"""),"六年級")</f>
        <v>六年級</v>
      </c>
      <c r="G2433" s="14" t="str">
        <f>IFERROR(__xludf.DUMMYFUNCTION("""COMPUTED_VALUE"""),"獎狀")</f>
        <v>獎狀</v>
      </c>
      <c r="H2433" s="8"/>
    </row>
    <row r="2434">
      <c r="A2434" s="18"/>
      <c r="B2434" s="14">
        <f>IFERROR(__xludf.DUMMYFUNCTION("""COMPUTED_VALUE"""),260216.0)</f>
        <v>260216</v>
      </c>
      <c r="C2434" s="14" t="str">
        <f>IFERROR(__xludf.DUMMYFUNCTION("""COMPUTED_VALUE"""),"楊宜蓁")</f>
        <v>楊宜蓁</v>
      </c>
      <c r="D2434" s="16" t="str">
        <f>IFERROR(__xludf.DUMMYFUNCTION("""COMPUTED_VALUE"""),"tc.*****1363@mail.edu.tw")</f>
        <v>tc.*****1363@mail.edu.tw</v>
      </c>
      <c r="E2434" s="17" t="str">
        <f>IFERROR(__xludf.DUMMYFUNCTION("""COMPUTED_VALUE"""),"臺中市梧棲區中正國民小學")</f>
        <v>臺中市梧棲區中正國民小學</v>
      </c>
      <c r="F2434" s="14" t="str">
        <f>IFERROR(__xludf.DUMMYFUNCTION("""COMPUTED_VALUE"""),"六年級")</f>
        <v>六年級</v>
      </c>
      <c r="G2434" s="14" t="str">
        <f>IFERROR(__xludf.DUMMYFUNCTION("""COMPUTED_VALUE"""),"●小禮物")</f>
        <v>●小禮物</v>
      </c>
      <c r="H2434" s="8"/>
    </row>
    <row r="2435">
      <c r="A2435" s="18"/>
      <c r="B2435" s="14">
        <f>IFERROR(__xludf.DUMMYFUNCTION("""COMPUTED_VALUE"""),260903.0)</f>
        <v>260903</v>
      </c>
      <c r="C2435" s="14" t="str">
        <f>IFERROR(__xludf.DUMMYFUNCTION("""COMPUTED_VALUE"""),"帥蓓臻")</f>
        <v>帥蓓臻</v>
      </c>
      <c r="D2435" s="16" t="str">
        <f>IFERROR(__xludf.DUMMYFUNCTION("""COMPUTED_VALUE"""),"tc.*****0530@mail.edu.tw")</f>
        <v>tc.*****0530@mail.edu.tw</v>
      </c>
      <c r="E2435" s="17" t="str">
        <f>IFERROR(__xludf.DUMMYFUNCTION("""COMPUTED_VALUE"""),"臺中市梧棲區中正國民小學")</f>
        <v>臺中市梧棲區中正國民小學</v>
      </c>
      <c r="F2435" s="14" t="str">
        <f>IFERROR(__xludf.DUMMYFUNCTION("""COMPUTED_VALUE"""),"六年級")</f>
        <v>六年級</v>
      </c>
      <c r="G2435" s="14" t="str">
        <f>IFERROR(__xludf.DUMMYFUNCTION("""COMPUTED_VALUE"""),"●小禮物")</f>
        <v>●小禮物</v>
      </c>
      <c r="H2435" s="8"/>
    </row>
    <row r="2436">
      <c r="A2436" s="18"/>
      <c r="B2436" s="14">
        <f>IFERROR(__xludf.DUMMYFUNCTION("""COMPUTED_VALUE"""),260788.0)</f>
        <v>260788</v>
      </c>
      <c r="C2436" s="14" t="str">
        <f>IFERROR(__xludf.DUMMYFUNCTION("""COMPUTED_VALUE"""),"李佳蔓")</f>
        <v>李佳蔓</v>
      </c>
      <c r="D2436" s="16" t="str">
        <f>IFERROR(__xludf.DUMMYFUNCTION("""COMPUTED_VALUE"""),"tc.*****0385@mail.edu.tw")</f>
        <v>tc.*****0385@mail.edu.tw</v>
      </c>
      <c r="E2436" s="17" t="str">
        <f>IFERROR(__xludf.DUMMYFUNCTION("""COMPUTED_VALUE"""),"臺中市梧棲區中正國民小學")</f>
        <v>臺中市梧棲區中正國民小學</v>
      </c>
      <c r="F2436" s="14" t="str">
        <f>IFERROR(__xludf.DUMMYFUNCTION("""COMPUTED_VALUE"""),"六年級")</f>
        <v>六年級</v>
      </c>
      <c r="G2436" s="14" t="str">
        <f>IFERROR(__xludf.DUMMYFUNCTION("""COMPUTED_VALUE"""),"●小禮物")</f>
        <v>●小禮物</v>
      </c>
      <c r="H2436" s="8"/>
    </row>
    <row r="2437">
      <c r="A2437" s="18"/>
      <c r="B2437" s="14">
        <f>IFERROR(__xludf.DUMMYFUNCTION("""COMPUTED_VALUE"""),261548.0)</f>
        <v>261548</v>
      </c>
      <c r="C2437" s="14" t="str">
        <f>IFERROR(__xludf.DUMMYFUNCTION("""COMPUTED_VALUE"""),"洪郁婷")</f>
        <v>洪郁婷</v>
      </c>
      <c r="D2437" s="16" t="str">
        <f>IFERROR(__xludf.DUMMYFUNCTION("""COMPUTED_VALUE"""),"tc.*****1093@mail.edu.tw")</f>
        <v>tc.*****1093@mail.edu.tw</v>
      </c>
      <c r="E2437" s="17" t="str">
        <f>IFERROR(__xludf.DUMMYFUNCTION("""COMPUTED_VALUE"""),"臺中市梧棲區中正國民小學")</f>
        <v>臺中市梧棲區中正國民小學</v>
      </c>
      <c r="F2437" s="14" t="str">
        <f>IFERROR(__xludf.DUMMYFUNCTION("""COMPUTED_VALUE"""),"六年級")</f>
        <v>六年級</v>
      </c>
      <c r="G2437" s="14" t="str">
        <f>IFERROR(__xludf.DUMMYFUNCTION("""COMPUTED_VALUE"""),"獎狀")</f>
        <v>獎狀</v>
      </c>
      <c r="H2437" s="8"/>
    </row>
    <row r="2438">
      <c r="A2438" s="18"/>
      <c r="B2438" s="14">
        <f>IFERROR(__xludf.DUMMYFUNCTION("""COMPUTED_VALUE"""),1003591.0)</f>
        <v>1003591</v>
      </c>
      <c r="C2438" s="14" t="str">
        <f>IFERROR(__xludf.DUMMYFUNCTION("""COMPUTED_VALUE"""),"王苡瑄")</f>
        <v>王苡瑄</v>
      </c>
      <c r="D2438" s="16" t="str">
        <f>IFERROR(__xludf.DUMMYFUNCTION("""COMPUTED_VALUE"""),"923*****t.tc.edu.tw")</f>
        <v>923*****t.tc.edu.tw</v>
      </c>
      <c r="E2438" s="17" t="str">
        <f>IFERROR(__xludf.DUMMYFUNCTION("""COMPUTED_VALUE"""),"臺中市清水區東山國民小學")</f>
        <v>臺中市清水區東山國民小學</v>
      </c>
      <c r="F2438" s="14" t="str">
        <f>IFERROR(__xludf.DUMMYFUNCTION("""COMPUTED_VALUE"""),"四年級")</f>
        <v>四年級</v>
      </c>
      <c r="G2438" s="14" t="str">
        <f>IFERROR(__xludf.DUMMYFUNCTION("""COMPUTED_VALUE"""),"獎狀")</f>
        <v>獎狀</v>
      </c>
      <c r="H2438" s="8"/>
    </row>
    <row r="2439">
      <c r="A2439" s="18"/>
      <c r="B2439" s="14">
        <f>IFERROR(__xludf.DUMMYFUNCTION("""COMPUTED_VALUE"""),1003587.0)</f>
        <v>1003587</v>
      </c>
      <c r="C2439" s="14" t="str">
        <f>IFERROR(__xludf.DUMMYFUNCTION("""COMPUTED_VALUE"""),"古沛永")</f>
        <v>古沛永</v>
      </c>
      <c r="D2439" s="16" t="str">
        <f>IFERROR(__xludf.DUMMYFUNCTION("""COMPUTED_VALUE"""),"923*****t.tc.edu.tw")</f>
        <v>923*****t.tc.edu.tw</v>
      </c>
      <c r="E2439" s="17" t="str">
        <f>IFERROR(__xludf.DUMMYFUNCTION("""COMPUTED_VALUE"""),"臺中市清水區東山國民小學")</f>
        <v>臺中市清水區東山國民小學</v>
      </c>
      <c r="F2439" s="14" t="str">
        <f>IFERROR(__xludf.DUMMYFUNCTION("""COMPUTED_VALUE"""),"四年級")</f>
        <v>四年級</v>
      </c>
      <c r="G2439" s="14" t="str">
        <f>IFERROR(__xludf.DUMMYFUNCTION("""COMPUTED_VALUE"""),"●小禮物")</f>
        <v>●小禮物</v>
      </c>
      <c r="H2439" s="8"/>
    </row>
    <row r="2440">
      <c r="A2440" s="18"/>
      <c r="B2440" s="14">
        <f>IFERROR(__xludf.DUMMYFUNCTION("""COMPUTED_VALUE"""),1003624.0)</f>
        <v>1003624</v>
      </c>
      <c r="C2440" s="14" t="str">
        <f>IFERROR(__xludf.DUMMYFUNCTION("""COMPUTED_VALUE"""),"呂庭儀")</f>
        <v>呂庭儀</v>
      </c>
      <c r="D2440" s="16" t="str">
        <f>IFERROR(__xludf.DUMMYFUNCTION("""COMPUTED_VALUE"""),"923*****t.tc.edu.tw")</f>
        <v>923*****t.tc.edu.tw</v>
      </c>
      <c r="E2440" s="17" t="str">
        <f>IFERROR(__xludf.DUMMYFUNCTION("""COMPUTED_VALUE"""),"臺中市清水區東山國民小學")</f>
        <v>臺中市清水區東山國民小學</v>
      </c>
      <c r="F2440" s="14" t="str">
        <f>IFERROR(__xludf.DUMMYFUNCTION("""COMPUTED_VALUE"""),"四年級")</f>
        <v>四年級</v>
      </c>
      <c r="G2440" s="14" t="str">
        <f>IFERROR(__xludf.DUMMYFUNCTION("""COMPUTED_VALUE"""),"●小禮物")</f>
        <v>●小禮物</v>
      </c>
      <c r="H2440" s="8"/>
    </row>
    <row r="2441">
      <c r="A2441" s="18"/>
      <c r="B2441" s="14">
        <f>IFERROR(__xludf.DUMMYFUNCTION("""COMPUTED_VALUE"""),1003589.0)</f>
        <v>1003589</v>
      </c>
      <c r="C2441" s="14" t="str">
        <f>IFERROR(__xludf.DUMMYFUNCTION("""COMPUTED_VALUE"""),"王宏誠")</f>
        <v>王宏誠</v>
      </c>
      <c r="D2441" s="16" t="str">
        <f>IFERROR(__xludf.DUMMYFUNCTION("""COMPUTED_VALUE"""),"923*****t.tc.edu.tw")</f>
        <v>923*****t.tc.edu.tw</v>
      </c>
      <c r="E2441" s="17" t="str">
        <f>IFERROR(__xludf.DUMMYFUNCTION("""COMPUTED_VALUE"""),"臺中市清水區東山國民小學")</f>
        <v>臺中市清水區東山國民小學</v>
      </c>
      <c r="F2441" s="14" t="str">
        <f>IFERROR(__xludf.DUMMYFUNCTION("""COMPUTED_VALUE"""),"四年級")</f>
        <v>四年級</v>
      </c>
      <c r="G2441" s="14" t="str">
        <f>IFERROR(__xludf.DUMMYFUNCTION("""COMPUTED_VALUE"""),"獎狀")</f>
        <v>獎狀</v>
      </c>
      <c r="H2441" s="8"/>
    </row>
    <row r="2442">
      <c r="A2442" s="18"/>
      <c r="B2442" s="14">
        <f>IFERROR(__xludf.DUMMYFUNCTION("""COMPUTED_VALUE"""),1003617.0)</f>
        <v>1003617</v>
      </c>
      <c r="C2442" s="14" t="str">
        <f>IFERROR(__xludf.DUMMYFUNCTION("""COMPUTED_VALUE"""),"王培軒")</f>
        <v>王培軒</v>
      </c>
      <c r="D2442" s="16" t="str">
        <f>IFERROR(__xludf.DUMMYFUNCTION("""COMPUTED_VALUE"""),"923*****t.tc.edu.tw")</f>
        <v>923*****t.tc.edu.tw</v>
      </c>
      <c r="E2442" s="17" t="str">
        <f>IFERROR(__xludf.DUMMYFUNCTION("""COMPUTED_VALUE"""),"臺中市清水區東山國民小學")</f>
        <v>臺中市清水區東山國民小學</v>
      </c>
      <c r="F2442" s="14" t="str">
        <f>IFERROR(__xludf.DUMMYFUNCTION("""COMPUTED_VALUE"""),"四年級")</f>
        <v>四年級</v>
      </c>
      <c r="G2442" s="14" t="str">
        <f>IFERROR(__xludf.DUMMYFUNCTION("""COMPUTED_VALUE"""),"獎狀")</f>
        <v>獎狀</v>
      </c>
      <c r="H2442" s="8"/>
    </row>
    <row r="2443">
      <c r="A2443" s="18"/>
      <c r="B2443" s="14">
        <f>IFERROR(__xludf.DUMMYFUNCTION("""COMPUTED_VALUE"""),839175.0)</f>
        <v>839175</v>
      </c>
      <c r="C2443" s="14" t="str">
        <f>IFERROR(__xludf.DUMMYFUNCTION("""COMPUTED_VALUE"""),"陳彥廷")</f>
        <v>陳彥廷</v>
      </c>
      <c r="D2443" s="16" t="str">
        <f>IFERROR(__xludf.DUMMYFUNCTION("""COMPUTED_VALUE"""),"848*****t.tc.edu.tw")</f>
        <v>848*****t.tc.edu.tw</v>
      </c>
      <c r="E2443" s="17" t="str">
        <f>IFERROR(__xludf.DUMMYFUNCTION("""COMPUTED_VALUE"""),"臺中市清水區東山國民小學")</f>
        <v>臺中市清水區東山國民小學</v>
      </c>
      <c r="F2443" s="14" t="str">
        <f>IFERROR(__xludf.DUMMYFUNCTION("""COMPUTED_VALUE"""),"五年級")</f>
        <v>五年級</v>
      </c>
      <c r="G2443" s="14" t="str">
        <f>IFERROR(__xludf.DUMMYFUNCTION("""COMPUTED_VALUE"""),"●小禮物")</f>
        <v>●小禮物</v>
      </c>
      <c r="H2443" s="8"/>
    </row>
    <row r="2444">
      <c r="A2444" s="18"/>
      <c r="B2444" s="14">
        <f>IFERROR(__xludf.DUMMYFUNCTION("""COMPUTED_VALUE"""),969000.0)</f>
        <v>969000</v>
      </c>
      <c r="C2444" s="14" t="str">
        <f>IFERROR(__xludf.DUMMYFUNCTION("""COMPUTED_VALUE"""),"王柏鈞")</f>
        <v>王柏鈞</v>
      </c>
      <c r="D2444" s="16" t="str">
        <f>IFERROR(__xludf.DUMMYFUNCTION("""COMPUTED_VALUE"""),"848*****t.tc.edu.tw")</f>
        <v>848*****t.tc.edu.tw</v>
      </c>
      <c r="E2444" s="17" t="str">
        <f>IFERROR(__xludf.DUMMYFUNCTION("""COMPUTED_VALUE"""),"臺中市清水區東山國民小學")</f>
        <v>臺中市清水區東山國民小學</v>
      </c>
      <c r="F2444" s="14" t="str">
        <f>IFERROR(__xludf.DUMMYFUNCTION("""COMPUTED_VALUE"""),"五年級")</f>
        <v>五年級</v>
      </c>
      <c r="G2444" s="14" t="str">
        <f>IFERROR(__xludf.DUMMYFUNCTION("""COMPUTED_VALUE"""),"獎狀")</f>
        <v>獎狀</v>
      </c>
      <c r="H2444" s="8"/>
    </row>
    <row r="2445">
      <c r="A2445" s="18"/>
      <c r="B2445" s="14">
        <f>IFERROR(__xludf.DUMMYFUNCTION("""COMPUTED_VALUE"""),837677.0)</f>
        <v>837677</v>
      </c>
      <c r="C2445" s="14" t="str">
        <f>IFERROR(__xludf.DUMMYFUNCTION("""COMPUTED_VALUE"""),"陳玥竹")</f>
        <v>陳玥竹</v>
      </c>
      <c r="D2445" s="16" t="str">
        <f>IFERROR(__xludf.DUMMYFUNCTION("""COMPUTED_VALUE"""),"848*****t.tc.edu.tw")</f>
        <v>848*****t.tc.edu.tw</v>
      </c>
      <c r="E2445" s="17" t="str">
        <f>IFERROR(__xludf.DUMMYFUNCTION("""COMPUTED_VALUE"""),"臺中市清水區東山國民小學")</f>
        <v>臺中市清水區東山國民小學</v>
      </c>
      <c r="F2445" s="14" t="str">
        <f>IFERROR(__xludf.DUMMYFUNCTION("""COMPUTED_VALUE"""),"五年級")</f>
        <v>五年級</v>
      </c>
      <c r="G2445" s="14" t="str">
        <f>IFERROR(__xludf.DUMMYFUNCTION("""COMPUTED_VALUE"""),"獎狀")</f>
        <v>獎狀</v>
      </c>
      <c r="H2445" s="8"/>
    </row>
    <row r="2446">
      <c r="A2446" s="18"/>
      <c r="B2446" s="14">
        <f>IFERROR(__xludf.DUMMYFUNCTION("""COMPUTED_VALUE"""),968799.0)</f>
        <v>968799</v>
      </c>
      <c r="C2446" s="14" t="str">
        <f>IFERROR(__xludf.DUMMYFUNCTION("""COMPUTED_VALUE"""),"古尹芯")</f>
        <v>古尹芯</v>
      </c>
      <c r="D2446" s="16" t="str">
        <f>IFERROR(__xludf.DUMMYFUNCTION("""COMPUTED_VALUE"""),"848*****t.tc.edu.tw")</f>
        <v>848*****t.tc.edu.tw</v>
      </c>
      <c r="E2446" s="17" t="str">
        <f>IFERROR(__xludf.DUMMYFUNCTION("""COMPUTED_VALUE"""),"臺中市清水區東山國民小學")</f>
        <v>臺中市清水區東山國民小學</v>
      </c>
      <c r="F2446" s="14" t="str">
        <f>IFERROR(__xludf.DUMMYFUNCTION("""COMPUTED_VALUE"""),"五年級")</f>
        <v>五年級</v>
      </c>
      <c r="G2446" s="14" t="str">
        <f>IFERROR(__xludf.DUMMYFUNCTION("""COMPUTED_VALUE"""),"●小禮物")</f>
        <v>●小禮物</v>
      </c>
      <c r="H2446" s="8"/>
    </row>
    <row r="2447">
      <c r="A2447" s="18"/>
      <c r="B2447" s="14">
        <f>IFERROR(__xludf.DUMMYFUNCTION("""COMPUTED_VALUE"""),1195702.0)</f>
        <v>1195702</v>
      </c>
      <c r="C2447" s="14" t="str">
        <f>IFERROR(__xludf.DUMMYFUNCTION("""COMPUTED_VALUE"""),"曾祺翔")</f>
        <v>曾祺翔</v>
      </c>
      <c r="D2447" s="16" t="str">
        <f>IFERROR(__xludf.DUMMYFUNCTION("""COMPUTED_VALUE"""),"717*****t.tc.edu.tw")</f>
        <v>717*****t.tc.edu.tw</v>
      </c>
      <c r="E2447" s="17" t="str">
        <f>IFERROR(__xludf.DUMMYFUNCTION("""COMPUTED_VALUE"""),"臺中市清水區東山國民小學")</f>
        <v>臺中市清水區東山國民小學</v>
      </c>
      <c r="F2447" s="14" t="str">
        <f>IFERROR(__xludf.DUMMYFUNCTION("""COMPUTED_VALUE"""),"五年級")</f>
        <v>五年級</v>
      </c>
      <c r="G2447" s="14" t="str">
        <f>IFERROR(__xludf.DUMMYFUNCTION("""COMPUTED_VALUE"""),"●小禮物")</f>
        <v>●小禮物</v>
      </c>
      <c r="H2447" s="8"/>
    </row>
    <row r="2448">
      <c r="A2448" s="18"/>
      <c r="B2448" s="14">
        <f>IFERROR(__xludf.DUMMYFUNCTION("""COMPUTED_VALUE"""),968800.0)</f>
        <v>968800</v>
      </c>
      <c r="C2448" s="14" t="str">
        <f>IFERROR(__xludf.DUMMYFUNCTION("""COMPUTED_VALUE"""),"詹艾瓴")</f>
        <v>詹艾瓴</v>
      </c>
      <c r="D2448" s="16" t="str">
        <f>IFERROR(__xludf.DUMMYFUNCTION("""COMPUTED_VALUE"""),"848*****t.tc.edu.tw")</f>
        <v>848*****t.tc.edu.tw</v>
      </c>
      <c r="E2448" s="17" t="str">
        <f>IFERROR(__xludf.DUMMYFUNCTION("""COMPUTED_VALUE"""),"臺中市清水區東山國民小學")</f>
        <v>臺中市清水區東山國民小學</v>
      </c>
      <c r="F2448" s="14" t="str">
        <f>IFERROR(__xludf.DUMMYFUNCTION("""COMPUTED_VALUE"""),"五年級")</f>
        <v>五年級</v>
      </c>
      <c r="G2448" s="14" t="str">
        <f>IFERROR(__xludf.DUMMYFUNCTION("""COMPUTED_VALUE"""),"●小禮物")</f>
        <v>●小禮物</v>
      </c>
      <c r="H2448" s="8"/>
    </row>
    <row r="2449">
      <c r="A2449" s="18"/>
      <c r="B2449" s="14">
        <f>IFERROR(__xludf.DUMMYFUNCTION("""COMPUTED_VALUE"""),837329.0)</f>
        <v>837329</v>
      </c>
      <c r="C2449" s="14" t="str">
        <f>IFERROR(__xludf.DUMMYFUNCTION("""COMPUTED_VALUE"""),"蔡雨辰")</f>
        <v>蔡雨辰</v>
      </c>
      <c r="D2449" s="16" t="str">
        <f>IFERROR(__xludf.DUMMYFUNCTION("""COMPUTED_VALUE"""),"848*****t.tc.edu.tw")</f>
        <v>848*****t.tc.edu.tw</v>
      </c>
      <c r="E2449" s="17" t="str">
        <f>IFERROR(__xludf.DUMMYFUNCTION("""COMPUTED_VALUE"""),"臺中市清水區東山國民小學")</f>
        <v>臺中市清水區東山國民小學</v>
      </c>
      <c r="F2449" s="14" t="str">
        <f>IFERROR(__xludf.DUMMYFUNCTION("""COMPUTED_VALUE"""),"五年級")</f>
        <v>五年級</v>
      </c>
      <c r="G2449" s="14" t="str">
        <f>IFERROR(__xludf.DUMMYFUNCTION("""COMPUTED_VALUE"""),"●小禮物")</f>
        <v>●小禮物</v>
      </c>
      <c r="H2449" s="8"/>
    </row>
    <row r="2450">
      <c r="A2450" s="18"/>
      <c r="B2450" s="14">
        <f>IFERROR(__xludf.DUMMYFUNCTION("""COMPUTED_VALUE"""),837787.0)</f>
        <v>837787</v>
      </c>
      <c r="C2450" s="14" t="str">
        <f>IFERROR(__xludf.DUMMYFUNCTION("""COMPUTED_VALUE"""),"吳沛昀")</f>
        <v>吳沛昀</v>
      </c>
      <c r="D2450" s="16" t="str">
        <f>IFERROR(__xludf.DUMMYFUNCTION("""COMPUTED_VALUE"""),"848*****t.tc.edu.tw")</f>
        <v>848*****t.tc.edu.tw</v>
      </c>
      <c r="E2450" s="17" t="str">
        <f>IFERROR(__xludf.DUMMYFUNCTION("""COMPUTED_VALUE"""),"臺中市清水區東山國民小學")</f>
        <v>臺中市清水區東山國民小學</v>
      </c>
      <c r="F2450" s="14" t="str">
        <f>IFERROR(__xludf.DUMMYFUNCTION("""COMPUTED_VALUE"""),"五年級")</f>
        <v>五年級</v>
      </c>
      <c r="G2450" s="14" t="str">
        <f>IFERROR(__xludf.DUMMYFUNCTION("""COMPUTED_VALUE"""),"獎狀")</f>
        <v>獎狀</v>
      </c>
      <c r="H2450" s="8"/>
    </row>
    <row r="2451">
      <c r="A2451" s="18"/>
      <c r="B2451" s="14">
        <f>IFERROR(__xludf.DUMMYFUNCTION("""COMPUTED_VALUE"""),837875.0)</f>
        <v>837875</v>
      </c>
      <c r="C2451" s="14" t="str">
        <f>IFERROR(__xludf.DUMMYFUNCTION("""COMPUTED_VALUE"""),"林雨容")</f>
        <v>林雨容</v>
      </c>
      <c r="D2451" s="16" t="str">
        <f>IFERROR(__xludf.DUMMYFUNCTION("""COMPUTED_VALUE"""),"848*****t.tc.edu.tw")</f>
        <v>848*****t.tc.edu.tw</v>
      </c>
      <c r="E2451" s="17" t="str">
        <f>IFERROR(__xludf.DUMMYFUNCTION("""COMPUTED_VALUE"""),"臺中市清水區東山國民小學")</f>
        <v>臺中市清水區東山國民小學</v>
      </c>
      <c r="F2451" s="14" t="str">
        <f>IFERROR(__xludf.DUMMYFUNCTION("""COMPUTED_VALUE"""),"五年級")</f>
        <v>五年級</v>
      </c>
      <c r="G2451" s="14" t="str">
        <f>IFERROR(__xludf.DUMMYFUNCTION("""COMPUTED_VALUE"""),"獎狀")</f>
        <v>獎狀</v>
      </c>
      <c r="H2451" s="8"/>
    </row>
    <row r="2452">
      <c r="A2452" s="18"/>
      <c r="B2452" s="14">
        <f>IFERROR(__xludf.DUMMYFUNCTION("""COMPUTED_VALUE"""),837748.0)</f>
        <v>837748</v>
      </c>
      <c r="C2452" s="14" t="str">
        <f>IFERROR(__xludf.DUMMYFUNCTION("""COMPUTED_VALUE"""),"黃品媗")</f>
        <v>黃品媗</v>
      </c>
      <c r="D2452" s="16" t="str">
        <f>IFERROR(__xludf.DUMMYFUNCTION("""COMPUTED_VALUE"""),"848*****t.tc.edu.tw")</f>
        <v>848*****t.tc.edu.tw</v>
      </c>
      <c r="E2452" s="17" t="str">
        <f>IFERROR(__xludf.DUMMYFUNCTION("""COMPUTED_VALUE"""),"臺中市清水區東山國民小學")</f>
        <v>臺中市清水區東山國民小學</v>
      </c>
      <c r="F2452" s="14" t="str">
        <f>IFERROR(__xludf.DUMMYFUNCTION("""COMPUTED_VALUE"""),"五年級")</f>
        <v>五年級</v>
      </c>
      <c r="G2452" s="14" t="str">
        <f>IFERROR(__xludf.DUMMYFUNCTION("""COMPUTED_VALUE"""),"獎狀")</f>
        <v>獎狀</v>
      </c>
      <c r="H2452" s="8"/>
    </row>
    <row r="2453">
      <c r="A2453" s="18"/>
      <c r="B2453" s="14">
        <f>IFERROR(__xludf.DUMMYFUNCTION("""COMPUTED_VALUE"""),466755.0)</f>
        <v>466755</v>
      </c>
      <c r="C2453" s="14" t="str">
        <f>IFERROR(__xludf.DUMMYFUNCTION("""COMPUTED_VALUE"""),"王嘉緯")</f>
        <v>王嘉緯</v>
      </c>
      <c r="D2453" s="16" t="str">
        <f>IFERROR(__xludf.DUMMYFUNCTION("""COMPUTED_VALUE"""),"tc.*****2228@mail.edu.tw")</f>
        <v>tc.*****2228@mail.edu.tw</v>
      </c>
      <c r="E2453" s="17" t="str">
        <f>IFERROR(__xludf.DUMMYFUNCTION("""COMPUTED_VALUE"""),"臺中市清水區東山國民小學")</f>
        <v>臺中市清水區東山國民小學</v>
      </c>
      <c r="F2453" s="14" t="str">
        <f>IFERROR(__xludf.DUMMYFUNCTION("""COMPUTED_VALUE"""),"六年級")</f>
        <v>六年級</v>
      </c>
      <c r="G2453" s="14" t="str">
        <f>IFERROR(__xludf.DUMMYFUNCTION("""COMPUTED_VALUE"""),"●小禮物")</f>
        <v>●小禮物</v>
      </c>
      <c r="H2453" s="8"/>
    </row>
    <row r="2454">
      <c r="A2454" s="18"/>
      <c r="B2454" s="14">
        <f>IFERROR(__xludf.DUMMYFUNCTION("""COMPUTED_VALUE"""),762949.0)</f>
        <v>762949</v>
      </c>
      <c r="C2454" s="14" t="str">
        <f>IFERROR(__xludf.DUMMYFUNCTION("""COMPUTED_VALUE"""),"高妤潔")</f>
        <v>高妤潔</v>
      </c>
      <c r="D2454" s="16" t="str">
        <f>IFERROR(__xludf.DUMMYFUNCTION("""COMPUTED_VALUE"""),"tnt*****tn@mail.edu.tw")</f>
        <v>tnt*****tn@mail.edu.tw</v>
      </c>
      <c r="E2454" s="17" t="str">
        <f>IFERROR(__xludf.DUMMYFUNCTION("""COMPUTED_VALUE"""),"臺中市清水區東山國民小學")</f>
        <v>臺中市清水區東山國民小學</v>
      </c>
      <c r="F2454" s="14" t="str">
        <f>IFERROR(__xludf.DUMMYFUNCTION("""COMPUTED_VALUE"""),"六年級")</f>
        <v>六年級</v>
      </c>
      <c r="G2454" s="14" t="str">
        <f>IFERROR(__xludf.DUMMYFUNCTION("""COMPUTED_VALUE"""),"●小禮物")</f>
        <v>●小禮物</v>
      </c>
      <c r="H2454" s="8"/>
    </row>
    <row r="2455">
      <c r="A2455" s="18"/>
      <c r="B2455" s="14">
        <f>IFERROR(__xludf.DUMMYFUNCTION("""COMPUTED_VALUE"""),1002685.0)</f>
        <v>1002685</v>
      </c>
      <c r="C2455" s="14" t="str">
        <f>IFERROR(__xludf.DUMMYFUNCTION("""COMPUTED_VALUE"""),"廖立傑")</f>
        <v>廖立傑</v>
      </c>
      <c r="D2455" s="16" t="str">
        <f>IFERROR(__xludf.DUMMYFUNCTION("""COMPUTED_VALUE"""),"st1*****mail.edu.tw")</f>
        <v>st1*****mail.edu.tw</v>
      </c>
      <c r="E2455" s="17" t="str">
        <f>IFERROR(__xludf.DUMMYFUNCTION("""COMPUTED_VALUE"""),"臺中市清水區大楊國民小學")</f>
        <v>臺中市清水區大楊國民小學</v>
      </c>
      <c r="F2455" s="14" t="str">
        <f>IFERROR(__xludf.DUMMYFUNCTION("""COMPUTED_VALUE"""),"四年級")</f>
        <v>四年級</v>
      </c>
      <c r="G2455" s="14" t="str">
        <f>IFERROR(__xludf.DUMMYFUNCTION("""COMPUTED_VALUE"""),"●小禮物")</f>
        <v>●小禮物</v>
      </c>
      <c r="H2455" s="8"/>
    </row>
    <row r="2456">
      <c r="A2456" s="18"/>
      <c r="B2456" s="14">
        <f>IFERROR(__xludf.DUMMYFUNCTION("""COMPUTED_VALUE"""),1002689.0)</f>
        <v>1002689</v>
      </c>
      <c r="C2456" s="14" t="str">
        <f>IFERROR(__xludf.DUMMYFUNCTION("""COMPUTED_VALUE"""),"蔣品良")</f>
        <v>蔣品良</v>
      </c>
      <c r="D2456" s="16" t="str">
        <f>IFERROR(__xludf.DUMMYFUNCTION("""COMPUTED_VALUE"""),"st1*****mail.edu.tw")</f>
        <v>st1*****mail.edu.tw</v>
      </c>
      <c r="E2456" s="17" t="str">
        <f>IFERROR(__xludf.DUMMYFUNCTION("""COMPUTED_VALUE"""),"臺中市清水區大楊國民小學")</f>
        <v>臺中市清水區大楊國民小學</v>
      </c>
      <c r="F2456" s="14" t="str">
        <f>IFERROR(__xludf.DUMMYFUNCTION("""COMPUTED_VALUE"""),"四年級")</f>
        <v>四年級</v>
      </c>
      <c r="G2456" s="14" t="str">
        <f>IFERROR(__xludf.DUMMYFUNCTION("""COMPUTED_VALUE"""),"●小禮物")</f>
        <v>●小禮物</v>
      </c>
      <c r="H2456" s="8"/>
    </row>
    <row r="2457">
      <c r="A2457" s="18"/>
      <c r="B2457" s="14">
        <f>IFERROR(__xludf.DUMMYFUNCTION("""COMPUTED_VALUE"""),1002697.0)</f>
        <v>1002697</v>
      </c>
      <c r="C2457" s="14" t="str">
        <f>IFERROR(__xludf.DUMMYFUNCTION("""COMPUTED_VALUE"""),"曾安呈")</f>
        <v>曾安呈</v>
      </c>
      <c r="D2457" s="16" t="str">
        <f>IFERROR(__xludf.DUMMYFUNCTION("""COMPUTED_VALUE"""),"st1*****mail.edu.tw")</f>
        <v>st1*****mail.edu.tw</v>
      </c>
      <c r="E2457" s="17" t="str">
        <f>IFERROR(__xludf.DUMMYFUNCTION("""COMPUTED_VALUE"""),"臺中市清水區大楊國民小學")</f>
        <v>臺中市清水區大楊國民小學</v>
      </c>
      <c r="F2457" s="14" t="str">
        <f>IFERROR(__xludf.DUMMYFUNCTION("""COMPUTED_VALUE"""),"四年級")</f>
        <v>四年級</v>
      </c>
      <c r="G2457" s="14" t="str">
        <f>IFERROR(__xludf.DUMMYFUNCTION("""COMPUTED_VALUE"""),"★禮券$200")</f>
        <v>★禮券$200</v>
      </c>
      <c r="H2457" s="8"/>
    </row>
    <row r="2458">
      <c r="A2458" s="18"/>
      <c r="B2458" s="14">
        <f>IFERROR(__xludf.DUMMYFUNCTION("""COMPUTED_VALUE"""),1002698.0)</f>
        <v>1002698</v>
      </c>
      <c r="C2458" s="14" t="str">
        <f>IFERROR(__xludf.DUMMYFUNCTION("""COMPUTED_VALUE"""),"林昕芷")</f>
        <v>林昕芷</v>
      </c>
      <c r="D2458" s="16" t="str">
        <f>IFERROR(__xludf.DUMMYFUNCTION("""COMPUTED_VALUE"""),"st1*****mail.edu.tw")</f>
        <v>st1*****mail.edu.tw</v>
      </c>
      <c r="E2458" s="17" t="str">
        <f>IFERROR(__xludf.DUMMYFUNCTION("""COMPUTED_VALUE"""),"臺中市清水區大楊國民小學")</f>
        <v>臺中市清水區大楊國民小學</v>
      </c>
      <c r="F2458" s="14" t="str">
        <f>IFERROR(__xludf.DUMMYFUNCTION("""COMPUTED_VALUE"""),"四年級")</f>
        <v>四年級</v>
      </c>
      <c r="G2458" s="14" t="str">
        <f>IFERROR(__xludf.DUMMYFUNCTION("""COMPUTED_VALUE"""),"獎狀")</f>
        <v>獎狀</v>
      </c>
      <c r="H2458" s="8"/>
    </row>
    <row r="2459">
      <c r="A2459" s="18"/>
      <c r="B2459" s="14">
        <f>IFERROR(__xludf.DUMMYFUNCTION("""COMPUTED_VALUE"""),1002692.0)</f>
        <v>1002692</v>
      </c>
      <c r="C2459" s="14" t="str">
        <f>IFERROR(__xludf.DUMMYFUNCTION("""COMPUTED_VALUE"""),"林宥希")</f>
        <v>林宥希</v>
      </c>
      <c r="D2459" s="16" t="str">
        <f>IFERROR(__xludf.DUMMYFUNCTION("""COMPUTED_VALUE"""),"st1*****mail.edu.tw")</f>
        <v>st1*****mail.edu.tw</v>
      </c>
      <c r="E2459" s="17" t="str">
        <f>IFERROR(__xludf.DUMMYFUNCTION("""COMPUTED_VALUE"""),"臺中市清水區大楊國民小學")</f>
        <v>臺中市清水區大楊國民小學</v>
      </c>
      <c r="F2459" s="14" t="str">
        <f>IFERROR(__xludf.DUMMYFUNCTION("""COMPUTED_VALUE"""),"四年級")</f>
        <v>四年級</v>
      </c>
      <c r="G2459" s="14" t="str">
        <f>IFERROR(__xludf.DUMMYFUNCTION("""COMPUTED_VALUE"""),"獎狀")</f>
        <v>獎狀</v>
      </c>
      <c r="H2459" s="8"/>
    </row>
    <row r="2460">
      <c r="A2460" s="18"/>
      <c r="B2460" s="14">
        <f>IFERROR(__xludf.DUMMYFUNCTION("""COMPUTED_VALUE"""),1002670.0)</f>
        <v>1002670</v>
      </c>
      <c r="C2460" s="14" t="str">
        <f>IFERROR(__xludf.DUMMYFUNCTION("""COMPUTED_VALUE"""),"曾晴安")</f>
        <v>曾晴安</v>
      </c>
      <c r="D2460" s="16" t="str">
        <f>IFERROR(__xludf.DUMMYFUNCTION("""COMPUTED_VALUE"""),"st1*****mail.edu.tw")</f>
        <v>st1*****mail.edu.tw</v>
      </c>
      <c r="E2460" s="17" t="str">
        <f>IFERROR(__xludf.DUMMYFUNCTION("""COMPUTED_VALUE"""),"臺中市清水區大楊國民小學")</f>
        <v>臺中市清水區大楊國民小學</v>
      </c>
      <c r="F2460" s="14" t="str">
        <f>IFERROR(__xludf.DUMMYFUNCTION("""COMPUTED_VALUE"""),"四年級")</f>
        <v>四年級</v>
      </c>
      <c r="G2460" s="14" t="str">
        <f>IFERROR(__xludf.DUMMYFUNCTION("""COMPUTED_VALUE"""),"獎狀")</f>
        <v>獎狀</v>
      </c>
      <c r="H2460" s="8"/>
    </row>
    <row r="2461">
      <c r="A2461" s="18"/>
      <c r="B2461" s="14">
        <f>IFERROR(__xludf.DUMMYFUNCTION("""COMPUTED_VALUE"""),1002710.0)</f>
        <v>1002710</v>
      </c>
      <c r="C2461" s="14" t="str">
        <f>IFERROR(__xludf.DUMMYFUNCTION("""COMPUTED_VALUE"""),"黃欣玉")</f>
        <v>黃欣玉</v>
      </c>
      <c r="D2461" s="16" t="str">
        <f>IFERROR(__xludf.DUMMYFUNCTION("""COMPUTED_VALUE"""),"st1*****mail.edu.tw")</f>
        <v>st1*****mail.edu.tw</v>
      </c>
      <c r="E2461" s="17" t="str">
        <f>IFERROR(__xludf.DUMMYFUNCTION("""COMPUTED_VALUE"""),"臺中市清水區大楊國民小學")</f>
        <v>臺中市清水區大楊國民小學</v>
      </c>
      <c r="F2461" s="14" t="str">
        <f>IFERROR(__xludf.DUMMYFUNCTION("""COMPUTED_VALUE"""),"四年級")</f>
        <v>四年級</v>
      </c>
      <c r="G2461" s="14" t="str">
        <f>IFERROR(__xludf.DUMMYFUNCTION("""COMPUTED_VALUE"""),"獎狀")</f>
        <v>獎狀</v>
      </c>
      <c r="H2461" s="8"/>
    </row>
    <row r="2462">
      <c r="A2462" s="18"/>
      <c r="B2462" s="14">
        <f>IFERROR(__xludf.DUMMYFUNCTION("""COMPUTED_VALUE"""),1006279.0)</f>
        <v>1006279</v>
      </c>
      <c r="C2462" s="14" t="str">
        <f>IFERROR(__xludf.DUMMYFUNCTION("""COMPUTED_VALUE"""),"楊毓喬")</f>
        <v>楊毓喬</v>
      </c>
      <c r="D2462" s="16" t="str">
        <f>IFERROR(__xludf.DUMMYFUNCTION("""COMPUTED_VALUE"""),"st1*****mail.edu.tw")</f>
        <v>st1*****mail.edu.tw</v>
      </c>
      <c r="E2462" s="17" t="str">
        <f>IFERROR(__xludf.DUMMYFUNCTION("""COMPUTED_VALUE"""),"臺中市清水區大楊國民小學")</f>
        <v>臺中市清水區大楊國民小學</v>
      </c>
      <c r="F2462" s="14" t="str">
        <f>IFERROR(__xludf.DUMMYFUNCTION("""COMPUTED_VALUE"""),"四年級")</f>
        <v>四年級</v>
      </c>
      <c r="G2462" s="14" t="str">
        <f>IFERROR(__xludf.DUMMYFUNCTION("""COMPUTED_VALUE"""),"獎狀")</f>
        <v>獎狀</v>
      </c>
      <c r="H2462" s="8"/>
    </row>
    <row r="2463">
      <c r="A2463" s="18"/>
      <c r="B2463" s="14">
        <f>IFERROR(__xludf.DUMMYFUNCTION("""COMPUTED_VALUE"""),684746.0)</f>
        <v>684746</v>
      </c>
      <c r="C2463" s="14" t="str">
        <f>IFERROR(__xludf.DUMMYFUNCTION("""COMPUTED_VALUE"""),"蔡翔逸")</f>
        <v>蔡翔逸</v>
      </c>
      <c r="D2463" s="16" t="str">
        <f>IFERROR(__xludf.DUMMYFUNCTION("""COMPUTED_VALUE"""),"st1*****mail.edu.tw")</f>
        <v>st1*****mail.edu.tw</v>
      </c>
      <c r="E2463" s="17" t="str">
        <f>IFERROR(__xludf.DUMMYFUNCTION("""COMPUTED_VALUE"""),"臺中市清水區大楊國民小學")</f>
        <v>臺中市清水區大楊國民小學</v>
      </c>
      <c r="F2463" s="14" t="str">
        <f>IFERROR(__xludf.DUMMYFUNCTION("""COMPUTED_VALUE"""),"四年級")</f>
        <v>四年級</v>
      </c>
      <c r="G2463" s="14" t="str">
        <f>IFERROR(__xludf.DUMMYFUNCTION("""COMPUTED_VALUE"""),"獎狀")</f>
        <v>獎狀</v>
      </c>
      <c r="H2463" s="8"/>
    </row>
    <row r="2464">
      <c r="A2464" s="18"/>
      <c r="B2464" s="14">
        <f>IFERROR(__xludf.DUMMYFUNCTION("""COMPUTED_VALUE"""),1002709.0)</f>
        <v>1002709</v>
      </c>
      <c r="C2464" s="14" t="str">
        <f>IFERROR(__xludf.DUMMYFUNCTION("""COMPUTED_VALUE"""),"蔣沅憬")</f>
        <v>蔣沅憬</v>
      </c>
      <c r="D2464" s="16" t="str">
        <f>IFERROR(__xludf.DUMMYFUNCTION("""COMPUTED_VALUE"""),"st1*****mail.edu.tw")</f>
        <v>st1*****mail.edu.tw</v>
      </c>
      <c r="E2464" s="17" t="str">
        <f>IFERROR(__xludf.DUMMYFUNCTION("""COMPUTED_VALUE"""),"臺中市清水區大楊國民小學")</f>
        <v>臺中市清水區大楊國民小學</v>
      </c>
      <c r="F2464" s="14" t="str">
        <f>IFERROR(__xludf.DUMMYFUNCTION("""COMPUTED_VALUE"""),"四年級")</f>
        <v>四年級</v>
      </c>
      <c r="G2464" s="14" t="str">
        <f>IFERROR(__xludf.DUMMYFUNCTION("""COMPUTED_VALUE"""),"獎狀")</f>
        <v>獎狀</v>
      </c>
      <c r="H2464" s="8"/>
    </row>
    <row r="2465">
      <c r="A2465" s="18"/>
      <c r="B2465" s="14">
        <f>IFERROR(__xludf.DUMMYFUNCTION("""COMPUTED_VALUE"""),214545.0)</f>
        <v>214545</v>
      </c>
      <c r="C2465" s="14" t="str">
        <f>IFERROR(__xludf.DUMMYFUNCTION("""COMPUTED_VALUE"""),"陳愛蓁")</f>
        <v>陳愛蓁</v>
      </c>
      <c r="D2465" s="16" t="str">
        <f>IFERROR(__xludf.DUMMYFUNCTION("""COMPUTED_VALUE"""),"egg*****52328@mail.edu.tw")</f>
        <v>egg*****52328@mail.edu.tw</v>
      </c>
      <c r="E2465" s="17" t="str">
        <f>IFERROR(__xludf.DUMMYFUNCTION("""COMPUTED_VALUE"""),"臺中市清水區大楊國民小學")</f>
        <v>臺中市清水區大楊國民小學</v>
      </c>
      <c r="F2465" s="14" t="str">
        <f>IFERROR(__xludf.DUMMYFUNCTION("""COMPUTED_VALUE"""),"六年級")</f>
        <v>六年級</v>
      </c>
      <c r="G2465" s="14" t="str">
        <f>IFERROR(__xludf.DUMMYFUNCTION("""COMPUTED_VALUE"""),"●小禮物")</f>
        <v>●小禮物</v>
      </c>
      <c r="H2465" s="8"/>
    </row>
    <row r="2466">
      <c r="A2466" s="18"/>
      <c r="B2466" s="14">
        <f>IFERROR(__xludf.DUMMYFUNCTION("""COMPUTED_VALUE"""),214543.0)</f>
        <v>214543</v>
      </c>
      <c r="C2466" s="14" t="str">
        <f>IFERROR(__xludf.DUMMYFUNCTION("""COMPUTED_VALUE"""),"江渝睫")</f>
        <v>江渝睫</v>
      </c>
      <c r="D2466" s="16" t="str">
        <f>IFERROR(__xludf.DUMMYFUNCTION("""COMPUTED_VALUE"""),"tc.*****2178@mail.edu.tw")</f>
        <v>tc.*****2178@mail.edu.tw</v>
      </c>
      <c r="E2466" s="17" t="str">
        <f>IFERROR(__xludf.DUMMYFUNCTION("""COMPUTED_VALUE"""),"臺中市清水區大楊國民小學")</f>
        <v>臺中市清水區大楊國民小學</v>
      </c>
      <c r="F2466" s="14" t="str">
        <f>IFERROR(__xludf.DUMMYFUNCTION("""COMPUTED_VALUE"""),"六年級")</f>
        <v>六年級</v>
      </c>
      <c r="G2466" s="14" t="str">
        <f>IFERROR(__xludf.DUMMYFUNCTION("""COMPUTED_VALUE"""),"●小禮物")</f>
        <v>●小禮物</v>
      </c>
      <c r="H2466" s="8"/>
    </row>
    <row r="2467">
      <c r="A2467" s="18"/>
      <c r="B2467" s="14">
        <f>IFERROR(__xludf.DUMMYFUNCTION("""COMPUTED_VALUE"""),214534.0)</f>
        <v>214534</v>
      </c>
      <c r="C2467" s="14" t="str">
        <f>IFERROR(__xludf.DUMMYFUNCTION("""COMPUTED_VALUE"""),"廖立煒")</f>
        <v>廖立煒</v>
      </c>
      <c r="D2467" s="16" t="str">
        <f>IFERROR(__xludf.DUMMYFUNCTION("""COMPUTED_VALUE"""),"tra*****0082578@mail.edu.tw")</f>
        <v>tra*****0082578@mail.edu.tw</v>
      </c>
      <c r="E2467" s="17" t="str">
        <f>IFERROR(__xludf.DUMMYFUNCTION("""COMPUTED_VALUE"""),"臺中市清水區大楊國民小學")</f>
        <v>臺中市清水區大楊國民小學</v>
      </c>
      <c r="F2467" s="14" t="str">
        <f>IFERROR(__xludf.DUMMYFUNCTION("""COMPUTED_VALUE"""),"六年級")</f>
        <v>六年級</v>
      </c>
      <c r="G2467" s="14" t="str">
        <f>IFERROR(__xludf.DUMMYFUNCTION("""COMPUTED_VALUE"""),"●小禮物")</f>
        <v>●小禮物</v>
      </c>
      <c r="H2467" s="8"/>
    </row>
    <row r="2468">
      <c r="A2468" s="18"/>
      <c r="B2468" s="14">
        <f>IFERROR(__xludf.DUMMYFUNCTION("""COMPUTED_VALUE"""),214542.0)</f>
        <v>214542</v>
      </c>
      <c r="C2468" s="14" t="str">
        <f>IFERROR(__xludf.DUMMYFUNCTION("""COMPUTED_VALUE"""),"江渝歆")</f>
        <v>江渝歆</v>
      </c>
      <c r="D2468" s="16" t="str">
        <f>IFERROR(__xludf.DUMMYFUNCTION("""COMPUTED_VALUE"""),"tc.*****2177@mail.edu.tw")</f>
        <v>tc.*****2177@mail.edu.tw</v>
      </c>
      <c r="E2468" s="17" t="str">
        <f>IFERROR(__xludf.DUMMYFUNCTION("""COMPUTED_VALUE"""),"臺中市清水區大楊國民小學")</f>
        <v>臺中市清水區大楊國民小學</v>
      </c>
      <c r="F2468" s="14" t="str">
        <f>IFERROR(__xludf.DUMMYFUNCTION("""COMPUTED_VALUE"""),"六年級")</f>
        <v>六年級</v>
      </c>
      <c r="G2468" s="14" t="str">
        <f>IFERROR(__xludf.DUMMYFUNCTION("""COMPUTED_VALUE"""),"獎狀")</f>
        <v>獎狀</v>
      </c>
      <c r="H2468" s="8"/>
    </row>
    <row r="2469">
      <c r="A2469" s="18"/>
      <c r="B2469" s="14">
        <f>IFERROR(__xludf.DUMMYFUNCTION("""COMPUTED_VALUE"""),214553.0)</f>
        <v>214553</v>
      </c>
      <c r="C2469" s="14" t="str">
        <f>IFERROR(__xludf.DUMMYFUNCTION("""COMPUTED_VALUE"""),"許書婷")</f>
        <v>許書婷</v>
      </c>
      <c r="D2469" s="16" t="str">
        <f>IFERROR(__xludf.DUMMYFUNCTION("""COMPUTED_VALUE"""),"day*****11@mail.edu.tw")</f>
        <v>day*****11@mail.edu.tw</v>
      </c>
      <c r="E2469" s="17" t="str">
        <f>IFERROR(__xludf.DUMMYFUNCTION("""COMPUTED_VALUE"""),"臺中市清水區大楊國民小學")</f>
        <v>臺中市清水區大楊國民小學</v>
      </c>
      <c r="F2469" s="14" t="str">
        <f>IFERROR(__xludf.DUMMYFUNCTION("""COMPUTED_VALUE"""),"六年級")</f>
        <v>六年級</v>
      </c>
      <c r="G2469" s="14" t="str">
        <f>IFERROR(__xludf.DUMMYFUNCTION("""COMPUTED_VALUE"""),"獎狀")</f>
        <v>獎狀</v>
      </c>
      <c r="H2469" s="8"/>
    </row>
    <row r="2470">
      <c r="A2470" s="18"/>
      <c r="B2470" s="14">
        <f>IFERROR(__xludf.DUMMYFUNCTION("""COMPUTED_VALUE"""),214535.0)</f>
        <v>214535</v>
      </c>
      <c r="C2470" s="14" t="str">
        <f>IFERROR(__xludf.DUMMYFUNCTION("""COMPUTED_VALUE"""),"葉盈岑")</f>
        <v>葉盈岑</v>
      </c>
      <c r="D2470" s="16" t="str">
        <f>IFERROR(__xludf.DUMMYFUNCTION("""COMPUTED_VALUE"""),"die*****00072501@mail.edu.tw")</f>
        <v>die*****00072501@mail.edu.tw</v>
      </c>
      <c r="E2470" s="17" t="str">
        <f>IFERROR(__xludf.DUMMYFUNCTION("""COMPUTED_VALUE"""),"臺中市清水區大楊國民小學")</f>
        <v>臺中市清水區大楊國民小學</v>
      </c>
      <c r="F2470" s="14" t="str">
        <f>IFERROR(__xludf.DUMMYFUNCTION("""COMPUTED_VALUE"""),"六年級")</f>
        <v>六年級</v>
      </c>
      <c r="G2470" s="14" t="str">
        <f>IFERROR(__xludf.DUMMYFUNCTION("""COMPUTED_VALUE"""),"獎狀")</f>
        <v>獎狀</v>
      </c>
      <c r="H2470" s="8"/>
    </row>
    <row r="2471">
      <c r="A2471" s="18"/>
      <c r="B2471" s="14">
        <f>IFERROR(__xludf.DUMMYFUNCTION("""COMPUTED_VALUE"""),214536.0)</f>
        <v>214536</v>
      </c>
      <c r="C2471" s="14" t="str">
        <f>IFERROR(__xludf.DUMMYFUNCTION("""COMPUTED_VALUE"""),"蔡茹雲")</f>
        <v>蔡茹雲</v>
      </c>
      <c r="D2471" s="16" t="str">
        <f>IFERROR(__xludf.DUMMYFUNCTION("""COMPUTED_VALUE"""),"dag*****06.17@mail.edu.tw")</f>
        <v>dag*****06.17@mail.edu.tw</v>
      </c>
      <c r="E2471" s="17" t="str">
        <f>IFERROR(__xludf.DUMMYFUNCTION("""COMPUTED_VALUE"""),"臺中市清水區大楊國民小學")</f>
        <v>臺中市清水區大楊國民小學</v>
      </c>
      <c r="F2471" s="14" t="str">
        <f>IFERROR(__xludf.DUMMYFUNCTION("""COMPUTED_VALUE"""),"六年級")</f>
        <v>六年級</v>
      </c>
      <c r="G2471" s="14" t="str">
        <f>IFERROR(__xludf.DUMMYFUNCTION("""COMPUTED_VALUE"""),"獎狀")</f>
        <v>獎狀</v>
      </c>
      <c r="H2471" s="8"/>
    </row>
    <row r="2472">
      <c r="A2472" s="18"/>
      <c r="B2472" s="14">
        <f>IFERROR(__xludf.DUMMYFUNCTION("""COMPUTED_VALUE"""),214539.0)</f>
        <v>214539</v>
      </c>
      <c r="C2472" s="14" t="str">
        <f>IFERROR(__xludf.DUMMYFUNCTION("""COMPUTED_VALUE"""),"蔡曉萱")</f>
        <v>蔡曉萱</v>
      </c>
      <c r="D2472" s="16" t="str">
        <f>IFERROR(__xludf.DUMMYFUNCTION("""COMPUTED_VALUE"""),"day*****14@mail.edu.tw")</f>
        <v>day*****14@mail.edu.tw</v>
      </c>
      <c r="E2472" s="17" t="str">
        <f>IFERROR(__xludf.DUMMYFUNCTION("""COMPUTED_VALUE"""),"臺中市清水區大楊國民小學")</f>
        <v>臺中市清水區大楊國民小學</v>
      </c>
      <c r="F2472" s="14" t="str">
        <f>IFERROR(__xludf.DUMMYFUNCTION("""COMPUTED_VALUE"""),"六年級")</f>
        <v>六年級</v>
      </c>
      <c r="G2472" s="14" t="str">
        <f>IFERROR(__xludf.DUMMYFUNCTION("""COMPUTED_VALUE"""),"獎狀")</f>
        <v>獎狀</v>
      </c>
      <c r="H2472" s="8"/>
    </row>
    <row r="2473">
      <c r="A2473" s="18"/>
      <c r="B2473" s="14">
        <f>IFERROR(__xludf.DUMMYFUNCTION("""COMPUTED_VALUE"""),913349.0)</f>
        <v>913349</v>
      </c>
      <c r="C2473" s="14" t="str">
        <f>IFERROR(__xludf.DUMMYFUNCTION("""COMPUTED_VALUE"""),"林郭維")</f>
        <v>林郭維</v>
      </c>
      <c r="D2473" s="16" t="str">
        <f>IFERROR(__xludf.DUMMYFUNCTION("""COMPUTED_VALUE"""),"718*****t.tc.edu.tw")</f>
        <v>718*****t.tc.edu.tw</v>
      </c>
      <c r="E2473" s="17" t="str">
        <f>IFERROR(__xludf.DUMMYFUNCTION("""COMPUTED_VALUE"""),"臺中市大甲區東明國民小學")</f>
        <v>臺中市大甲區東明國民小學</v>
      </c>
      <c r="F2473" s="14" t="str">
        <f>IFERROR(__xludf.DUMMYFUNCTION("""COMPUTED_VALUE"""),"五年級")</f>
        <v>五年級</v>
      </c>
      <c r="G2473" s="14" t="str">
        <f>IFERROR(__xludf.DUMMYFUNCTION("""COMPUTED_VALUE"""),"★禮券$500")</f>
        <v>★禮券$500</v>
      </c>
      <c r="H2473" s="8"/>
    </row>
    <row r="2474">
      <c r="A2474" s="18"/>
      <c r="B2474" s="14">
        <f>IFERROR(__xludf.DUMMYFUNCTION("""COMPUTED_VALUE"""),890999.0)</f>
        <v>890999</v>
      </c>
      <c r="C2474" s="14" t="str">
        <f>IFERROR(__xludf.DUMMYFUNCTION("""COMPUTED_VALUE"""),"鄭祐安")</f>
        <v>鄭祐安</v>
      </c>
      <c r="D2474" s="16" t="str">
        <f>IFERROR(__xludf.DUMMYFUNCTION("""COMPUTED_VALUE"""),"828*****t.tc.edu.tw")</f>
        <v>828*****t.tc.edu.tw</v>
      </c>
      <c r="E2474" s="17" t="str">
        <f>IFERROR(__xludf.DUMMYFUNCTION("""COMPUTED_VALUE"""),"臺中市大甲區文昌國民小學")</f>
        <v>臺中市大甲區文昌國民小學</v>
      </c>
      <c r="F2474" s="14" t="str">
        <f>IFERROR(__xludf.DUMMYFUNCTION("""COMPUTED_VALUE"""),"四年級")</f>
        <v>四年級</v>
      </c>
      <c r="G2474" s="14" t="str">
        <f>IFERROR(__xludf.DUMMYFUNCTION("""COMPUTED_VALUE"""),"●小禮物")</f>
        <v>●小禮物</v>
      </c>
      <c r="H2474" s="8"/>
    </row>
    <row r="2475">
      <c r="A2475" s="18"/>
      <c r="B2475" s="14">
        <f>IFERROR(__xludf.DUMMYFUNCTION("""COMPUTED_VALUE"""),1124346.0)</f>
        <v>1124346</v>
      </c>
      <c r="C2475" s="14" t="str">
        <f>IFERROR(__xludf.DUMMYFUNCTION("""COMPUTED_VALUE"""),"蘇品喬")</f>
        <v>蘇品喬</v>
      </c>
      <c r="D2475" s="16" t="str">
        <f>IFERROR(__xludf.DUMMYFUNCTION("""COMPUTED_VALUE"""),"828*****t.tc.edu.tw")</f>
        <v>828*****t.tc.edu.tw</v>
      </c>
      <c r="E2475" s="17" t="str">
        <f>IFERROR(__xludf.DUMMYFUNCTION("""COMPUTED_VALUE"""),"臺中市大甲區文昌國民小學")</f>
        <v>臺中市大甲區文昌國民小學</v>
      </c>
      <c r="F2475" s="14" t="str">
        <f>IFERROR(__xludf.DUMMYFUNCTION("""COMPUTED_VALUE"""),"四年級")</f>
        <v>四年級</v>
      </c>
      <c r="G2475" s="14" t="str">
        <f>IFERROR(__xludf.DUMMYFUNCTION("""COMPUTED_VALUE"""),"獎狀")</f>
        <v>獎狀</v>
      </c>
      <c r="H2475" s="8"/>
    </row>
    <row r="2476">
      <c r="A2476" s="18"/>
      <c r="B2476" s="14">
        <f>IFERROR(__xludf.DUMMYFUNCTION("""COMPUTED_VALUE"""),266269.0)</f>
        <v>266269</v>
      </c>
      <c r="C2476" s="14" t="str">
        <f>IFERROR(__xludf.DUMMYFUNCTION("""COMPUTED_VALUE"""),"卓寗珈")</f>
        <v>卓寗珈</v>
      </c>
      <c r="D2476" s="16" t="str">
        <f>IFERROR(__xludf.DUMMYFUNCTION("""COMPUTED_VALUE"""),"tc.*****0825@mail.edu.tw")</f>
        <v>tc.*****0825@mail.edu.tw</v>
      </c>
      <c r="E2476" s="17" t="str">
        <f>IFERROR(__xludf.DUMMYFUNCTION("""COMPUTED_VALUE"""),"臺中市大甲區文昌國民小學")</f>
        <v>臺中市大甲區文昌國民小學</v>
      </c>
      <c r="F2476" s="14" t="str">
        <f>IFERROR(__xludf.DUMMYFUNCTION("""COMPUTED_VALUE"""),"六年級")</f>
        <v>六年級</v>
      </c>
      <c r="G2476" s="14" t="str">
        <f>IFERROR(__xludf.DUMMYFUNCTION("""COMPUTED_VALUE"""),"●小禮物")</f>
        <v>●小禮物</v>
      </c>
      <c r="H2476" s="8"/>
    </row>
    <row r="2477">
      <c r="A2477" s="18"/>
      <c r="B2477" s="14">
        <f>IFERROR(__xludf.DUMMYFUNCTION("""COMPUTED_VALUE"""),326361.0)</f>
        <v>326361</v>
      </c>
      <c r="C2477" s="14" t="str">
        <f>IFERROR(__xludf.DUMMYFUNCTION("""COMPUTED_VALUE"""),"王慈靜")</f>
        <v>王慈靜</v>
      </c>
      <c r="D2477" s="16" t="str">
        <f>IFERROR(__xludf.DUMMYFUNCTION("""COMPUTED_VALUE"""),"tc.*****1729@mail.edu.tw")</f>
        <v>tc.*****1729@mail.edu.tw</v>
      </c>
      <c r="E2477" s="17" t="str">
        <f>IFERROR(__xludf.DUMMYFUNCTION("""COMPUTED_VALUE"""),"臺中市大甲區文昌國民小學")</f>
        <v>臺中市大甲區文昌國民小學</v>
      </c>
      <c r="F2477" s="14" t="str">
        <f>IFERROR(__xludf.DUMMYFUNCTION("""COMPUTED_VALUE"""),"六年級")</f>
        <v>六年級</v>
      </c>
      <c r="G2477" s="14" t="str">
        <f>IFERROR(__xludf.DUMMYFUNCTION("""COMPUTED_VALUE"""),"獎狀")</f>
        <v>獎狀</v>
      </c>
      <c r="H2477" s="8"/>
    </row>
    <row r="2478">
      <c r="A2478" s="18"/>
      <c r="B2478" s="14">
        <f>IFERROR(__xludf.DUMMYFUNCTION("""COMPUTED_VALUE"""),860198.0)</f>
        <v>860198</v>
      </c>
      <c r="C2478" s="14" t="str">
        <f>IFERROR(__xludf.DUMMYFUNCTION("""COMPUTED_VALUE"""),"吳詠謙")</f>
        <v>吳詠謙</v>
      </c>
      <c r="D2478" s="16" t="str">
        <f>IFERROR(__xludf.DUMMYFUNCTION("""COMPUTED_VALUE"""),"621*****t.tc.edu.tw")</f>
        <v>621*****t.tc.edu.tw</v>
      </c>
      <c r="E2478" s="17" t="str">
        <f>IFERROR(__xludf.DUMMYFUNCTION("""COMPUTED_VALUE"""),"臺中市外埔區水美國民小學")</f>
        <v>臺中市外埔區水美國民小學</v>
      </c>
      <c r="F2478" s="14" t="str">
        <f>IFERROR(__xludf.DUMMYFUNCTION("""COMPUTED_VALUE"""),"六年級")</f>
        <v>六年級</v>
      </c>
      <c r="G2478" s="14" t="str">
        <f>IFERROR(__xludf.DUMMYFUNCTION("""COMPUTED_VALUE"""),"獎狀")</f>
        <v>獎狀</v>
      </c>
      <c r="H2478" s="8"/>
    </row>
    <row r="2479">
      <c r="A2479" s="18"/>
      <c r="B2479" s="14">
        <f>IFERROR(__xludf.DUMMYFUNCTION("""COMPUTED_VALUE"""),856443.0)</f>
        <v>856443</v>
      </c>
      <c r="C2479" s="14" t="str">
        <f>IFERROR(__xludf.DUMMYFUNCTION("""COMPUTED_VALUE"""),"林渝潔")</f>
        <v>林渝潔</v>
      </c>
      <c r="D2479" s="16" t="str">
        <f>IFERROR(__xludf.DUMMYFUNCTION("""COMPUTED_VALUE"""),"618*****t.tc.edu.tw")</f>
        <v>618*****t.tc.edu.tw</v>
      </c>
      <c r="E2479" s="17" t="str">
        <f>IFERROR(__xludf.DUMMYFUNCTION("""COMPUTED_VALUE"""),"臺中市外埔區水美國民小學")</f>
        <v>臺中市外埔區水美國民小學</v>
      </c>
      <c r="F2479" s="14" t="str">
        <f>IFERROR(__xludf.DUMMYFUNCTION("""COMPUTED_VALUE"""),"六年級")</f>
        <v>六年級</v>
      </c>
      <c r="G2479" s="14" t="str">
        <f>IFERROR(__xludf.DUMMYFUNCTION("""COMPUTED_VALUE"""),"獎狀")</f>
        <v>獎狀</v>
      </c>
      <c r="H2479" s="8"/>
    </row>
    <row r="2480">
      <c r="A2480" s="18"/>
      <c r="B2480" s="14">
        <f>IFERROR(__xludf.DUMMYFUNCTION("""COMPUTED_VALUE"""),860255.0)</f>
        <v>860255</v>
      </c>
      <c r="C2480" s="14" t="str">
        <f>IFERROR(__xludf.DUMMYFUNCTION("""COMPUTED_VALUE"""),"陳亭錡")</f>
        <v>陳亭錡</v>
      </c>
      <c r="D2480" s="16" t="str">
        <f>IFERROR(__xludf.DUMMYFUNCTION("""COMPUTED_VALUE"""),"618*****t.tc.edu.tw")</f>
        <v>618*****t.tc.edu.tw</v>
      </c>
      <c r="E2480" s="17" t="str">
        <f>IFERROR(__xludf.DUMMYFUNCTION("""COMPUTED_VALUE"""),"臺中市外埔區水美國民小學")</f>
        <v>臺中市外埔區水美國民小學</v>
      </c>
      <c r="F2480" s="14" t="str">
        <f>IFERROR(__xludf.DUMMYFUNCTION("""COMPUTED_VALUE"""),"六年級")</f>
        <v>六年級</v>
      </c>
      <c r="G2480" s="14" t="str">
        <f>IFERROR(__xludf.DUMMYFUNCTION("""COMPUTED_VALUE"""),"獎狀")</f>
        <v>獎狀</v>
      </c>
      <c r="H2480" s="8"/>
    </row>
    <row r="2481">
      <c r="A2481" s="18"/>
      <c r="B2481" s="14">
        <f>IFERROR(__xludf.DUMMYFUNCTION("""COMPUTED_VALUE"""),959584.0)</f>
        <v>959584</v>
      </c>
      <c r="C2481" s="14" t="str">
        <f>IFERROR(__xludf.DUMMYFUNCTION("""COMPUTED_VALUE"""),"黃甯容")</f>
        <v>黃甯容</v>
      </c>
      <c r="D2481" s="16" t="str">
        <f>IFERROR(__xludf.DUMMYFUNCTION("""COMPUTED_VALUE"""),"tc.*****6@mail.edu.tw")</f>
        <v>tc.*****6@mail.edu.tw</v>
      </c>
      <c r="E2481" s="17" t="str">
        <f>IFERROR(__xludf.DUMMYFUNCTION("""COMPUTED_VALUE"""),"臺中市大安區海墘國民小學")</f>
        <v>臺中市大安區海墘國民小學</v>
      </c>
      <c r="F2481" s="14" t="str">
        <f>IFERROR(__xludf.DUMMYFUNCTION("""COMPUTED_VALUE"""),"四年級")</f>
        <v>四年級</v>
      </c>
      <c r="G2481" s="14" t="str">
        <f>IFERROR(__xludf.DUMMYFUNCTION("""COMPUTED_VALUE"""),"●小禮物")</f>
        <v>●小禮物</v>
      </c>
      <c r="H2481" s="8"/>
    </row>
    <row r="2482">
      <c r="A2482" s="18"/>
      <c r="B2482" s="14">
        <f>IFERROR(__xludf.DUMMYFUNCTION("""COMPUTED_VALUE"""),956218.0)</f>
        <v>956218</v>
      </c>
      <c r="C2482" s="14" t="str">
        <f>IFERROR(__xludf.DUMMYFUNCTION("""COMPUTED_VALUE"""),"朱笠逞")</f>
        <v>朱笠逞</v>
      </c>
      <c r="D2482" s="16" t="str">
        <f>IFERROR(__xludf.DUMMYFUNCTION("""COMPUTED_VALUE"""),"tc.*****0082@mail.edu.tw")</f>
        <v>tc.*****0082@mail.edu.tw</v>
      </c>
      <c r="E2482" s="17" t="str">
        <f>IFERROR(__xludf.DUMMYFUNCTION("""COMPUTED_VALUE"""),"臺中市大安區海墘國民小學")</f>
        <v>臺中市大安區海墘國民小學</v>
      </c>
      <c r="F2482" s="14" t="str">
        <f>IFERROR(__xludf.DUMMYFUNCTION("""COMPUTED_VALUE"""),"五年級")</f>
        <v>五年級</v>
      </c>
      <c r="G2482" s="14" t="str">
        <f>IFERROR(__xludf.DUMMYFUNCTION("""COMPUTED_VALUE"""),"★禮券$200")</f>
        <v>★禮券$200</v>
      </c>
      <c r="H2482" s="8"/>
    </row>
    <row r="2483">
      <c r="A2483" s="18"/>
      <c r="B2483" s="14">
        <f>IFERROR(__xludf.DUMMYFUNCTION("""COMPUTED_VALUE"""),956253.0)</f>
        <v>956253</v>
      </c>
      <c r="C2483" s="14" t="str">
        <f>IFERROR(__xludf.DUMMYFUNCTION("""COMPUTED_VALUE"""),"周昕諭")</f>
        <v>周昕諭</v>
      </c>
      <c r="D2483" s="16" t="str">
        <f>IFERROR(__xludf.DUMMYFUNCTION("""COMPUTED_VALUE"""),"c2c*****ail.edu.tw")</f>
        <v>c2c*****ail.edu.tw</v>
      </c>
      <c r="E2483" s="17" t="str">
        <f>IFERROR(__xludf.DUMMYFUNCTION("""COMPUTED_VALUE"""),"臺中市大安區海墘國民小學")</f>
        <v>臺中市大安區海墘國民小學</v>
      </c>
      <c r="F2483" s="14" t="str">
        <f>IFERROR(__xludf.DUMMYFUNCTION("""COMPUTED_VALUE"""),"五年級")</f>
        <v>五年級</v>
      </c>
      <c r="G2483" s="14" t="str">
        <f>IFERROR(__xludf.DUMMYFUNCTION("""COMPUTED_VALUE"""),"★禮券$500")</f>
        <v>★禮券$500</v>
      </c>
      <c r="H2483" s="8"/>
    </row>
    <row r="2484">
      <c r="A2484" s="18"/>
      <c r="B2484" s="14">
        <f>IFERROR(__xludf.DUMMYFUNCTION("""COMPUTED_VALUE"""),958095.0)</f>
        <v>958095</v>
      </c>
      <c r="C2484" s="14" t="str">
        <f>IFERROR(__xludf.DUMMYFUNCTION("""COMPUTED_VALUE"""),"黃恣琳")</f>
        <v>黃恣琳</v>
      </c>
      <c r="D2484" s="16" t="str">
        <f>IFERROR(__xludf.DUMMYFUNCTION("""COMPUTED_VALUE"""),"tc.*****2@mail.edu.tw")</f>
        <v>tc.*****2@mail.edu.tw</v>
      </c>
      <c r="E2484" s="17" t="str">
        <f>IFERROR(__xludf.DUMMYFUNCTION("""COMPUTED_VALUE"""),"臺中市大安區海墘國民小學")</f>
        <v>臺中市大安區海墘國民小學</v>
      </c>
      <c r="F2484" s="14" t="str">
        <f>IFERROR(__xludf.DUMMYFUNCTION("""COMPUTED_VALUE"""),"六年級")</f>
        <v>六年級</v>
      </c>
      <c r="G2484" s="14" t="str">
        <f>IFERROR(__xludf.DUMMYFUNCTION("""COMPUTED_VALUE"""),"●小禮物")</f>
        <v>●小禮物</v>
      </c>
      <c r="H2484" s="8"/>
    </row>
    <row r="2485">
      <c r="A2485" s="18"/>
      <c r="B2485" s="14">
        <f>IFERROR(__xludf.DUMMYFUNCTION("""COMPUTED_VALUE"""),953307.0)</f>
        <v>953307</v>
      </c>
      <c r="C2485" s="14" t="str">
        <f>IFERROR(__xludf.DUMMYFUNCTION("""COMPUTED_VALUE"""),"鄭駿盛")</f>
        <v>鄭駿盛</v>
      </c>
      <c r="D2485" s="16" t="str">
        <f>IFERROR(__xludf.DUMMYFUNCTION("""COMPUTED_VALUE"""),"tc.*****0686@mail.edu.tw")</f>
        <v>tc.*****0686@mail.edu.tw</v>
      </c>
      <c r="E2485" s="17" t="str">
        <f>IFERROR(__xludf.DUMMYFUNCTION("""COMPUTED_VALUE"""),"臺中市大安區海墘國民小學")</f>
        <v>臺中市大安區海墘國民小學</v>
      </c>
      <c r="F2485" s="14" t="str">
        <f>IFERROR(__xludf.DUMMYFUNCTION("""COMPUTED_VALUE"""),"六年級")</f>
        <v>六年級</v>
      </c>
      <c r="G2485" s="14" t="str">
        <f>IFERROR(__xludf.DUMMYFUNCTION("""COMPUTED_VALUE"""),"●小禮物")</f>
        <v>●小禮物</v>
      </c>
      <c r="H2485" s="8"/>
    </row>
    <row r="2486">
      <c r="A2486" s="18"/>
      <c r="B2486" s="14">
        <f>IFERROR(__xludf.DUMMYFUNCTION("""COMPUTED_VALUE"""),1008088.0)</f>
        <v>1008088</v>
      </c>
      <c r="C2486" s="14" t="str">
        <f>IFERROR(__xludf.DUMMYFUNCTION("""COMPUTED_VALUE"""),"洪麗蓁")</f>
        <v>洪麗蓁</v>
      </c>
      <c r="D2486" s="16" t="str">
        <f>IFERROR(__xludf.DUMMYFUNCTION("""COMPUTED_VALUE"""),"bre*****0050683@mail.edu.tw")</f>
        <v>bre*****0050683@mail.edu.tw</v>
      </c>
      <c r="E2486" s="17" t="str">
        <f>IFERROR(__xludf.DUMMYFUNCTION("""COMPUTED_VALUE"""),"臺中市大安區海墘國民小學")</f>
        <v>臺中市大安區海墘國民小學</v>
      </c>
      <c r="F2486" s="14" t="str">
        <f>IFERROR(__xludf.DUMMYFUNCTION("""COMPUTED_VALUE"""),"六年級")</f>
        <v>六年級</v>
      </c>
      <c r="G2486" s="14" t="str">
        <f>IFERROR(__xludf.DUMMYFUNCTION("""COMPUTED_VALUE"""),"★禮券$200")</f>
        <v>★禮券$200</v>
      </c>
      <c r="H2486" s="8"/>
    </row>
    <row r="2487">
      <c r="A2487" s="18"/>
      <c r="B2487" s="14">
        <f>IFERROR(__xludf.DUMMYFUNCTION("""COMPUTED_VALUE"""),952452.0)</f>
        <v>952452</v>
      </c>
      <c r="C2487" s="14" t="str">
        <f>IFERROR(__xludf.DUMMYFUNCTION("""COMPUTED_VALUE"""),"卓甯嫣")</f>
        <v>卓甯嫣</v>
      </c>
      <c r="D2487" s="16" t="str">
        <f>IFERROR(__xludf.DUMMYFUNCTION("""COMPUTED_VALUE"""),"tc.*****0980@mail.edu.tw")</f>
        <v>tc.*****0980@mail.edu.tw</v>
      </c>
      <c r="E2487" s="17" t="str">
        <f>IFERROR(__xludf.DUMMYFUNCTION("""COMPUTED_VALUE"""),"臺中市大安區海墘國民小學")</f>
        <v>臺中市大安區海墘國民小學</v>
      </c>
      <c r="F2487" s="14" t="str">
        <f>IFERROR(__xludf.DUMMYFUNCTION("""COMPUTED_VALUE"""),"六年級")</f>
        <v>六年級</v>
      </c>
      <c r="G2487" s="14" t="str">
        <f>IFERROR(__xludf.DUMMYFUNCTION("""COMPUTED_VALUE"""),"獎狀")</f>
        <v>獎狀</v>
      </c>
      <c r="H2487" s="8"/>
    </row>
    <row r="2488">
      <c r="A2488" s="18"/>
      <c r="B2488" s="14">
        <f>IFERROR(__xludf.DUMMYFUNCTION("""COMPUTED_VALUE"""),924744.0)</f>
        <v>924744</v>
      </c>
      <c r="C2488" s="14" t="str">
        <f>IFERROR(__xludf.DUMMYFUNCTION("""COMPUTED_VALUE"""),"黃致融")</f>
        <v>黃致融</v>
      </c>
      <c r="D2488" s="16" t="str">
        <f>IFERROR(__xludf.DUMMYFUNCTION("""COMPUTED_VALUE"""),"hic*****06@mail.edu.tw")</f>
        <v>hic*****06@mail.edu.tw</v>
      </c>
      <c r="E2488" s="17" t="str">
        <f>IFERROR(__xludf.DUMMYFUNCTION("""COMPUTED_VALUE"""),"臺中市大安區海墘國民小學")</f>
        <v>臺中市大安區海墘國民小學</v>
      </c>
      <c r="F2488" s="14" t="str">
        <f>IFERROR(__xludf.DUMMYFUNCTION("""COMPUTED_VALUE"""),"六年級")</f>
        <v>六年級</v>
      </c>
      <c r="G2488" s="14" t="str">
        <f>IFERROR(__xludf.DUMMYFUNCTION("""COMPUTED_VALUE"""),"獎狀")</f>
        <v>獎狀</v>
      </c>
      <c r="H2488" s="8"/>
    </row>
    <row r="2489">
      <c r="A2489" s="18"/>
      <c r="B2489" s="14">
        <f>IFERROR(__xludf.DUMMYFUNCTION("""COMPUTED_VALUE"""),883093.0)</f>
        <v>883093</v>
      </c>
      <c r="C2489" s="14" t="str">
        <f>IFERROR(__xludf.DUMMYFUNCTION("""COMPUTED_VALUE"""),"黃翊瑄")</f>
        <v>黃翊瑄</v>
      </c>
      <c r="D2489" s="16" t="str">
        <f>IFERROR(__xludf.DUMMYFUNCTION("""COMPUTED_VALUE"""),"tc.*****0659@mail.edu.tw")</f>
        <v>tc.*****0659@mail.edu.tw</v>
      </c>
      <c r="E2489" s="17" t="str">
        <f>IFERROR(__xludf.DUMMYFUNCTION("""COMPUTED_VALUE"""),"臺中市大安區海墘國民小學")</f>
        <v>臺中市大安區海墘國民小學</v>
      </c>
      <c r="F2489" s="14" t="str">
        <f>IFERROR(__xludf.DUMMYFUNCTION("""COMPUTED_VALUE"""),"六年級")</f>
        <v>六年級</v>
      </c>
      <c r="G2489" s="14" t="str">
        <f>IFERROR(__xludf.DUMMYFUNCTION("""COMPUTED_VALUE"""),"獎狀")</f>
        <v>獎狀</v>
      </c>
      <c r="H2489" s="8"/>
    </row>
    <row r="2490">
      <c r="A2490" s="18"/>
      <c r="B2490" s="14">
        <f>IFERROR(__xludf.DUMMYFUNCTION("""COMPUTED_VALUE"""),952648.0)</f>
        <v>952648</v>
      </c>
      <c r="C2490" s="14" t="str">
        <f>IFERROR(__xludf.DUMMYFUNCTION("""COMPUTED_VALUE"""),"詹繡縉")</f>
        <v>詹繡縉</v>
      </c>
      <c r="D2490" s="16" t="str">
        <f>IFERROR(__xludf.DUMMYFUNCTION("""COMPUTED_VALUE"""),"gyr*****2@mail.edu.tw")</f>
        <v>gyr*****2@mail.edu.tw</v>
      </c>
      <c r="E2490" s="17" t="str">
        <f>IFERROR(__xludf.DUMMYFUNCTION("""COMPUTED_VALUE"""),"臺中市大安區海墘國民小學")</f>
        <v>臺中市大安區海墘國民小學</v>
      </c>
      <c r="F2490" s="14" t="str">
        <f>IFERROR(__xludf.DUMMYFUNCTION("""COMPUTED_VALUE"""),"六年級")</f>
        <v>六年級</v>
      </c>
      <c r="G2490" s="14" t="str">
        <f>IFERROR(__xludf.DUMMYFUNCTION("""COMPUTED_VALUE"""),"獎狀")</f>
        <v>獎狀</v>
      </c>
      <c r="H2490" s="8"/>
    </row>
    <row r="2491">
      <c r="A2491" s="18"/>
      <c r="B2491" s="14">
        <f>IFERROR(__xludf.DUMMYFUNCTION("""COMPUTED_VALUE"""),1093169.0)</f>
        <v>1093169</v>
      </c>
      <c r="C2491" s="14" t="str">
        <f>IFERROR(__xludf.DUMMYFUNCTION("""COMPUTED_VALUE"""),"曹哲愷")</f>
        <v>曹哲愷</v>
      </c>
      <c r="D2491" s="16" t="str">
        <f>IFERROR(__xludf.DUMMYFUNCTION("""COMPUTED_VALUE"""),"ctt*****hc.edu.tw")</f>
        <v>ctt*****hc.edu.tw</v>
      </c>
      <c r="E2491" s="17" t="str">
        <f>IFERROR(__xludf.DUMMYFUNCTION("""COMPUTED_VALUE"""),"彰化縣彰化市中山國民小學")</f>
        <v>彰化縣彰化市中山國民小學</v>
      </c>
      <c r="F2491" s="14" t="str">
        <f>IFERROR(__xludf.DUMMYFUNCTION("""COMPUTED_VALUE"""),"三年級")</f>
        <v>三年級</v>
      </c>
      <c r="G2491" s="14" t="str">
        <f>IFERROR(__xludf.DUMMYFUNCTION("""COMPUTED_VALUE"""),"獎狀")</f>
        <v>獎狀</v>
      </c>
      <c r="H2491" s="8"/>
    </row>
    <row r="2492">
      <c r="A2492" s="18"/>
      <c r="B2492" s="14">
        <f>IFERROR(__xludf.DUMMYFUNCTION("""COMPUTED_VALUE"""),1194445.0)</f>
        <v>1194445</v>
      </c>
      <c r="C2492" s="14" t="str">
        <f>IFERROR(__xludf.DUMMYFUNCTION("""COMPUTED_VALUE"""),"魯福桔")</f>
        <v>魯福桔</v>
      </c>
      <c r="D2492" s="16" t="str">
        <f>IFERROR(__xludf.DUMMYFUNCTION("""COMPUTED_VALUE"""),"jo8*****84@gmail.com")</f>
        <v>jo8*****84@gmail.com</v>
      </c>
      <c r="E2492" s="17" t="str">
        <f>IFERROR(__xludf.DUMMYFUNCTION("""COMPUTED_VALUE"""),"彰化縣彰化市中山國民小學")</f>
        <v>彰化縣彰化市中山國民小學</v>
      </c>
      <c r="F2492" s="14" t="str">
        <f>IFERROR(__xludf.DUMMYFUNCTION("""COMPUTED_VALUE"""),"四年級")</f>
        <v>四年級</v>
      </c>
      <c r="G2492" s="14" t="str">
        <f>IFERROR(__xludf.DUMMYFUNCTION("""COMPUTED_VALUE"""),"獎狀")</f>
        <v>獎狀</v>
      </c>
      <c r="H2492" s="8"/>
    </row>
    <row r="2493">
      <c r="A2493" s="18"/>
      <c r="B2493" s="14">
        <f>IFERROR(__xludf.DUMMYFUNCTION("""COMPUTED_VALUE"""),1008087.0)</f>
        <v>1008087</v>
      </c>
      <c r="C2493" s="14" t="str">
        <f>IFERROR(__xludf.DUMMYFUNCTION("""COMPUTED_VALUE"""),"簡可威")</f>
        <v>簡可威</v>
      </c>
      <c r="D2493" s="16" t="str">
        <f>IFERROR(__xludf.DUMMYFUNCTION("""COMPUTED_VALUE"""),"cse*****69@mail.edu.tw")</f>
        <v>cse*****69@mail.edu.tw</v>
      </c>
      <c r="E2493" s="17" t="str">
        <f>IFERROR(__xludf.DUMMYFUNCTION("""COMPUTED_VALUE"""),"彰化縣彰化市中山國民小學")</f>
        <v>彰化縣彰化市中山國民小學</v>
      </c>
      <c r="F2493" s="14" t="str">
        <f>IFERROR(__xludf.DUMMYFUNCTION("""COMPUTED_VALUE"""),"五年級")</f>
        <v>五年級</v>
      </c>
      <c r="G2493" s="14" t="str">
        <f>IFERROR(__xludf.DUMMYFUNCTION("""COMPUTED_VALUE"""),"獎狀")</f>
        <v>獎狀</v>
      </c>
      <c r="H2493" s="8"/>
    </row>
    <row r="2494">
      <c r="A2494" s="18"/>
      <c r="B2494" s="14">
        <f>IFERROR(__xludf.DUMMYFUNCTION("""COMPUTED_VALUE"""),1002590.0)</f>
        <v>1002590</v>
      </c>
      <c r="C2494" s="14" t="str">
        <f>IFERROR(__xludf.DUMMYFUNCTION("""COMPUTED_VALUE"""),"王子芫")</f>
        <v>王子芫</v>
      </c>
      <c r="D2494" s="16" t="str">
        <f>IFERROR(__xludf.DUMMYFUNCTION("""COMPUTED_VALUE"""),"wes*****12@mail.edu.tw")</f>
        <v>wes*****12@mail.edu.tw</v>
      </c>
      <c r="E2494" s="17" t="str">
        <f>IFERROR(__xludf.DUMMYFUNCTION("""COMPUTED_VALUE"""),"彰化縣彰化市中山國民小學")</f>
        <v>彰化縣彰化市中山國民小學</v>
      </c>
      <c r="F2494" s="14" t="str">
        <f>IFERROR(__xludf.DUMMYFUNCTION("""COMPUTED_VALUE"""),"五年級")</f>
        <v>五年級</v>
      </c>
      <c r="G2494" s="14" t="str">
        <f>IFERROR(__xludf.DUMMYFUNCTION("""COMPUTED_VALUE"""),"獎狀")</f>
        <v>獎狀</v>
      </c>
      <c r="H2494" s="8"/>
    </row>
    <row r="2495">
      <c r="A2495" s="18"/>
      <c r="B2495" s="14">
        <f>IFERROR(__xludf.DUMMYFUNCTION("""COMPUTED_VALUE"""),1114774.0)</f>
        <v>1114774</v>
      </c>
      <c r="C2495" s="14" t="str">
        <f>IFERROR(__xludf.DUMMYFUNCTION("""COMPUTED_VALUE"""),"林禹呈")</f>
        <v>林禹呈</v>
      </c>
      <c r="D2495" s="16" t="str">
        <f>IFERROR(__xludf.DUMMYFUNCTION("""COMPUTED_VALUE"""),"cse*****86@mail.edu.tw")</f>
        <v>cse*****86@mail.edu.tw</v>
      </c>
      <c r="E2495" s="17" t="str">
        <f>IFERROR(__xludf.DUMMYFUNCTION("""COMPUTED_VALUE"""),"彰化縣彰化市中山國民小學")</f>
        <v>彰化縣彰化市中山國民小學</v>
      </c>
      <c r="F2495" s="14" t="str">
        <f>IFERROR(__xludf.DUMMYFUNCTION("""COMPUTED_VALUE"""),"六年級")</f>
        <v>六年級</v>
      </c>
      <c r="G2495" s="14" t="str">
        <f>IFERROR(__xludf.DUMMYFUNCTION("""COMPUTED_VALUE"""),"獎狀")</f>
        <v>獎狀</v>
      </c>
      <c r="H2495" s="8"/>
    </row>
    <row r="2496">
      <c r="A2496" s="18"/>
      <c r="B2496" s="14">
        <f>IFERROR(__xludf.DUMMYFUNCTION("""COMPUTED_VALUE"""),782247.0)</f>
        <v>782247</v>
      </c>
      <c r="C2496" s="14" t="str">
        <f>IFERROR(__xludf.DUMMYFUNCTION("""COMPUTED_VALUE"""),"麥文薰")</f>
        <v>麥文薰</v>
      </c>
      <c r="D2496" s="16" t="str">
        <f>IFERROR(__xludf.DUMMYFUNCTION("""COMPUTED_VALUE"""),"eva*****30@gmail.com")</f>
        <v>eva*****30@gmail.com</v>
      </c>
      <c r="E2496" s="17" t="str">
        <f>IFERROR(__xludf.DUMMYFUNCTION("""COMPUTED_VALUE"""),"彰化縣彰化市中山國民小學")</f>
        <v>彰化縣彰化市中山國民小學</v>
      </c>
      <c r="F2496" s="14" t="str">
        <f>IFERROR(__xludf.DUMMYFUNCTION("""COMPUTED_VALUE"""),"六年級")</f>
        <v>六年級</v>
      </c>
      <c r="G2496" s="14" t="str">
        <f>IFERROR(__xludf.DUMMYFUNCTION("""COMPUTED_VALUE"""),"獎狀")</f>
        <v>獎狀</v>
      </c>
      <c r="H2496" s="8"/>
    </row>
    <row r="2497">
      <c r="A2497" s="18"/>
      <c r="B2497" s="14">
        <f>IFERROR(__xludf.DUMMYFUNCTION("""COMPUTED_VALUE"""),471947.0)</f>
        <v>471947</v>
      </c>
      <c r="C2497" s="14" t="str">
        <f>IFERROR(__xludf.DUMMYFUNCTION("""COMPUTED_VALUE"""),"林洆宜")</f>
        <v>林洆宜</v>
      </c>
      <c r="D2497" s="16" t="str">
        <f>IFERROR(__xludf.DUMMYFUNCTION("""COMPUTED_VALUE"""),"eas*****100@mail.edu.tw")</f>
        <v>eas*****100@mail.edu.tw</v>
      </c>
      <c r="E2497" s="17" t="str">
        <f>IFERROR(__xludf.DUMMYFUNCTION("""COMPUTED_VALUE"""),"彰化縣彰化市聯興國民小學")</f>
        <v>彰化縣彰化市聯興國民小學</v>
      </c>
      <c r="F2497" s="14" t="str">
        <f>IFERROR(__xludf.DUMMYFUNCTION("""COMPUTED_VALUE"""),"五年級")</f>
        <v>五年級</v>
      </c>
      <c r="G2497" s="14" t="str">
        <f>IFERROR(__xludf.DUMMYFUNCTION("""COMPUTED_VALUE"""),"獎狀")</f>
        <v>獎狀</v>
      </c>
      <c r="H2497" s="8"/>
    </row>
    <row r="2498">
      <c r="A2498" s="18"/>
      <c r="B2498" s="14">
        <f>IFERROR(__xludf.DUMMYFUNCTION("""COMPUTED_VALUE"""),1209400.0)</f>
        <v>1209400</v>
      </c>
      <c r="C2498" s="14" t="str">
        <f>IFERROR(__xludf.DUMMYFUNCTION("""COMPUTED_VALUE"""),"吳侑哲")</f>
        <v>吳侑哲</v>
      </c>
      <c r="D2498" s="16" t="str">
        <f>IFERROR(__xludf.DUMMYFUNCTION("""COMPUTED_VALUE"""),"mse*****27@chc.edu.tw")</f>
        <v>mse*****27@chc.edu.tw</v>
      </c>
      <c r="E2498" s="17" t="str">
        <f>IFERROR(__xludf.DUMMYFUNCTION("""COMPUTED_VALUE"""),"彰化縣彰化市民生國民小學")</f>
        <v>彰化縣彰化市民生國民小學</v>
      </c>
      <c r="F2498" s="14" t="str">
        <f>IFERROR(__xludf.DUMMYFUNCTION("""COMPUTED_VALUE"""),"三年級")</f>
        <v>三年級</v>
      </c>
      <c r="G2498" s="14" t="str">
        <f>IFERROR(__xludf.DUMMYFUNCTION("""COMPUTED_VALUE"""),"獎狀")</f>
        <v>獎狀</v>
      </c>
      <c r="H2498" s="8"/>
    </row>
    <row r="2499">
      <c r="A2499" s="18"/>
      <c r="B2499" s="14">
        <f>IFERROR(__xludf.DUMMYFUNCTION("""COMPUTED_VALUE"""),383127.0)</f>
        <v>383127</v>
      </c>
      <c r="C2499" s="14" t="str">
        <f>IFERROR(__xludf.DUMMYFUNCTION("""COMPUTED_VALUE"""),"郭家妤")</f>
        <v>郭家妤</v>
      </c>
      <c r="D2499" s="16" t="str">
        <f>IFERROR(__xludf.DUMMYFUNCTION("""COMPUTED_VALUE"""),"mse*****75@mail.edu.tw")</f>
        <v>mse*****75@mail.edu.tw</v>
      </c>
      <c r="E2499" s="17" t="str">
        <f>IFERROR(__xludf.DUMMYFUNCTION("""COMPUTED_VALUE"""),"彰化縣彰化市民生國民小學")</f>
        <v>彰化縣彰化市民生國民小學</v>
      </c>
      <c r="F2499" s="14" t="str">
        <f>IFERROR(__xludf.DUMMYFUNCTION("""COMPUTED_VALUE"""),"六年級")</f>
        <v>六年級</v>
      </c>
      <c r="G2499" s="14" t="str">
        <f>IFERROR(__xludf.DUMMYFUNCTION("""COMPUTED_VALUE"""),"●小禮物")</f>
        <v>●小禮物</v>
      </c>
      <c r="H2499" s="8"/>
    </row>
    <row r="2500">
      <c r="A2500" s="18"/>
      <c r="B2500" s="14">
        <f>IFERROR(__xludf.DUMMYFUNCTION("""COMPUTED_VALUE"""),714906.0)</f>
        <v>714906</v>
      </c>
      <c r="C2500" s="14" t="str">
        <f>IFERROR(__xludf.DUMMYFUNCTION("""COMPUTED_VALUE"""),"何啟右")</f>
        <v>何啟右</v>
      </c>
      <c r="D2500" s="16" t="str">
        <f>IFERROR(__xludf.DUMMYFUNCTION("""COMPUTED_VALUE"""),"hyh*****16@mail.edu.tw")</f>
        <v>hyh*****16@mail.edu.tw</v>
      </c>
      <c r="E2500" s="17" t="str">
        <f>IFERROR(__xludf.DUMMYFUNCTION("""COMPUTED_VALUE"""),"彰化縣立信義國民中小學國小部")</f>
        <v>彰化縣立信義國民中小學國小部</v>
      </c>
      <c r="F2500" s="14" t="str">
        <f>IFERROR(__xludf.DUMMYFUNCTION("""COMPUTED_VALUE"""),"五年級")</f>
        <v>五年級</v>
      </c>
      <c r="G2500" s="14" t="str">
        <f>IFERROR(__xludf.DUMMYFUNCTION("""COMPUTED_VALUE"""),"●小禮物")</f>
        <v>●小禮物</v>
      </c>
      <c r="H2500" s="8"/>
    </row>
    <row r="2501">
      <c r="A2501" s="18"/>
      <c r="B2501" s="14">
        <f>IFERROR(__xludf.DUMMYFUNCTION("""COMPUTED_VALUE"""),840488.0)</f>
        <v>840488</v>
      </c>
      <c r="C2501" s="14" t="str">
        <f>IFERROR(__xludf.DUMMYFUNCTION("""COMPUTED_VALUE"""),"黃峟寧")</f>
        <v>黃峟寧</v>
      </c>
      <c r="D2501" s="16" t="str">
        <f>IFERROR(__xludf.DUMMYFUNCTION("""COMPUTED_VALUE"""),"phe*****2@mail.edu.tw")</f>
        <v>phe*****2@mail.edu.tw</v>
      </c>
      <c r="E2501" s="17" t="str">
        <f>IFERROR(__xludf.DUMMYFUNCTION("""COMPUTED_VALUE"""),"彰化縣彰化市平和國民小學")</f>
        <v>彰化縣彰化市平和國民小學</v>
      </c>
      <c r="F2501" s="14" t="str">
        <f>IFERROR(__xludf.DUMMYFUNCTION("""COMPUTED_VALUE"""),"六年級")</f>
        <v>六年級</v>
      </c>
      <c r="G2501" s="14" t="str">
        <f>IFERROR(__xludf.DUMMYFUNCTION("""COMPUTED_VALUE"""),"●小禮物")</f>
        <v>●小禮物</v>
      </c>
      <c r="H2501" s="8"/>
    </row>
    <row r="2502">
      <c r="A2502" s="18"/>
      <c r="B2502" s="14">
        <f>IFERROR(__xludf.DUMMYFUNCTION("""COMPUTED_VALUE"""),882549.0)</f>
        <v>882549</v>
      </c>
      <c r="C2502" s="14" t="str">
        <f>IFERROR(__xludf.DUMMYFUNCTION("""COMPUTED_VALUE"""),"張祐菱")</f>
        <v>張祐菱</v>
      </c>
      <c r="D2502" s="16" t="str">
        <f>IFERROR(__xludf.DUMMYFUNCTION("""COMPUTED_VALUE"""),"jsp*****20@mail.edu.tw")</f>
        <v>jsp*****20@mail.edu.tw</v>
      </c>
      <c r="E2502" s="17" t="str">
        <f>IFERROR(__xludf.DUMMYFUNCTION("""COMPUTED_VALUE"""),"彰化縣彰化市忠孝國民小學")</f>
        <v>彰化縣彰化市忠孝國民小學</v>
      </c>
      <c r="F2502" s="14" t="str">
        <f>IFERROR(__xludf.DUMMYFUNCTION("""COMPUTED_VALUE"""),"四年級")</f>
        <v>四年級</v>
      </c>
      <c r="G2502" s="14" t="str">
        <f>IFERROR(__xludf.DUMMYFUNCTION("""COMPUTED_VALUE"""),"獎狀")</f>
        <v>獎狀</v>
      </c>
      <c r="H2502" s="8"/>
    </row>
    <row r="2503">
      <c r="A2503" s="18"/>
      <c r="B2503" s="14">
        <f>IFERROR(__xludf.DUMMYFUNCTION("""COMPUTED_VALUE"""),1006878.0)</f>
        <v>1006878</v>
      </c>
      <c r="C2503" s="14" t="str">
        <f>IFERROR(__xludf.DUMMYFUNCTION("""COMPUTED_VALUE"""),"許子萱")</f>
        <v>許子萱</v>
      </c>
      <c r="D2503" s="16" t="str">
        <f>IFERROR(__xludf.DUMMYFUNCTION("""COMPUTED_VALUE"""),"zho*****59@gmail.com")</f>
        <v>zho*****59@gmail.com</v>
      </c>
      <c r="E2503" s="17" t="str">
        <f>IFERROR(__xludf.DUMMYFUNCTION("""COMPUTED_VALUE"""),"彰化縣彰化市忠孝國民小學")</f>
        <v>彰化縣彰化市忠孝國民小學</v>
      </c>
      <c r="F2503" s="14" t="str">
        <f>IFERROR(__xludf.DUMMYFUNCTION("""COMPUTED_VALUE"""),"五年級")</f>
        <v>五年級</v>
      </c>
      <c r="G2503" s="14" t="str">
        <f>IFERROR(__xludf.DUMMYFUNCTION("""COMPUTED_VALUE"""),"獎狀")</f>
        <v>獎狀</v>
      </c>
      <c r="H2503" s="8"/>
    </row>
    <row r="2504">
      <c r="A2504" s="18"/>
      <c r="B2504" s="14">
        <f>IFERROR(__xludf.DUMMYFUNCTION("""COMPUTED_VALUE"""),1095564.0)</f>
        <v>1095564</v>
      </c>
      <c r="C2504" s="14" t="str">
        <f>IFERROR(__xludf.DUMMYFUNCTION("""COMPUTED_VALUE"""),"高婉榕")</f>
        <v>高婉榕</v>
      </c>
      <c r="D2504" s="16" t="str">
        <f>IFERROR(__xludf.DUMMYFUNCTION("""COMPUTED_VALUE"""),"cat*****mail.edu.tw")</f>
        <v>cat*****mail.edu.tw</v>
      </c>
      <c r="E2504" s="17" t="str">
        <f>IFERROR(__xludf.DUMMYFUNCTION("""COMPUTED_VALUE"""),"彰化縣彰化市東芳國民小學")</f>
        <v>彰化縣彰化市東芳國民小學</v>
      </c>
      <c r="F2504" s="14" t="str">
        <f>IFERROR(__xludf.DUMMYFUNCTION("""COMPUTED_VALUE"""),"五年級")</f>
        <v>五年級</v>
      </c>
      <c r="G2504" s="14" t="str">
        <f>IFERROR(__xludf.DUMMYFUNCTION("""COMPUTED_VALUE"""),"獎狀")</f>
        <v>獎狀</v>
      </c>
      <c r="H2504" s="8"/>
    </row>
    <row r="2505">
      <c r="A2505" s="18"/>
      <c r="B2505" s="14">
        <f>IFERROR(__xludf.DUMMYFUNCTION("""COMPUTED_VALUE"""),978849.0)</f>
        <v>978849</v>
      </c>
      <c r="C2505" s="14" t="str">
        <f>IFERROR(__xludf.DUMMYFUNCTION("""COMPUTED_VALUE"""),"許聿辰")</f>
        <v>許聿辰</v>
      </c>
      <c r="D2505" s="16" t="str">
        <f>IFERROR(__xludf.DUMMYFUNCTION("""COMPUTED_VALUE"""),"joy*****chc.edu.tw")</f>
        <v>joy*****chc.edu.tw</v>
      </c>
      <c r="E2505" s="17" t="str">
        <f>IFERROR(__xludf.DUMMYFUNCTION("""COMPUTED_VALUE"""),"彰化縣彰化市泰和國民小學")</f>
        <v>彰化縣彰化市泰和國民小學</v>
      </c>
      <c r="F2505" s="14" t="str">
        <f>IFERROR(__xludf.DUMMYFUNCTION("""COMPUTED_VALUE"""),"六年級")</f>
        <v>六年級</v>
      </c>
      <c r="G2505" s="14" t="str">
        <f>IFERROR(__xludf.DUMMYFUNCTION("""COMPUTED_VALUE"""),"獎狀")</f>
        <v>獎狀</v>
      </c>
      <c r="H2505" s="8"/>
    </row>
    <row r="2506">
      <c r="A2506" s="18"/>
      <c r="B2506" s="14">
        <f>IFERROR(__xludf.DUMMYFUNCTION("""COMPUTED_VALUE"""),1174838.0)</f>
        <v>1174838</v>
      </c>
      <c r="C2506" s="14" t="str">
        <f>IFERROR(__xludf.DUMMYFUNCTION("""COMPUTED_VALUE"""),"黃紹軒")</f>
        <v>黃紹軒</v>
      </c>
      <c r="D2506" s="16" t="str">
        <f>IFERROR(__xludf.DUMMYFUNCTION("""COMPUTED_VALUE"""),"201*****hu@gmail.com")</f>
        <v>201*****hu@gmail.com</v>
      </c>
      <c r="E2506" s="17" t="str">
        <f>IFERROR(__xludf.DUMMYFUNCTION("""COMPUTED_VALUE"""),"彰化縣彰化市南郭國民小學")</f>
        <v>彰化縣彰化市南郭國民小學</v>
      </c>
      <c r="F2506" s="14" t="str">
        <f>IFERROR(__xludf.DUMMYFUNCTION("""COMPUTED_VALUE"""),"三年級")</f>
        <v>三年級</v>
      </c>
      <c r="G2506" s="14" t="str">
        <f>IFERROR(__xludf.DUMMYFUNCTION("""COMPUTED_VALUE"""),"獎狀")</f>
        <v>獎狀</v>
      </c>
      <c r="H2506" s="8"/>
    </row>
    <row r="2507">
      <c r="A2507" s="18"/>
      <c r="B2507" s="14">
        <f>IFERROR(__xludf.DUMMYFUNCTION("""COMPUTED_VALUE"""),1115748.0)</f>
        <v>1115748</v>
      </c>
      <c r="C2507" s="14" t="str">
        <f>IFERROR(__xludf.DUMMYFUNCTION("""COMPUTED_VALUE"""),"黃奕橙")</f>
        <v>黃奕橙</v>
      </c>
      <c r="D2507" s="16" t="str">
        <f>IFERROR(__xludf.DUMMYFUNCTION("""COMPUTED_VALUE"""),"dan*****@chc.edu.tw")</f>
        <v>dan*****@chc.edu.tw</v>
      </c>
      <c r="E2507" s="17" t="str">
        <f>IFERROR(__xludf.DUMMYFUNCTION("""COMPUTED_VALUE"""),"彰化縣彰化市南郭國民小學")</f>
        <v>彰化縣彰化市南郭國民小學</v>
      </c>
      <c r="F2507" s="14" t="str">
        <f>IFERROR(__xludf.DUMMYFUNCTION("""COMPUTED_VALUE"""),"三年級")</f>
        <v>三年級</v>
      </c>
      <c r="G2507" s="14" t="str">
        <f>IFERROR(__xludf.DUMMYFUNCTION("""COMPUTED_VALUE"""),"●小禮物")</f>
        <v>●小禮物</v>
      </c>
      <c r="H2507" s="8"/>
    </row>
    <row r="2508">
      <c r="A2508" s="18"/>
      <c r="B2508" s="14">
        <f>IFERROR(__xludf.DUMMYFUNCTION("""COMPUTED_VALUE"""),960838.0)</f>
        <v>960838</v>
      </c>
      <c r="C2508" s="14" t="str">
        <f>IFERROR(__xludf.DUMMYFUNCTION("""COMPUTED_VALUE"""),"賴靖霖")</f>
        <v>賴靖霖</v>
      </c>
      <c r="D2508" s="16" t="str">
        <f>IFERROR(__xludf.DUMMYFUNCTION("""COMPUTED_VALUE"""),"mia*****ail.edu.tw")</f>
        <v>mia*****ail.edu.tw</v>
      </c>
      <c r="E2508" s="17" t="str">
        <f>IFERROR(__xludf.DUMMYFUNCTION("""COMPUTED_VALUE"""),"彰化縣彰化市南郭國民小學")</f>
        <v>彰化縣彰化市南郭國民小學</v>
      </c>
      <c r="F2508" s="14" t="str">
        <f>IFERROR(__xludf.DUMMYFUNCTION("""COMPUTED_VALUE"""),"三年級")</f>
        <v>三年級</v>
      </c>
      <c r="G2508" s="14" t="str">
        <f>IFERROR(__xludf.DUMMYFUNCTION("""COMPUTED_VALUE"""),"●小禮物")</f>
        <v>●小禮物</v>
      </c>
      <c r="H2508" s="8"/>
    </row>
    <row r="2509">
      <c r="A2509" s="18"/>
      <c r="B2509" s="14">
        <f>IFERROR(__xludf.DUMMYFUNCTION("""COMPUTED_VALUE"""),953027.0)</f>
        <v>953027</v>
      </c>
      <c r="C2509" s="14" t="str">
        <f>IFERROR(__xludf.DUMMYFUNCTION("""COMPUTED_VALUE"""),"李宥均")</f>
        <v>李宥均</v>
      </c>
      <c r="D2509" s="16" t="str">
        <f>IFERROR(__xludf.DUMMYFUNCTION("""COMPUTED_VALUE"""),"139*****ch.org.tw")</f>
        <v>139*****ch.org.tw</v>
      </c>
      <c r="E2509" s="17" t="str">
        <f>IFERROR(__xludf.DUMMYFUNCTION("""COMPUTED_VALUE"""),"彰化縣彰化市南郭國民小學")</f>
        <v>彰化縣彰化市南郭國民小學</v>
      </c>
      <c r="F2509" s="14" t="str">
        <f>IFERROR(__xludf.DUMMYFUNCTION("""COMPUTED_VALUE"""),"三年級")</f>
        <v>三年級</v>
      </c>
      <c r="G2509" s="14" t="str">
        <f>IFERROR(__xludf.DUMMYFUNCTION("""COMPUTED_VALUE"""),"●小禮物")</f>
        <v>●小禮物</v>
      </c>
      <c r="H2509" s="8"/>
    </row>
    <row r="2510">
      <c r="A2510" s="18"/>
      <c r="B2510" s="14">
        <f>IFERROR(__xludf.DUMMYFUNCTION("""COMPUTED_VALUE"""),1047942.0)</f>
        <v>1047942</v>
      </c>
      <c r="C2510" s="14" t="str">
        <f>IFERROR(__xludf.DUMMYFUNCTION("""COMPUTED_VALUE"""),"黃苡榛")</f>
        <v>黃苡榛</v>
      </c>
      <c r="D2510" s="16" t="str">
        <f>IFERROR(__xludf.DUMMYFUNCTION("""COMPUTED_VALUE"""),"E.j*****@hotmail.com")</f>
        <v>E.j*****@hotmail.com</v>
      </c>
      <c r="E2510" s="17" t="str">
        <f>IFERROR(__xludf.DUMMYFUNCTION("""COMPUTED_VALUE"""),"彰化縣彰化市南郭國民小學")</f>
        <v>彰化縣彰化市南郭國民小學</v>
      </c>
      <c r="F2510" s="14" t="str">
        <f>IFERROR(__xludf.DUMMYFUNCTION("""COMPUTED_VALUE"""),"三年級")</f>
        <v>三年級</v>
      </c>
      <c r="G2510" s="14" t="str">
        <f>IFERROR(__xludf.DUMMYFUNCTION("""COMPUTED_VALUE"""),"獎狀")</f>
        <v>獎狀</v>
      </c>
      <c r="H2510" s="8"/>
    </row>
    <row r="2511">
      <c r="A2511" s="18"/>
      <c r="B2511" s="14">
        <f>IFERROR(__xludf.DUMMYFUNCTION("""COMPUTED_VALUE"""),511207.0)</f>
        <v>511207</v>
      </c>
      <c r="C2511" s="14" t="str">
        <f>IFERROR(__xludf.DUMMYFUNCTION("""COMPUTED_VALUE"""),"顏祐宸")</f>
        <v>顏祐宸</v>
      </c>
      <c r="D2511" s="16" t="str">
        <f>IFERROR(__xludf.DUMMYFUNCTION("""COMPUTED_VALUE"""),"a09*****558@gmail.com")</f>
        <v>a09*****558@gmail.com</v>
      </c>
      <c r="E2511" s="17" t="str">
        <f>IFERROR(__xludf.DUMMYFUNCTION("""COMPUTED_VALUE"""),"彰化縣彰化市南郭國民小學")</f>
        <v>彰化縣彰化市南郭國民小學</v>
      </c>
      <c r="F2511" s="14" t="str">
        <f>IFERROR(__xludf.DUMMYFUNCTION("""COMPUTED_VALUE"""),"三年級")</f>
        <v>三年級</v>
      </c>
      <c r="G2511" s="14" t="str">
        <f>IFERROR(__xludf.DUMMYFUNCTION("""COMPUTED_VALUE"""),"★禮券$200")</f>
        <v>★禮券$200</v>
      </c>
      <c r="H2511" s="8"/>
    </row>
    <row r="2512">
      <c r="A2512" s="18"/>
      <c r="B2512" s="14">
        <f>IFERROR(__xludf.DUMMYFUNCTION("""COMPUTED_VALUE"""),771388.0)</f>
        <v>771388</v>
      </c>
      <c r="C2512" s="14" t="str">
        <f>IFERROR(__xludf.DUMMYFUNCTION("""COMPUTED_VALUE"""),"賴冠霖")</f>
        <v>賴冠霖</v>
      </c>
      <c r="D2512" s="16" t="str">
        <f>IFERROR(__xludf.DUMMYFUNCTION("""COMPUTED_VALUE"""),"ant*****1@mail.edu.tw")</f>
        <v>ant*****1@mail.edu.tw</v>
      </c>
      <c r="E2512" s="17" t="str">
        <f>IFERROR(__xludf.DUMMYFUNCTION("""COMPUTED_VALUE"""),"彰化縣彰化市南郭國民小學")</f>
        <v>彰化縣彰化市南郭國民小學</v>
      </c>
      <c r="F2512" s="14" t="str">
        <f>IFERROR(__xludf.DUMMYFUNCTION("""COMPUTED_VALUE"""),"四年級")</f>
        <v>四年級</v>
      </c>
      <c r="G2512" s="14" t="str">
        <f>IFERROR(__xludf.DUMMYFUNCTION("""COMPUTED_VALUE"""),"獎狀")</f>
        <v>獎狀</v>
      </c>
      <c r="H2512" s="8"/>
    </row>
    <row r="2513">
      <c r="A2513" s="18"/>
      <c r="B2513" s="14">
        <f>IFERROR(__xludf.DUMMYFUNCTION("""COMPUTED_VALUE"""),953060.0)</f>
        <v>953060</v>
      </c>
      <c r="C2513" s="14" t="str">
        <f>IFERROR(__xludf.DUMMYFUNCTION("""COMPUTED_VALUE"""),"李宥廷")</f>
        <v>李宥廷</v>
      </c>
      <c r="D2513" s="16" t="str">
        <f>IFERROR(__xludf.DUMMYFUNCTION("""COMPUTED_VALUE"""),"133*****ch.org.tw")</f>
        <v>133*****ch.org.tw</v>
      </c>
      <c r="E2513" s="17" t="str">
        <f>IFERROR(__xludf.DUMMYFUNCTION("""COMPUTED_VALUE"""),"彰化縣彰化市南郭國民小學")</f>
        <v>彰化縣彰化市南郭國民小學</v>
      </c>
      <c r="F2513" s="14" t="str">
        <f>IFERROR(__xludf.DUMMYFUNCTION("""COMPUTED_VALUE"""),"四年級")</f>
        <v>四年級</v>
      </c>
      <c r="G2513" s="14" t="str">
        <f>IFERROR(__xludf.DUMMYFUNCTION("""COMPUTED_VALUE"""),"獎狀")</f>
        <v>獎狀</v>
      </c>
      <c r="H2513" s="8"/>
    </row>
    <row r="2514">
      <c r="A2514" s="18"/>
      <c r="B2514" s="14">
        <f>IFERROR(__xludf.DUMMYFUNCTION("""COMPUTED_VALUE"""),763091.0)</f>
        <v>763091</v>
      </c>
      <c r="C2514" s="14" t="str">
        <f>IFERROR(__xludf.DUMMYFUNCTION("""COMPUTED_VALUE"""),"何青穎")</f>
        <v>何青穎</v>
      </c>
      <c r="D2514" s="16" t="str">
        <f>IFERROR(__xludf.DUMMYFUNCTION("""COMPUTED_VALUE"""),"yat*****15@gmail.com")</f>
        <v>yat*****15@gmail.com</v>
      </c>
      <c r="E2514" s="17" t="str">
        <f>IFERROR(__xludf.DUMMYFUNCTION("""COMPUTED_VALUE"""),"彰化縣彰化市南郭國民小學")</f>
        <v>彰化縣彰化市南郭國民小學</v>
      </c>
      <c r="F2514" s="14" t="str">
        <f>IFERROR(__xludf.DUMMYFUNCTION("""COMPUTED_VALUE"""),"五年級")</f>
        <v>五年級</v>
      </c>
      <c r="G2514" s="14" t="str">
        <f>IFERROR(__xludf.DUMMYFUNCTION("""COMPUTED_VALUE"""),"獎狀")</f>
        <v>獎狀</v>
      </c>
      <c r="H2514" s="8"/>
    </row>
    <row r="2515">
      <c r="A2515" s="18"/>
      <c r="B2515" s="14">
        <f>IFERROR(__xludf.DUMMYFUNCTION("""COMPUTED_VALUE"""),865492.0)</f>
        <v>865492</v>
      </c>
      <c r="C2515" s="14" t="str">
        <f>IFERROR(__xludf.DUMMYFUNCTION("""COMPUTED_VALUE"""),"陳首丞")</f>
        <v>陳首丞</v>
      </c>
      <c r="D2515" s="16" t="str">
        <f>IFERROR(__xludf.DUMMYFUNCTION("""COMPUTED_VALUE"""),"mor*****8@gmail.com")</f>
        <v>mor*****8@gmail.com</v>
      </c>
      <c r="E2515" s="17" t="str">
        <f>IFERROR(__xludf.DUMMYFUNCTION("""COMPUTED_VALUE"""),"彰化縣彰化市南郭國民小學")</f>
        <v>彰化縣彰化市南郭國民小學</v>
      </c>
      <c r="F2515" s="14" t="str">
        <f>IFERROR(__xludf.DUMMYFUNCTION("""COMPUTED_VALUE"""),"五年級")</f>
        <v>五年級</v>
      </c>
      <c r="G2515" s="14" t="str">
        <f>IFERROR(__xludf.DUMMYFUNCTION("""COMPUTED_VALUE"""),"●小禮物")</f>
        <v>●小禮物</v>
      </c>
      <c r="H2515" s="8"/>
    </row>
    <row r="2516">
      <c r="A2516" s="18"/>
      <c r="B2516" s="14">
        <f>IFERROR(__xludf.DUMMYFUNCTION("""COMPUTED_VALUE"""),927650.0)</f>
        <v>927650</v>
      </c>
      <c r="C2516" s="14" t="str">
        <f>IFERROR(__xludf.DUMMYFUNCTION("""COMPUTED_VALUE"""),"謝承諺")</f>
        <v>謝承諺</v>
      </c>
      <c r="D2516" s="16" t="str">
        <f>IFERROR(__xludf.DUMMYFUNCTION("""COMPUTED_VALUE"""),"wc0*****cloud.com")</f>
        <v>wc0*****cloud.com</v>
      </c>
      <c r="E2516" s="17" t="str">
        <f>IFERROR(__xludf.DUMMYFUNCTION("""COMPUTED_VALUE"""),"彰化縣彰化市南郭國民小學")</f>
        <v>彰化縣彰化市南郭國民小學</v>
      </c>
      <c r="F2516" s="14" t="str">
        <f>IFERROR(__xludf.DUMMYFUNCTION("""COMPUTED_VALUE"""),"五年級")</f>
        <v>五年級</v>
      </c>
      <c r="G2516" s="14" t="str">
        <f>IFERROR(__xludf.DUMMYFUNCTION("""COMPUTED_VALUE"""),"獎狀")</f>
        <v>獎狀</v>
      </c>
      <c r="H2516" s="8"/>
    </row>
    <row r="2517">
      <c r="A2517" s="18"/>
      <c r="B2517" s="14">
        <f>IFERROR(__xludf.DUMMYFUNCTION("""COMPUTED_VALUE"""),586132.0)</f>
        <v>586132</v>
      </c>
      <c r="C2517" s="14" t="str">
        <f>IFERROR(__xludf.DUMMYFUNCTION("""COMPUTED_VALUE"""),"劉芮瑜")</f>
        <v>劉芮瑜</v>
      </c>
      <c r="D2517" s="16" t="str">
        <f>IFERROR(__xludf.DUMMYFUNCTION("""COMPUTED_VALUE"""),"yol*****a@mail.edu.tw")</f>
        <v>yol*****a@mail.edu.tw</v>
      </c>
      <c r="E2517" s="17" t="str">
        <f>IFERROR(__xludf.DUMMYFUNCTION("""COMPUTED_VALUE"""),"彰化縣彰化市南郭國民小學")</f>
        <v>彰化縣彰化市南郭國民小學</v>
      </c>
      <c r="F2517" s="14" t="str">
        <f>IFERROR(__xludf.DUMMYFUNCTION("""COMPUTED_VALUE"""),"六年級")</f>
        <v>六年級</v>
      </c>
      <c r="G2517" s="14" t="str">
        <f>IFERROR(__xludf.DUMMYFUNCTION("""COMPUTED_VALUE"""),"●小禮物")</f>
        <v>●小禮物</v>
      </c>
      <c r="H2517" s="8"/>
    </row>
    <row r="2518">
      <c r="A2518" s="18"/>
      <c r="B2518" s="14">
        <f>IFERROR(__xludf.DUMMYFUNCTION("""COMPUTED_VALUE"""),800110.0)</f>
        <v>800110</v>
      </c>
      <c r="C2518" s="14" t="str">
        <f>IFERROR(__xludf.DUMMYFUNCTION("""COMPUTED_VALUE"""),"江昊洧")</f>
        <v>江昊洧</v>
      </c>
      <c r="D2518" s="16" t="str">
        <f>IFERROR(__xludf.DUMMYFUNCTION("""COMPUTED_VALUE"""),"jac*****03@mail.edu.tw")</f>
        <v>jac*****03@mail.edu.tw</v>
      </c>
      <c r="E2518" s="17" t="str">
        <f>IFERROR(__xludf.DUMMYFUNCTION("""COMPUTED_VALUE"""),"彰化縣芬園鄉文德國民小學")</f>
        <v>彰化縣芬園鄉文德國民小學</v>
      </c>
      <c r="F2518" s="14" t="str">
        <f>IFERROR(__xludf.DUMMYFUNCTION("""COMPUTED_VALUE"""),"四年級")</f>
        <v>四年級</v>
      </c>
      <c r="G2518" s="14" t="str">
        <f>IFERROR(__xludf.DUMMYFUNCTION("""COMPUTED_VALUE"""),"●小禮物")</f>
        <v>●小禮物</v>
      </c>
      <c r="H2518" s="8"/>
    </row>
    <row r="2519">
      <c r="A2519" s="18"/>
      <c r="B2519" s="14">
        <f>IFERROR(__xludf.DUMMYFUNCTION("""COMPUTED_VALUE"""),799352.0)</f>
        <v>799352</v>
      </c>
      <c r="C2519" s="14" t="str">
        <f>IFERROR(__xludf.DUMMYFUNCTION("""COMPUTED_VALUE"""),"邱皓渝")</f>
        <v>邱皓渝</v>
      </c>
      <c r="D2519" s="16" t="str">
        <f>IFERROR(__xludf.DUMMYFUNCTION("""COMPUTED_VALUE"""),"oli*****20@mail.edu.tw")</f>
        <v>oli*****20@mail.edu.tw</v>
      </c>
      <c r="E2519" s="17" t="str">
        <f>IFERROR(__xludf.DUMMYFUNCTION("""COMPUTED_VALUE"""),"彰化縣芬園鄉文德國民小學")</f>
        <v>彰化縣芬園鄉文德國民小學</v>
      </c>
      <c r="F2519" s="14" t="str">
        <f>IFERROR(__xludf.DUMMYFUNCTION("""COMPUTED_VALUE"""),"四年級")</f>
        <v>四年級</v>
      </c>
      <c r="G2519" s="14" t="str">
        <f>IFERROR(__xludf.DUMMYFUNCTION("""COMPUTED_VALUE"""),"●小禮物")</f>
        <v>●小禮物</v>
      </c>
      <c r="H2519" s="8"/>
    </row>
    <row r="2520">
      <c r="A2520" s="18"/>
      <c r="B2520" s="14">
        <f>IFERROR(__xludf.DUMMYFUNCTION("""COMPUTED_VALUE"""),800115.0)</f>
        <v>800115</v>
      </c>
      <c r="C2520" s="14" t="str">
        <f>IFERROR(__xludf.DUMMYFUNCTION("""COMPUTED_VALUE"""),"許鳳茹")</f>
        <v>許鳳茹</v>
      </c>
      <c r="D2520" s="16" t="str">
        <f>IFERROR(__xludf.DUMMYFUNCTION("""COMPUTED_VALUE"""),"rub*****018@mail.edu.tw")</f>
        <v>rub*****018@mail.edu.tw</v>
      </c>
      <c r="E2520" s="17" t="str">
        <f>IFERROR(__xludf.DUMMYFUNCTION("""COMPUTED_VALUE"""),"彰化縣芬園鄉文德國民小學")</f>
        <v>彰化縣芬園鄉文德國民小學</v>
      </c>
      <c r="F2520" s="14" t="str">
        <f>IFERROR(__xludf.DUMMYFUNCTION("""COMPUTED_VALUE"""),"四年級")</f>
        <v>四年級</v>
      </c>
      <c r="G2520" s="14" t="str">
        <f>IFERROR(__xludf.DUMMYFUNCTION("""COMPUTED_VALUE"""),"●小禮物")</f>
        <v>●小禮物</v>
      </c>
      <c r="H2520" s="8"/>
    </row>
    <row r="2521">
      <c r="A2521" s="18"/>
      <c r="B2521" s="14">
        <f>IFERROR(__xludf.DUMMYFUNCTION("""COMPUTED_VALUE"""),800101.0)</f>
        <v>800101</v>
      </c>
      <c r="C2521" s="14" t="str">
        <f>IFERROR(__xludf.DUMMYFUNCTION("""COMPUTED_VALUE"""),"許繼允")</f>
        <v>許繼允</v>
      </c>
      <c r="D2521" s="16" t="str">
        <f>IFERROR(__xludf.DUMMYFUNCTION("""COMPUTED_VALUE"""),"chc*****0@mail.edu.tw")</f>
        <v>chc*****0@mail.edu.tw</v>
      </c>
      <c r="E2521" s="17" t="str">
        <f>IFERROR(__xludf.DUMMYFUNCTION("""COMPUTED_VALUE"""),"彰化縣芬園鄉文德國民小學")</f>
        <v>彰化縣芬園鄉文德國民小學</v>
      </c>
      <c r="F2521" s="14" t="str">
        <f>IFERROR(__xludf.DUMMYFUNCTION("""COMPUTED_VALUE"""),"四年級")</f>
        <v>四年級</v>
      </c>
      <c r="G2521" s="14" t="str">
        <f>IFERROR(__xludf.DUMMYFUNCTION("""COMPUTED_VALUE"""),"●小禮物")</f>
        <v>●小禮物</v>
      </c>
      <c r="H2521" s="8"/>
    </row>
    <row r="2522">
      <c r="A2522" s="18"/>
      <c r="B2522" s="14">
        <f>IFERROR(__xludf.DUMMYFUNCTION("""COMPUTED_VALUE"""),800102.0)</f>
        <v>800102</v>
      </c>
      <c r="C2522" s="14" t="str">
        <f>IFERROR(__xludf.DUMMYFUNCTION("""COMPUTED_VALUE"""),"陳宥熙")</f>
        <v>陳宥熙</v>
      </c>
      <c r="D2522" s="16" t="str">
        <f>IFERROR(__xludf.DUMMYFUNCTION("""COMPUTED_VALUE"""),"bat*****108009@mail.edu.tw")</f>
        <v>bat*****108009@mail.edu.tw</v>
      </c>
      <c r="E2522" s="17" t="str">
        <f>IFERROR(__xludf.DUMMYFUNCTION("""COMPUTED_VALUE"""),"彰化縣芬園鄉文德國民小學")</f>
        <v>彰化縣芬園鄉文德國民小學</v>
      </c>
      <c r="F2522" s="14" t="str">
        <f>IFERROR(__xludf.DUMMYFUNCTION("""COMPUTED_VALUE"""),"四年級")</f>
        <v>四年級</v>
      </c>
      <c r="G2522" s="14" t="str">
        <f>IFERROR(__xludf.DUMMYFUNCTION("""COMPUTED_VALUE"""),"●小禮物")</f>
        <v>●小禮物</v>
      </c>
      <c r="H2522" s="8"/>
    </row>
    <row r="2523">
      <c r="A2523" s="18"/>
      <c r="B2523" s="14">
        <f>IFERROR(__xludf.DUMMYFUNCTION("""COMPUTED_VALUE"""),799509.0)</f>
        <v>799509</v>
      </c>
      <c r="C2523" s="14" t="str">
        <f>IFERROR(__xludf.DUMMYFUNCTION("""COMPUTED_VALUE"""),"陳勤仲")</f>
        <v>陳勤仲</v>
      </c>
      <c r="D2523" s="16" t="str">
        <f>IFERROR(__xludf.DUMMYFUNCTION("""COMPUTED_VALUE"""),"chr*****025@mail.edu.tw")</f>
        <v>chr*****025@mail.edu.tw</v>
      </c>
      <c r="E2523" s="17" t="str">
        <f>IFERROR(__xludf.DUMMYFUNCTION("""COMPUTED_VALUE"""),"彰化縣芬園鄉文德國民小學")</f>
        <v>彰化縣芬園鄉文德國民小學</v>
      </c>
      <c r="F2523" s="14" t="str">
        <f>IFERROR(__xludf.DUMMYFUNCTION("""COMPUTED_VALUE"""),"四年級")</f>
        <v>四年級</v>
      </c>
      <c r="G2523" s="14" t="str">
        <f>IFERROR(__xludf.DUMMYFUNCTION("""COMPUTED_VALUE"""),"●小禮物")</f>
        <v>●小禮物</v>
      </c>
      <c r="H2523" s="8"/>
    </row>
    <row r="2524">
      <c r="A2524" s="18"/>
      <c r="B2524" s="14">
        <f>IFERROR(__xludf.DUMMYFUNCTION("""COMPUTED_VALUE"""),800105.0)</f>
        <v>800105</v>
      </c>
      <c r="C2524" s="14" t="str">
        <f>IFERROR(__xludf.DUMMYFUNCTION("""COMPUTED_VALUE"""),"黃柏寯")</f>
        <v>黃柏寯</v>
      </c>
      <c r="D2524" s="16" t="str">
        <f>IFERROR(__xludf.DUMMYFUNCTION("""COMPUTED_VALUE"""),"dd1*****5@mail.edu.tw")</f>
        <v>dd1*****5@mail.edu.tw</v>
      </c>
      <c r="E2524" s="17" t="str">
        <f>IFERROR(__xludf.DUMMYFUNCTION("""COMPUTED_VALUE"""),"彰化縣芬園鄉文德國民小學")</f>
        <v>彰化縣芬園鄉文德國民小學</v>
      </c>
      <c r="F2524" s="14" t="str">
        <f>IFERROR(__xludf.DUMMYFUNCTION("""COMPUTED_VALUE"""),"四年級")</f>
        <v>四年級</v>
      </c>
      <c r="G2524" s="14" t="str">
        <f>IFERROR(__xludf.DUMMYFUNCTION("""COMPUTED_VALUE"""),"●小禮物")</f>
        <v>●小禮物</v>
      </c>
      <c r="H2524" s="8"/>
    </row>
    <row r="2525">
      <c r="A2525" s="18"/>
      <c r="B2525" s="14">
        <f>IFERROR(__xludf.DUMMYFUNCTION("""COMPUTED_VALUE"""),800112.0)</f>
        <v>800112</v>
      </c>
      <c r="C2525" s="14" t="str">
        <f>IFERROR(__xludf.DUMMYFUNCTION("""COMPUTED_VALUE"""),"廖庠諺")</f>
        <v>廖庠諺</v>
      </c>
      <c r="D2525" s="16" t="str">
        <f>IFERROR(__xludf.DUMMYFUNCTION("""COMPUTED_VALUE"""),"jer*****007@mail.edu.tw")</f>
        <v>jer*****007@mail.edu.tw</v>
      </c>
      <c r="E2525" s="17" t="str">
        <f>IFERROR(__xludf.DUMMYFUNCTION("""COMPUTED_VALUE"""),"彰化縣芬園鄉文德國民小學")</f>
        <v>彰化縣芬園鄉文德國民小學</v>
      </c>
      <c r="F2525" s="14" t="str">
        <f>IFERROR(__xludf.DUMMYFUNCTION("""COMPUTED_VALUE"""),"四年級")</f>
        <v>四年級</v>
      </c>
      <c r="G2525" s="14" t="str">
        <f>IFERROR(__xludf.DUMMYFUNCTION("""COMPUTED_VALUE"""),"●小禮物")</f>
        <v>●小禮物</v>
      </c>
      <c r="H2525" s="8"/>
    </row>
    <row r="2526">
      <c r="A2526" s="18"/>
      <c r="B2526" s="14">
        <f>IFERROR(__xludf.DUMMYFUNCTION("""COMPUTED_VALUE"""),800111.0)</f>
        <v>800111</v>
      </c>
      <c r="C2526" s="14" t="str">
        <f>IFERROR(__xludf.DUMMYFUNCTION("""COMPUTED_VALUE"""),"沈佳叡")</f>
        <v>沈佳叡</v>
      </c>
      <c r="D2526" s="16" t="str">
        <f>IFERROR(__xludf.DUMMYFUNCTION("""COMPUTED_VALUE"""),"eva*****3@mail.edu.tw")</f>
        <v>eva*****3@mail.edu.tw</v>
      </c>
      <c r="E2526" s="17" t="str">
        <f>IFERROR(__xludf.DUMMYFUNCTION("""COMPUTED_VALUE"""),"彰化縣芬園鄉文德國民小學")</f>
        <v>彰化縣芬園鄉文德國民小學</v>
      </c>
      <c r="F2526" s="14" t="str">
        <f>IFERROR(__xludf.DUMMYFUNCTION("""COMPUTED_VALUE"""),"四年級")</f>
        <v>四年級</v>
      </c>
      <c r="G2526" s="14" t="str">
        <f>IFERROR(__xludf.DUMMYFUNCTION("""COMPUTED_VALUE"""),"獎狀")</f>
        <v>獎狀</v>
      </c>
      <c r="H2526" s="8"/>
    </row>
    <row r="2527">
      <c r="A2527" s="18"/>
      <c r="B2527" s="14">
        <f>IFERROR(__xludf.DUMMYFUNCTION("""COMPUTED_VALUE"""),1192827.0)</f>
        <v>1192827</v>
      </c>
      <c r="C2527" s="14" t="str">
        <f>IFERROR(__xludf.DUMMYFUNCTION("""COMPUTED_VALUE"""),"施育叡")</f>
        <v>施育叡</v>
      </c>
      <c r="D2527" s="16" t="str">
        <f>IFERROR(__xludf.DUMMYFUNCTION("""COMPUTED_VALUE"""),"che*****tw@mail.edu.tw")</f>
        <v>che*****tw@mail.edu.tw</v>
      </c>
      <c r="E2527" s="17" t="str">
        <f>IFERROR(__xludf.DUMMYFUNCTION("""COMPUTED_VALUE"""),"彰化縣芬園鄉文德國民小學")</f>
        <v>彰化縣芬園鄉文德國民小學</v>
      </c>
      <c r="F2527" s="14" t="str">
        <f>IFERROR(__xludf.DUMMYFUNCTION("""COMPUTED_VALUE"""),"四年級")</f>
        <v>四年級</v>
      </c>
      <c r="G2527" s="14" t="str">
        <f>IFERROR(__xludf.DUMMYFUNCTION("""COMPUTED_VALUE"""),"獎狀")</f>
        <v>獎狀</v>
      </c>
      <c r="H2527" s="8"/>
    </row>
    <row r="2528">
      <c r="A2528" s="18"/>
      <c r="B2528" s="14">
        <f>IFERROR(__xludf.DUMMYFUNCTION("""COMPUTED_VALUE"""),800113.0)</f>
        <v>800113</v>
      </c>
      <c r="C2528" s="14" t="str">
        <f>IFERROR(__xludf.DUMMYFUNCTION("""COMPUTED_VALUE"""),"許意晴")</f>
        <v>許意晴</v>
      </c>
      <c r="D2528" s="16" t="str">
        <f>IFERROR(__xludf.DUMMYFUNCTION("""COMPUTED_VALUE"""),"lin*****016@mail.edu.tw")</f>
        <v>lin*****016@mail.edu.tw</v>
      </c>
      <c r="E2528" s="17" t="str">
        <f>IFERROR(__xludf.DUMMYFUNCTION("""COMPUTED_VALUE"""),"彰化縣芬園鄉文德國民小學")</f>
        <v>彰化縣芬園鄉文德國民小學</v>
      </c>
      <c r="F2528" s="14" t="str">
        <f>IFERROR(__xludf.DUMMYFUNCTION("""COMPUTED_VALUE"""),"四年級")</f>
        <v>四年級</v>
      </c>
      <c r="G2528" s="14" t="str">
        <f>IFERROR(__xludf.DUMMYFUNCTION("""COMPUTED_VALUE"""),"獎狀")</f>
        <v>獎狀</v>
      </c>
      <c r="H2528" s="8"/>
    </row>
    <row r="2529">
      <c r="A2529" s="18"/>
      <c r="B2529" s="14">
        <f>IFERROR(__xludf.DUMMYFUNCTION("""COMPUTED_VALUE"""),800114.0)</f>
        <v>800114</v>
      </c>
      <c r="C2529" s="14" t="str">
        <f>IFERROR(__xludf.DUMMYFUNCTION("""COMPUTED_VALUE"""),"許潔一")</f>
        <v>許潔一</v>
      </c>
      <c r="D2529" s="16" t="str">
        <f>IFERROR(__xludf.DUMMYFUNCTION("""COMPUTED_VALUE"""),"lol*****14@mail.edu.tw")</f>
        <v>lol*****14@mail.edu.tw</v>
      </c>
      <c r="E2529" s="17" t="str">
        <f>IFERROR(__xludf.DUMMYFUNCTION("""COMPUTED_VALUE"""),"彰化縣芬園鄉文德國民小學")</f>
        <v>彰化縣芬園鄉文德國民小學</v>
      </c>
      <c r="F2529" s="14" t="str">
        <f>IFERROR(__xludf.DUMMYFUNCTION("""COMPUTED_VALUE"""),"四年級")</f>
        <v>四年級</v>
      </c>
      <c r="G2529" s="14" t="str">
        <f>IFERROR(__xludf.DUMMYFUNCTION("""COMPUTED_VALUE"""),"獎狀")</f>
        <v>獎狀</v>
      </c>
      <c r="H2529" s="8"/>
    </row>
    <row r="2530">
      <c r="A2530" s="18"/>
      <c r="B2530" s="14">
        <f>IFERROR(__xludf.DUMMYFUNCTION("""COMPUTED_VALUE"""),799366.0)</f>
        <v>799366</v>
      </c>
      <c r="C2530" s="14" t="str">
        <f>IFERROR(__xludf.DUMMYFUNCTION("""COMPUTED_VALUE"""),"陳宥伶")</f>
        <v>陳宥伶</v>
      </c>
      <c r="D2530" s="16" t="str">
        <f>IFERROR(__xludf.DUMMYFUNCTION("""COMPUTED_VALUE"""),"bat*****108019@mail.edu.tw")</f>
        <v>bat*****108019@mail.edu.tw</v>
      </c>
      <c r="E2530" s="17" t="str">
        <f>IFERROR(__xludf.DUMMYFUNCTION("""COMPUTED_VALUE"""),"彰化縣芬園鄉文德國民小學")</f>
        <v>彰化縣芬園鄉文德國民小學</v>
      </c>
      <c r="F2530" s="14" t="str">
        <f>IFERROR(__xludf.DUMMYFUNCTION("""COMPUTED_VALUE"""),"四年級")</f>
        <v>四年級</v>
      </c>
      <c r="G2530" s="14" t="str">
        <f>IFERROR(__xludf.DUMMYFUNCTION("""COMPUTED_VALUE"""),"獎狀")</f>
        <v>獎狀</v>
      </c>
      <c r="H2530" s="8"/>
    </row>
    <row r="2531">
      <c r="A2531" s="18"/>
      <c r="B2531" s="14">
        <f>IFERROR(__xludf.DUMMYFUNCTION("""COMPUTED_VALUE"""),799361.0)</f>
        <v>799361</v>
      </c>
      <c r="C2531" s="14" t="str">
        <f>IFERROR(__xludf.DUMMYFUNCTION("""COMPUTED_VALUE"""),"陳瑜涵")</f>
        <v>陳瑜涵</v>
      </c>
      <c r="D2531" s="16" t="str">
        <f>IFERROR(__xludf.DUMMYFUNCTION("""COMPUTED_VALUE"""),"han*****@mail.edu.tw")</f>
        <v>han*****@mail.edu.tw</v>
      </c>
      <c r="E2531" s="17" t="str">
        <f>IFERROR(__xludf.DUMMYFUNCTION("""COMPUTED_VALUE"""),"彰化縣芬園鄉文德國民小學")</f>
        <v>彰化縣芬園鄉文德國民小學</v>
      </c>
      <c r="F2531" s="14" t="str">
        <f>IFERROR(__xludf.DUMMYFUNCTION("""COMPUTED_VALUE"""),"四年級")</f>
        <v>四年級</v>
      </c>
      <c r="G2531" s="14" t="str">
        <f>IFERROR(__xludf.DUMMYFUNCTION("""COMPUTED_VALUE"""),"獎狀")</f>
        <v>獎狀</v>
      </c>
      <c r="H2531" s="8"/>
    </row>
    <row r="2532">
      <c r="A2532" s="18"/>
      <c r="B2532" s="14">
        <f>IFERROR(__xludf.DUMMYFUNCTION("""COMPUTED_VALUE"""),799510.0)</f>
        <v>799510</v>
      </c>
      <c r="C2532" s="14" t="str">
        <f>IFERROR(__xludf.DUMMYFUNCTION("""COMPUTED_VALUE"""),"鄭燊鍇")</f>
        <v>鄭燊鍇</v>
      </c>
      <c r="D2532" s="16" t="str">
        <f>IFERROR(__xludf.DUMMYFUNCTION("""COMPUTED_VALUE"""),"dan*****027@mail.edu.tw")</f>
        <v>dan*****027@mail.edu.tw</v>
      </c>
      <c r="E2532" s="17" t="str">
        <f>IFERROR(__xludf.DUMMYFUNCTION("""COMPUTED_VALUE"""),"彰化縣芬園鄉文德國民小學")</f>
        <v>彰化縣芬園鄉文德國民小學</v>
      </c>
      <c r="F2532" s="14" t="str">
        <f>IFERROR(__xludf.DUMMYFUNCTION("""COMPUTED_VALUE"""),"四年級")</f>
        <v>四年級</v>
      </c>
      <c r="G2532" s="14" t="str">
        <f>IFERROR(__xludf.DUMMYFUNCTION("""COMPUTED_VALUE"""),"獎狀")</f>
        <v>獎狀</v>
      </c>
      <c r="H2532" s="8"/>
    </row>
    <row r="2533">
      <c r="A2533" s="18"/>
      <c r="B2533" s="14">
        <f>IFERROR(__xludf.DUMMYFUNCTION("""COMPUTED_VALUE"""),800103.0)</f>
        <v>800103</v>
      </c>
      <c r="C2533" s="14" t="str">
        <f>IFERROR(__xludf.DUMMYFUNCTION("""COMPUTED_VALUE"""),"盧姵慈")</f>
        <v>盧姵慈</v>
      </c>
      <c r="D2533" s="16" t="str">
        <f>IFERROR(__xludf.DUMMYFUNCTION("""COMPUTED_VALUE"""),"all*****16@mail.edu.tw")</f>
        <v>all*****16@mail.edu.tw</v>
      </c>
      <c r="E2533" s="17" t="str">
        <f>IFERROR(__xludf.DUMMYFUNCTION("""COMPUTED_VALUE"""),"彰化縣芬園鄉文德國民小學")</f>
        <v>彰化縣芬園鄉文德國民小學</v>
      </c>
      <c r="F2533" s="14" t="str">
        <f>IFERROR(__xludf.DUMMYFUNCTION("""COMPUTED_VALUE"""),"四年級")</f>
        <v>四年級</v>
      </c>
      <c r="G2533" s="14" t="str">
        <f>IFERROR(__xludf.DUMMYFUNCTION("""COMPUTED_VALUE"""),"獎狀")</f>
        <v>獎狀</v>
      </c>
      <c r="H2533" s="8"/>
    </row>
    <row r="2534">
      <c r="A2534" s="18"/>
      <c r="B2534" s="14">
        <f>IFERROR(__xludf.DUMMYFUNCTION("""COMPUTED_VALUE"""),800104.0)</f>
        <v>800104</v>
      </c>
      <c r="C2534" s="14" t="str">
        <f>IFERROR(__xludf.DUMMYFUNCTION("""COMPUTED_VALUE"""),"蕭詠澤")</f>
        <v>蕭詠澤</v>
      </c>
      <c r="D2534" s="16" t="str">
        <f>IFERROR(__xludf.DUMMYFUNCTION("""COMPUTED_VALUE"""),"isa*****004@mail.edu.tw")</f>
        <v>isa*****004@mail.edu.tw</v>
      </c>
      <c r="E2534" s="17" t="str">
        <f>IFERROR(__xludf.DUMMYFUNCTION("""COMPUTED_VALUE"""),"彰化縣芬園鄉文德國民小學")</f>
        <v>彰化縣芬園鄉文德國民小學</v>
      </c>
      <c r="F2534" s="14" t="str">
        <f>IFERROR(__xludf.DUMMYFUNCTION("""COMPUTED_VALUE"""),"四年級")</f>
        <v>四年級</v>
      </c>
      <c r="G2534" s="14" t="str">
        <f>IFERROR(__xludf.DUMMYFUNCTION("""COMPUTED_VALUE"""),"獎狀")</f>
        <v>獎狀</v>
      </c>
      <c r="H2534" s="8"/>
    </row>
    <row r="2535">
      <c r="A2535" s="18"/>
      <c r="B2535" s="14">
        <f>IFERROR(__xludf.DUMMYFUNCTION("""COMPUTED_VALUE"""),800108.0)</f>
        <v>800108</v>
      </c>
      <c r="C2535" s="14" t="str">
        <f>IFERROR(__xludf.DUMMYFUNCTION("""COMPUTED_VALUE"""),"賴禹睿")</f>
        <v>賴禹睿</v>
      </c>
      <c r="D2535" s="16" t="str">
        <f>IFERROR(__xludf.DUMMYFUNCTION("""COMPUTED_VALUE"""),"rex*****6@mail.edu.tw")</f>
        <v>rex*****6@mail.edu.tw</v>
      </c>
      <c r="E2535" s="17" t="str">
        <f>IFERROR(__xludf.DUMMYFUNCTION("""COMPUTED_VALUE"""),"彰化縣芬園鄉文德國民小學")</f>
        <v>彰化縣芬園鄉文德國民小學</v>
      </c>
      <c r="F2535" s="14" t="str">
        <f>IFERROR(__xludf.DUMMYFUNCTION("""COMPUTED_VALUE"""),"四年級")</f>
        <v>四年級</v>
      </c>
      <c r="G2535" s="14" t="str">
        <f>IFERROR(__xludf.DUMMYFUNCTION("""COMPUTED_VALUE"""),"獎狀")</f>
        <v>獎狀</v>
      </c>
      <c r="H2535" s="8"/>
    </row>
    <row r="2536">
      <c r="A2536" s="18"/>
      <c r="B2536" s="14">
        <f>IFERROR(__xludf.DUMMYFUNCTION("""COMPUTED_VALUE"""),799542.0)</f>
        <v>799542</v>
      </c>
      <c r="C2536" s="14" t="str">
        <f>IFERROR(__xludf.DUMMYFUNCTION("""COMPUTED_VALUE"""),"龔廷安")</f>
        <v>龔廷安</v>
      </c>
      <c r="D2536" s="16" t="str">
        <f>IFERROR(__xludf.DUMMYFUNCTION("""COMPUTED_VALUE"""),"chc*****107242@mail.edu.tw")</f>
        <v>chc*****107242@mail.edu.tw</v>
      </c>
      <c r="E2536" s="17" t="str">
        <f>IFERROR(__xludf.DUMMYFUNCTION("""COMPUTED_VALUE"""),"彰化縣芬園鄉文德國民小學")</f>
        <v>彰化縣芬園鄉文德國民小學</v>
      </c>
      <c r="F2536" s="14" t="str">
        <f>IFERROR(__xludf.DUMMYFUNCTION("""COMPUTED_VALUE"""),"五年級")</f>
        <v>五年級</v>
      </c>
      <c r="G2536" s="14" t="str">
        <f>IFERROR(__xludf.DUMMYFUNCTION("""COMPUTED_VALUE"""),"獎狀")</f>
        <v>獎狀</v>
      </c>
      <c r="H2536" s="8"/>
    </row>
    <row r="2537">
      <c r="A2537" s="18"/>
      <c r="B2537" s="14">
        <f>IFERROR(__xludf.DUMMYFUNCTION("""COMPUTED_VALUE"""),449648.0)</f>
        <v>449648</v>
      </c>
      <c r="C2537" s="14" t="str">
        <f>IFERROR(__xludf.DUMMYFUNCTION("""COMPUTED_VALUE"""),"陳衍叡")</f>
        <v>陳衍叡</v>
      </c>
      <c r="D2537" s="16" t="str">
        <f>IFERROR(__xludf.DUMMYFUNCTION("""COMPUTED_VALUE"""),"wde*****10@mail.edu.tw")</f>
        <v>wde*****10@mail.edu.tw</v>
      </c>
      <c r="E2537" s="17" t="str">
        <f>IFERROR(__xludf.DUMMYFUNCTION("""COMPUTED_VALUE"""),"彰化縣芬園鄉文德國民小學")</f>
        <v>彰化縣芬園鄉文德國民小學</v>
      </c>
      <c r="F2537" s="14" t="str">
        <f>IFERROR(__xludf.DUMMYFUNCTION("""COMPUTED_VALUE"""),"五年級")</f>
        <v>五年級</v>
      </c>
      <c r="G2537" s="14" t="str">
        <f>IFERROR(__xludf.DUMMYFUNCTION("""COMPUTED_VALUE"""),"獎狀")</f>
        <v>獎狀</v>
      </c>
      <c r="H2537" s="8"/>
    </row>
    <row r="2538">
      <c r="A2538" s="18"/>
      <c r="B2538" s="14">
        <f>IFERROR(__xludf.DUMMYFUNCTION("""COMPUTED_VALUE"""),449637.0)</f>
        <v>449637</v>
      </c>
      <c r="C2538" s="14" t="str">
        <f>IFERROR(__xludf.DUMMYFUNCTION("""COMPUTED_VALUE"""),"張允嘉")</f>
        <v>張允嘉</v>
      </c>
      <c r="D2538" s="16" t="str">
        <f>IFERROR(__xludf.DUMMYFUNCTION("""COMPUTED_VALUE"""),"wde*****01@mail.edu.tw")</f>
        <v>wde*****01@mail.edu.tw</v>
      </c>
      <c r="E2538" s="17" t="str">
        <f>IFERROR(__xludf.DUMMYFUNCTION("""COMPUTED_VALUE"""),"彰化縣芬園鄉文德國民小學")</f>
        <v>彰化縣芬園鄉文德國民小學</v>
      </c>
      <c r="F2538" s="14" t="str">
        <f>IFERROR(__xludf.DUMMYFUNCTION("""COMPUTED_VALUE"""),"五年級")</f>
        <v>五年級</v>
      </c>
      <c r="G2538" s="14" t="str">
        <f>IFERROR(__xludf.DUMMYFUNCTION("""COMPUTED_VALUE"""),"獎狀")</f>
        <v>獎狀</v>
      </c>
      <c r="H2538" s="8"/>
    </row>
    <row r="2539">
      <c r="A2539" s="18"/>
      <c r="B2539" s="14">
        <f>IFERROR(__xludf.DUMMYFUNCTION("""COMPUTED_VALUE"""),449646.0)</f>
        <v>449646</v>
      </c>
      <c r="C2539" s="14" t="str">
        <f>IFERROR(__xludf.DUMMYFUNCTION("""COMPUTED_VALUE"""),"高兆鋒")</f>
        <v>高兆鋒</v>
      </c>
      <c r="D2539" s="16" t="str">
        <f>IFERROR(__xludf.DUMMYFUNCTION("""COMPUTED_VALUE"""),"wde*****08@mail.edu.tw")</f>
        <v>wde*****08@mail.edu.tw</v>
      </c>
      <c r="E2539" s="17" t="str">
        <f>IFERROR(__xludf.DUMMYFUNCTION("""COMPUTED_VALUE"""),"彰化縣芬園鄉文德國民小學")</f>
        <v>彰化縣芬園鄉文德國民小學</v>
      </c>
      <c r="F2539" s="14" t="str">
        <f>IFERROR(__xludf.DUMMYFUNCTION("""COMPUTED_VALUE"""),"五年級")</f>
        <v>五年級</v>
      </c>
      <c r="G2539" s="14" t="str">
        <f>IFERROR(__xludf.DUMMYFUNCTION("""COMPUTED_VALUE"""),"●小禮物")</f>
        <v>●小禮物</v>
      </c>
      <c r="H2539" s="8"/>
    </row>
    <row r="2540">
      <c r="A2540" s="18"/>
      <c r="B2540" s="14">
        <f>IFERROR(__xludf.DUMMYFUNCTION("""COMPUTED_VALUE"""),449640.0)</f>
        <v>449640</v>
      </c>
      <c r="C2540" s="14" t="str">
        <f>IFERROR(__xludf.DUMMYFUNCTION("""COMPUTED_VALUE"""),"許晉晏")</f>
        <v>許晉晏</v>
      </c>
      <c r="D2540" s="16" t="str">
        <f>IFERROR(__xludf.DUMMYFUNCTION("""COMPUTED_VALUE"""),"wde*****03@mail.edu.tw")</f>
        <v>wde*****03@mail.edu.tw</v>
      </c>
      <c r="E2540" s="17" t="str">
        <f>IFERROR(__xludf.DUMMYFUNCTION("""COMPUTED_VALUE"""),"彰化縣芬園鄉文德國民小學")</f>
        <v>彰化縣芬園鄉文德國民小學</v>
      </c>
      <c r="F2540" s="14" t="str">
        <f>IFERROR(__xludf.DUMMYFUNCTION("""COMPUTED_VALUE"""),"五年級")</f>
        <v>五年級</v>
      </c>
      <c r="G2540" s="14" t="str">
        <f>IFERROR(__xludf.DUMMYFUNCTION("""COMPUTED_VALUE"""),"●小禮物")</f>
        <v>●小禮物</v>
      </c>
      <c r="H2540" s="8"/>
    </row>
    <row r="2541">
      <c r="A2541" s="18"/>
      <c r="B2541" s="14">
        <f>IFERROR(__xludf.DUMMYFUNCTION("""COMPUTED_VALUE"""),449650.0)</f>
        <v>449650</v>
      </c>
      <c r="C2541" s="14" t="str">
        <f>IFERROR(__xludf.DUMMYFUNCTION("""COMPUTED_VALUE"""),"陳韋彤")</f>
        <v>陳韋彤</v>
      </c>
      <c r="D2541" s="16" t="str">
        <f>IFERROR(__xludf.DUMMYFUNCTION("""COMPUTED_VALUE"""),"wde*****12@mail.edu.tw")</f>
        <v>wde*****12@mail.edu.tw</v>
      </c>
      <c r="E2541" s="17" t="str">
        <f>IFERROR(__xludf.DUMMYFUNCTION("""COMPUTED_VALUE"""),"彰化縣芬園鄉文德國民小學")</f>
        <v>彰化縣芬園鄉文德國民小學</v>
      </c>
      <c r="F2541" s="14" t="str">
        <f>IFERROR(__xludf.DUMMYFUNCTION("""COMPUTED_VALUE"""),"五年級")</f>
        <v>五年級</v>
      </c>
      <c r="G2541" s="14" t="str">
        <f>IFERROR(__xludf.DUMMYFUNCTION("""COMPUTED_VALUE"""),"●小禮物")</f>
        <v>●小禮物</v>
      </c>
      <c r="H2541" s="8"/>
    </row>
    <row r="2542">
      <c r="A2542" s="18"/>
      <c r="B2542" s="14">
        <f>IFERROR(__xludf.DUMMYFUNCTION("""COMPUTED_VALUE"""),449647.0)</f>
        <v>449647</v>
      </c>
      <c r="C2542" s="14" t="str">
        <f>IFERROR(__xludf.DUMMYFUNCTION("""COMPUTED_VALUE"""),"江朔羽")</f>
        <v>江朔羽</v>
      </c>
      <c r="D2542" s="16" t="str">
        <f>IFERROR(__xludf.DUMMYFUNCTION("""COMPUTED_VALUE"""),"wde*****09@mail.edu.tw")</f>
        <v>wde*****09@mail.edu.tw</v>
      </c>
      <c r="E2542" s="17" t="str">
        <f>IFERROR(__xludf.DUMMYFUNCTION("""COMPUTED_VALUE"""),"彰化縣芬園鄉文德國民小學")</f>
        <v>彰化縣芬園鄉文德國民小學</v>
      </c>
      <c r="F2542" s="14" t="str">
        <f>IFERROR(__xludf.DUMMYFUNCTION("""COMPUTED_VALUE"""),"五年級")</f>
        <v>五年級</v>
      </c>
      <c r="G2542" s="14" t="str">
        <f>IFERROR(__xludf.DUMMYFUNCTION("""COMPUTED_VALUE"""),"獎狀")</f>
        <v>獎狀</v>
      </c>
      <c r="H2542" s="8"/>
    </row>
    <row r="2543">
      <c r="A2543" s="18"/>
      <c r="B2543" s="14">
        <f>IFERROR(__xludf.DUMMYFUNCTION("""COMPUTED_VALUE"""),449644.0)</f>
        <v>449644</v>
      </c>
      <c r="C2543" s="14" t="str">
        <f>IFERROR(__xludf.DUMMYFUNCTION("""COMPUTED_VALUE"""),"吳昂潤")</f>
        <v>吳昂潤</v>
      </c>
      <c r="D2543" s="16" t="str">
        <f>IFERROR(__xludf.DUMMYFUNCTION("""COMPUTED_VALUE"""),"wde*****06@mail.edu.tw")</f>
        <v>wde*****06@mail.edu.tw</v>
      </c>
      <c r="E2543" s="17" t="str">
        <f>IFERROR(__xludf.DUMMYFUNCTION("""COMPUTED_VALUE"""),"彰化縣芬園鄉文德國民小學")</f>
        <v>彰化縣芬園鄉文德國民小學</v>
      </c>
      <c r="F2543" s="14" t="str">
        <f>IFERROR(__xludf.DUMMYFUNCTION("""COMPUTED_VALUE"""),"五年級")</f>
        <v>五年級</v>
      </c>
      <c r="G2543" s="14" t="str">
        <f>IFERROR(__xludf.DUMMYFUNCTION("""COMPUTED_VALUE"""),"獎狀")</f>
        <v>獎狀</v>
      </c>
      <c r="H2543" s="8"/>
    </row>
    <row r="2544">
      <c r="A2544" s="18"/>
      <c r="B2544" s="14">
        <f>IFERROR(__xludf.DUMMYFUNCTION("""COMPUTED_VALUE"""),1173126.0)</f>
        <v>1173126</v>
      </c>
      <c r="C2544" s="14" t="str">
        <f>IFERROR(__xludf.DUMMYFUNCTION("""COMPUTED_VALUE"""),"林宥辰")</f>
        <v>林宥辰</v>
      </c>
      <c r="D2544" s="16" t="str">
        <f>IFERROR(__xludf.DUMMYFUNCTION("""COMPUTED_VALUE"""),"chc*****107067@mail.edu.tw")</f>
        <v>chc*****107067@mail.edu.tw</v>
      </c>
      <c r="E2544" s="17" t="str">
        <f>IFERROR(__xludf.DUMMYFUNCTION("""COMPUTED_VALUE"""),"彰化縣芬園鄉文德國民小學")</f>
        <v>彰化縣芬園鄉文德國民小學</v>
      </c>
      <c r="F2544" s="14" t="str">
        <f>IFERROR(__xludf.DUMMYFUNCTION("""COMPUTED_VALUE"""),"五年級")</f>
        <v>五年級</v>
      </c>
      <c r="G2544" s="14" t="str">
        <f>IFERROR(__xludf.DUMMYFUNCTION("""COMPUTED_VALUE"""),"獎狀")</f>
        <v>獎狀</v>
      </c>
      <c r="H2544" s="8"/>
    </row>
    <row r="2545">
      <c r="A2545" s="18"/>
      <c r="B2545" s="14">
        <f>IFERROR(__xludf.DUMMYFUNCTION("""COMPUTED_VALUE"""),449649.0)</f>
        <v>449649</v>
      </c>
      <c r="C2545" s="14" t="str">
        <f>IFERROR(__xludf.DUMMYFUNCTION("""COMPUTED_VALUE"""),"高敏瑄")</f>
        <v>高敏瑄</v>
      </c>
      <c r="D2545" s="16" t="str">
        <f>IFERROR(__xludf.DUMMYFUNCTION("""COMPUTED_VALUE"""),"wde*****11@mail.edu.tw")</f>
        <v>wde*****11@mail.edu.tw</v>
      </c>
      <c r="E2545" s="17" t="str">
        <f>IFERROR(__xludf.DUMMYFUNCTION("""COMPUTED_VALUE"""),"彰化縣芬園鄉文德國民小學")</f>
        <v>彰化縣芬園鄉文德國民小學</v>
      </c>
      <c r="F2545" s="14" t="str">
        <f>IFERROR(__xludf.DUMMYFUNCTION("""COMPUTED_VALUE"""),"五年級")</f>
        <v>五年級</v>
      </c>
      <c r="G2545" s="14" t="str">
        <f>IFERROR(__xludf.DUMMYFUNCTION("""COMPUTED_VALUE"""),"獎狀")</f>
        <v>獎狀</v>
      </c>
      <c r="H2545" s="8"/>
    </row>
    <row r="2546">
      <c r="A2546" s="18"/>
      <c r="B2546" s="14">
        <f>IFERROR(__xludf.DUMMYFUNCTION("""COMPUTED_VALUE"""),449639.0)</f>
        <v>449639</v>
      </c>
      <c r="C2546" s="14" t="str">
        <f>IFERROR(__xludf.DUMMYFUNCTION("""COMPUTED_VALUE"""),"曹友翔")</f>
        <v>曹友翔</v>
      </c>
      <c r="D2546" s="16" t="str">
        <f>IFERROR(__xludf.DUMMYFUNCTION("""COMPUTED_VALUE"""),"wde*****02@mail.edu.tw")</f>
        <v>wde*****02@mail.edu.tw</v>
      </c>
      <c r="E2546" s="17" t="str">
        <f>IFERROR(__xludf.DUMMYFUNCTION("""COMPUTED_VALUE"""),"彰化縣芬園鄉文德國民小學")</f>
        <v>彰化縣芬園鄉文德國民小學</v>
      </c>
      <c r="F2546" s="14" t="str">
        <f>IFERROR(__xludf.DUMMYFUNCTION("""COMPUTED_VALUE"""),"五年級")</f>
        <v>五年級</v>
      </c>
      <c r="G2546" s="14" t="str">
        <f>IFERROR(__xludf.DUMMYFUNCTION("""COMPUTED_VALUE"""),"獎狀")</f>
        <v>獎狀</v>
      </c>
      <c r="H2546" s="8"/>
    </row>
    <row r="2547">
      <c r="A2547" s="18"/>
      <c r="B2547" s="14">
        <f>IFERROR(__xludf.DUMMYFUNCTION("""COMPUTED_VALUE"""),449651.0)</f>
        <v>449651</v>
      </c>
      <c r="C2547" s="14" t="str">
        <f>IFERROR(__xludf.DUMMYFUNCTION("""COMPUTED_VALUE"""),"許郁宸")</f>
        <v>許郁宸</v>
      </c>
      <c r="D2547" s="16" t="str">
        <f>IFERROR(__xludf.DUMMYFUNCTION("""COMPUTED_VALUE"""),"jes*****0113@mail.edu.tw")</f>
        <v>jes*****0113@mail.edu.tw</v>
      </c>
      <c r="E2547" s="17" t="str">
        <f>IFERROR(__xludf.DUMMYFUNCTION("""COMPUTED_VALUE"""),"彰化縣芬園鄉文德國民小學")</f>
        <v>彰化縣芬園鄉文德國民小學</v>
      </c>
      <c r="F2547" s="14" t="str">
        <f>IFERROR(__xludf.DUMMYFUNCTION("""COMPUTED_VALUE"""),"五年級")</f>
        <v>五年級</v>
      </c>
      <c r="G2547" s="14" t="str">
        <f>IFERROR(__xludf.DUMMYFUNCTION("""COMPUTED_VALUE"""),"獎狀")</f>
        <v>獎狀</v>
      </c>
      <c r="H2547" s="8"/>
    </row>
    <row r="2548">
      <c r="A2548" s="18"/>
      <c r="B2548" s="14">
        <f>IFERROR(__xludf.DUMMYFUNCTION("""COMPUTED_VALUE"""),449655.0)</f>
        <v>449655</v>
      </c>
      <c r="C2548" s="14" t="str">
        <f>IFERROR(__xludf.DUMMYFUNCTION("""COMPUTED_VALUE"""),"許䅨芸")</f>
        <v>許䅨芸</v>
      </c>
      <c r="D2548" s="16" t="str">
        <f>IFERROR(__xludf.DUMMYFUNCTION("""COMPUTED_VALUE"""),"wde*****16@mail.edu.tw")</f>
        <v>wde*****16@mail.edu.tw</v>
      </c>
      <c r="E2548" s="17" t="str">
        <f>IFERROR(__xludf.DUMMYFUNCTION("""COMPUTED_VALUE"""),"彰化縣芬園鄉文德國民小學")</f>
        <v>彰化縣芬園鄉文德國民小學</v>
      </c>
      <c r="F2548" s="14" t="str">
        <f>IFERROR(__xludf.DUMMYFUNCTION("""COMPUTED_VALUE"""),"五年級")</f>
        <v>五年級</v>
      </c>
      <c r="G2548" s="14" t="str">
        <f>IFERROR(__xludf.DUMMYFUNCTION("""COMPUTED_VALUE"""),"獎狀")</f>
        <v>獎狀</v>
      </c>
      <c r="H2548" s="8"/>
    </row>
    <row r="2549">
      <c r="A2549" s="18"/>
      <c r="B2549" s="14">
        <f>IFERROR(__xludf.DUMMYFUNCTION("""COMPUTED_VALUE"""),449669.0)</f>
        <v>449669</v>
      </c>
      <c r="C2549" s="14" t="str">
        <f>IFERROR(__xludf.DUMMYFUNCTION("""COMPUTED_VALUE"""),"許元輔")</f>
        <v>許元輔</v>
      </c>
      <c r="D2549" s="16" t="str">
        <f>IFERROR(__xludf.DUMMYFUNCTION("""COMPUTED_VALUE"""),"chc*****0614@mail.edu.tw")</f>
        <v>chc*****0614@mail.edu.tw</v>
      </c>
      <c r="E2549" s="17" t="str">
        <f>IFERROR(__xludf.DUMMYFUNCTION("""COMPUTED_VALUE"""),"彰化縣芬園鄉文德國民小學")</f>
        <v>彰化縣芬園鄉文德國民小學</v>
      </c>
      <c r="F2549" s="14" t="str">
        <f>IFERROR(__xludf.DUMMYFUNCTION("""COMPUTED_VALUE"""),"六年級")</f>
        <v>六年級</v>
      </c>
      <c r="G2549" s="14" t="str">
        <f>IFERROR(__xludf.DUMMYFUNCTION("""COMPUTED_VALUE"""),"獎狀")</f>
        <v>獎狀</v>
      </c>
      <c r="H2549" s="8"/>
    </row>
    <row r="2550">
      <c r="A2550" s="18"/>
      <c r="B2550" s="14">
        <f>IFERROR(__xludf.DUMMYFUNCTION("""COMPUTED_VALUE"""),449667.0)</f>
        <v>449667</v>
      </c>
      <c r="C2550" s="14" t="str">
        <f>IFERROR(__xludf.DUMMYFUNCTION("""COMPUTED_VALUE"""),"盧峻洧")</f>
        <v>盧峻洧</v>
      </c>
      <c r="D2550" s="16" t="str">
        <f>IFERROR(__xludf.DUMMYFUNCTION("""COMPUTED_VALUE"""),"wde*****2@mail.edu.tw")</f>
        <v>wde*****2@mail.edu.tw</v>
      </c>
      <c r="E2550" s="17" t="str">
        <f>IFERROR(__xludf.DUMMYFUNCTION("""COMPUTED_VALUE"""),"彰化縣芬園鄉文德國民小學")</f>
        <v>彰化縣芬園鄉文德國民小學</v>
      </c>
      <c r="F2550" s="14" t="str">
        <f>IFERROR(__xludf.DUMMYFUNCTION("""COMPUTED_VALUE"""),"六年級")</f>
        <v>六年級</v>
      </c>
      <c r="G2550" s="14" t="str">
        <f>IFERROR(__xludf.DUMMYFUNCTION("""COMPUTED_VALUE"""),"獎狀")</f>
        <v>獎狀</v>
      </c>
      <c r="H2550" s="8"/>
    </row>
    <row r="2551">
      <c r="A2551" s="18"/>
      <c r="B2551" s="14">
        <f>IFERROR(__xludf.DUMMYFUNCTION("""COMPUTED_VALUE"""),449665.0)</f>
        <v>449665</v>
      </c>
      <c r="C2551" s="14" t="str">
        <f>IFERROR(__xludf.DUMMYFUNCTION("""COMPUTED_VALUE"""),"顏筠羲")</f>
        <v>顏筠羲</v>
      </c>
      <c r="D2551" s="16" t="str">
        <f>IFERROR(__xludf.DUMMYFUNCTION("""COMPUTED_VALUE"""),"chc*****0609@mail.edu.tw")</f>
        <v>chc*****0609@mail.edu.tw</v>
      </c>
      <c r="E2551" s="17" t="str">
        <f>IFERROR(__xludf.DUMMYFUNCTION("""COMPUTED_VALUE"""),"彰化縣芬園鄉文德國民小學")</f>
        <v>彰化縣芬園鄉文德國民小學</v>
      </c>
      <c r="F2551" s="14" t="str">
        <f>IFERROR(__xludf.DUMMYFUNCTION("""COMPUTED_VALUE"""),"六年級")</f>
        <v>六年級</v>
      </c>
      <c r="G2551" s="14" t="str">
        <f>IFERROR(__xludf.DUMMYFUNCTION("""COMPUTED_VALUE"""),"獎狀")</f>
        <v>獎狀</v>
      </c>
      <c r="H2551" s="8"/>
    </row>
    <row r="2552">
      <c r="A2552" s="18"/>
      <c r="B2552" s="14">
        <f>IFERROR(__xludf.DUMMYFUNCTION("""COMPUTED_VALUE"""),449671.0)</f>
        <v>449671</v>
      </c>
      <c r="C2552" s="14" t="str">
        <f>IFERROR(__xludf.DUMMYFUNCTION("""COMPUTED_VALUE"""),"許茹婷")</f>
        <v>許茹婷</v>
      </c>
      <c r="D2552" s="16" t="str">
        <f>IFERROR(__xludf.DUMMYFUNCTION("""COMPUTED_VALUE"""),"wde*****6@mail.edu.tw")</f>
        <v>wde*****6@mail.edu.tw</v>
      </c>
      <c r="E2552" s="17" t="str">
        <f>IFERROR(__xludf.DUMMYFUNCTION("""COMPUTED_VALUE"""),"彰化縣芬園鄉文德國民小學")</f>
        <v>彰化縣芬園鄉文德國民小學</v>
      </c>
      <c r="F2552" s="14" t="str">
        <f>IFERROR(__xludf.DUMMYFUNCTION("""COMPUTED_VALUE"""),"六年級")</f>
        <v>六年級</v>
      </c>
      <c r="G2552" s="14" t="str">
        <f>IFERROR(__xludf.DUMMYFUNCTION("""COMPUTED_VALUE"""),"●小禮物")</f>
        <v>●小禮物</v>
      </c>
      <c r="H2552" s="8"/>
    </row>
    <row r="2553">
      <c r="A2553" s="18"/>
      <c r="B2553" s="14">
        <f>IFERROR(__xludf.DUMMYFUNCTION("""COMPUTED_VALUE"""),449662.0)</f>
        <v>449662</v>
      </c>
      <c r="C2553" s="14" t="str">
        <f>IFERROR(__xludf.DUMMYFUNCTION("""COMPUTED_VALUE"""),"張可揚")</f>
        <v>張可揚</v>
      </c>
      <c r="D2553" s="16" t="str">
        <f>IFERROR(__xludf.DUMMYFUNCTION("""COMPUTED_VALUE"""),"wd1*****mail.edu.tw")</f>
        <v>wd1*****mail.edu.tw</v>
      </c>
      <c r="E2553" s="17" t="str">
        <f>IFERROR(__xludf.DUMMYFUNCTION("""COMPUTED_VALUE"""),"彰化縣芬園鄉文德國民小學")</f>
        <v>彰化縣芬園鄉文德國民小學</v>
      </c>
      <c r="F2553" s="14" t="str">
        <f>IFERROR(__xludf.DUMMYFUNCTION("""COMPUTED_VALUE"""),"六年級")</f>
        <v>六年級</v>
      </c>
      <c r="G2553" s="14" t="str">
        <f>IFERROR(__xludf.DUMMYFUNCTION("""COMPUTED_VALUE"""),"獎狀")</f>
        <v>獎狀</v>
      </c>
      <c r="H2553" s="8"/>
    </row>
    <row r="2554">
      <c r="A2554" s="18"/>
      <c r="B2554" s="14">
        <f>IFERROR(__xludf.DUMMYFUNCTION("""COMPUTED_VALUE"""),1094545.0)</f>
        <v>1094545</v>
      </c>
      <c r="C2554" s="14" t="str">
        <f>IFERROR(__xludf.DUMMYFUNCTION("""COMPUTED_VALUE"""),"蔡庭雨")</f>
        <v>蔡庭雨</v>
      </c>
      <c r="D2554" s="16" t="str">
        <f>IFERROR(__xludf.DUMMYFUNCTION("""COMPUTED_VALUE"""),"mar*****1@gmail.com")</f>
        <v>mar*****1@gmail.com</v>
      </c>
      <c r="E2554" s="17" t="str">
        <f>IFERROR(__xludf.DUMMYFUNCTION("""COMPUTED_VALUE"""),"彰化縣花壇鄉花壇國民小學")</f>
        <v>彰化縣花壇鄉花壇國民小學</v>
      </c>
      <c r="F2554" s="14" t="str">
        <f>IFERROR(__xludf.DUMMYFUNCTION("""COMPUTED_VALUE"""),"四年級")</f>
        <v>四年級</v>
      </c>
      <c r="G2554" s="14" t="str">
        <f>IFERROR(__xludf.DUMMYFUNCTION("""COMPUTED_VALUE"""),"獎狀")</f>
        <v>獎狀</v>
      </c>
      <c r="H2554" s="8"/>
    </row>
    <row r="2555">
      <c r="A2555" s="18"/>
      <c r="B2555" s="14">
        <f>IFERROR(__xludf.DUMMYFUNCTION("""COMPUTED_VALUE"""),974192.0)</f>
        <v>974192</v>
      </c>
      <c r="C2555" s="14" t="str">
        <f>IFERROR(__xludf.DUMMYFUNCTION("""COMPUTED_VALUE"""),"蘇奕誠")</f>
        <v>蘇奕誠</v>
      </c>
      <c r="D2555" s="16" t="str">
        <f>IFERROR(__xludf.DUMMYFUNCTION("""COMPUTED_VALUE"""),"par*****hc.edu.tw")</f>
        <v>par*****hc.edu.tw</v>
      </c>
      <c r="E2555" s="17" t="str">
        <f>IFERROR(__xludf.DUMMYFUNCTION("""COMPUTED_VALUE"""),"彰化縣花壇鄉花壇國民小學")</f>
        <v>彰化縣花壇鄉花壇國民小學</v>
      </c>
      <c r="F2555" s="14" t="str">
        <f>IFERROR(__xludf.DUMMYFUNCTION("""COMPUTED_VALUE"""),"六年級")</f>
        <v>六年級</v>
      </c>
      <c r="G2555" s="14" t="str">
        <f>IFERROR(__xludf.DUMMYFUNCTION("""COMPUTED_VALUE"""),"●小禮物")</f>
        <v>●小禮物</v>
      </c>
      <c r="H2555" s="8"/>
    </row>
    <row r="2556">
      <c r="A2556" s="18"/>
      <c r="B2556" s="14">
        <f>IFERROR(__xludf.DUMMYFUNCTION("""COMPUTED_VALUE"""),1073513.0)</f>
        <v>1073513</v>
      </c>
      <c r="C2556" s="14" t="str">
        <f>IFERROR(__xludf.DUMMYFUNCTION("""COMPUTED_VALUE"""),"賴建榮")</f>
        <v>賴建榮</v>
      </c>
      <c r="D2556" s="16" t="str">
        <f>IFERROR(__xludf.DUMMYFUNCTION("""COMPUTED_VALUE"""),"sna*****7@mail.edu.tw")</f>
        <v>sna*****7@mail.edu.tw</v>
      </c>
      <c r="E2556" s="17" t="str">
        <f>IFERROR(__xludf.DUMMYFUNCTION("""COMPUTED_VALUE"""),"彰化縣花壇鄉文祥國民小學")</f>
        <v>彰化縣花壇鄉文祥國民小學</v>
      </c>
      <c r="F2556" s="14" t="str">
        <f>IFERROR(__xludf.DUMMYFUNCTION("""COMPUTED_VALUE"""),"四年級")</f>
        <v>四年級</v>
      </c>
      <c r="G2556" s="14" t="str">
        <f>IFERROR(__xludf.DUMMYFUNCTION("""COMPUTED_VALUE"""),"●小禮物")</f>
        <v>●小禮物</v>
      </c>
      <c r="H2556" s="8"/>
    </row>
    <row r="2557">
      <c r="A2557" s="18"/>
      <c r="B2557" s="14">
        <f>IFERROR(__xludf.DUMMYFUNCTION("""COMPUTED_VALUE"""),1084047.0)</f>
        <v>1084047</v>
      </c>
      <c r="C2557" s="14" t="str">
        <f>IFERROR(__xludf.DUMMYFUNCTION("""COMPUTED_VALUE"""),"梁昕淏")</f>
        <v>梁昕淏</v>
      </c>
      <c r="D2557" s="16" t="str">
        <f>IFERROR(__xludf.DUMMYFUNCTION("""COMPUTED_VALUE"""),"abc*****45678910@mail.edu.tw")</f>
        <v>abc*****45678910@mail.edu.tw</v>
      </c>
      <c r="E2557" s="17" t="str">
        <f>IFERROR(__xludf.DUMMYFUNCTION("""COMPUTED_VALUE"""),"彰化縣秀水鄉華龍國民小學")</f>
        <v>彰化縣秀水鄉華龍國民小學</v>
      </c>
      <c r="F2557" s="14" t="str">
        <f>IFERROR(__xludf.DUMMYFUNCTION("""COMPUTED_VALUE"""),"三年級")</f>
        <v>三年級</v>
      </c>
      <c r="G2557" s="14" t="str">
        <f>IFERROR(__xludf.DUMMYFUNCTION("""COMPUTED_VALUE"""),"●小禮物")</f>
        <v>●小禮物</v>
      </c>
      <c r="H2557" s="8"/>
    </row>
    <row r="2558">
      <c r="A2558" s="18"/>
      <c r="B2558" s="14">
        <f>IFERROR(__xludf.DUMMYFUNCTION("""COMPUTED_VALUE"""),1178760.0)</f>
        <v>1178760</v>
      </c>
      <c r="C2558" s="14" t="str">
        <f>IFERROR(__xludf.DUMMYFUNCTION("""COMPUTED_VALUE"""),"許耕侖")</f>
        <v>許耕侖</v>
      </c>
      <c r="D2558" s="16" t="str">
        <f>IFERROR(__xludf.DUMMYFUNCTION("""COMPUTED_VALUE"""),"sna*****40116@mail.edu.tw")</f>
        <v>sna*****40116@mail.edu.tw</v>
      </c>
      <c r="E2558" s="17" t="str">
        <f>IFERROR(__xludf.DUMMYFUNCTION("""COMPUTED_VALUE"""),"彰化縣秀水鄉華龍國民小學")</f>
        <v>彰化縣秀水鄉華龍國民小學</v>
      </c>
      <c r="F2558" s="14" t="str">
        <f>IFERROR(__xludf.DUMMYFUNCTION("""COMPUTED_VALUE"""),"三年級")</f>
        <v>三年級</v>
      </c>
      <c r="G2558" s="14" t="str">
        <f>IFERROR(__xludf.DUMMYFUNCTION("""COMPUTED_VALUE"""),"獎狀")</f>
        <v>獎狀</v>
      </c>
      <c r="H2558" s="8"/>
    </row>
    <row r="2559">
      <c r="A2559" s="18"/>
      <c r="B2559" s="14">
        <f>IFERROR(__xludf.DUMMYFUNCTION("""COMPUTED_VALUE"""),1172554.0)</f>
        <v>1172554</v>
      </c>
      <c r="C2559" s="14" t="str">
        <f>IFERROR(__xludf.DUMMYFUNCTION("""COMPUTED_VALUE"""),"施權倫")</f>
        <v>施權倫</v>
      </c>
      <c r="D2559" s="16" t="str">
        <f>IFERROR(__xludf.DUMMYFUNCTION("""COMPUTED_VALUE"""),"hor*****40507@mail.edu.tw")</f>
        <v>hor*****40507@mail.edu.tw</v>
      </c>
      <c r="E2559" s="17" t="str">
        <f>IFERROR(__xludf.DUMMYFUNCTION("""COMPUTED_VALUE"""),"彰化縣秀水鄉華龍國民小學")</f>
        <v>彰化縣秀水鄉華龍國民小學</v>
      </c>
      <c r="F2559" s="14" t="str">
        <f>IFERROR(__xludf.DUMMYFUNCTION("""COMPUTED_VALUE"""),"三年級")</f>
        <v>三年級</v>
      </c>
      <c r="G2559" s="14" t="str">
        <f>IFERROR(__xludf.DUMMYFUNCTION("""COMPUTED_VALUE"""),"●小禮物")</f>
        <v>●小禮物</v>
      </c>
      <c r="H2559" s="8"/>
    </row>
    <row r="2560">
      <c r="A2560" s="18"/>
      <c r="B2560" s="14">
        <f>IFERROR(__xludf.DUMMYFUNCTION("""COMPUTED_VALUE"""),1178671.0)</f>
        <v>1178671</v>
      </c>
      <c r="C2560" s="14" t="str">
        <f>IFERROR(__xludf.DUMMYFUNCTION("""COMPUTED_VALUE"""),"陳敬哲")</f>
        <v>陳敬哲</v>
      </c>
      <c r="D2560" s="16" t="str">
        <f>IFERROR(__xludf.DUMMYFUNCTION("""COMPUTED_VALUE"""),"sna*****30916@mail.edu.tw")</f>
        <v>sna*****30916@mail.edu.tw</v>
      </c>
      <c r="E2560" s="17" t="str">
        <f>IFERROR(__xludf.DUMMYFUNCTION("""COMPUTED_VALUE"""),"彰化縣秀水鄉華龍國民小學")</f>
        <v>彰化縣秀水鄉華龍國民小學</v>
      </c>
      <c r="F2560" s="14" t="str">
        <f>IFERROR(__xludf.DUMMYFUNCTION("""COMPUTED_VALUE"""),"三年級")</f>
        <v>三年級</v>
      </c>
      <c r="G2560" s="14" t="str">
        <f>IFERROR(__xludf.DUMMYFUNCTION("""COMPUTED_VALUE"""),"●小禮物")</f>
        <v>●小禮物</v>
      </c>
      <c r="H2560" s="8"/>
    </row>
    <row r="2561">
      <c r="A2561" s="18"/>
      <c r="B2561" s="14">
        <f>IFERROR(__xludf.DUMMYFUNCTION("""COMPUTED_VALUE"""),1178697.0)</f>
        <v>1178697</v>
      </c>
      <c r="C2561" s="14" t="str">
        <f>IFERROR(__xludf.DUMMYFUNCTION("""COMPUTED_VALUE"""),"王丞相")</f>
        <v>王丞相</v>
      </c>
      <c r="D2561" s="16" t="str">
        <f>IFERROR(__xludf.DUMMYFUNCTION("""COMPUTED_VALUE"""),"hor*****40802@mail.edu.tw")</f>
        <v>hor*****40802@mail.edu.tw</v>
      </c>
      <c r="E2561" s="17" t="str">
        <f>IFERROR(__xludf.DUMMYFUNCTION("""COMPUTED_VALUE"""),"彰化縣秀水鄉華龍國民小學")</f>
        <v>彰化縣秀水鄉華龍國民小學</v>
      </c>
      <c r="F2561" s="14" t="str">
        <f>IFERROR(__xludf.DUMMYFUNCTION("""COMPUTED_VALUE"""),"三年級")</f>
        <v>三年級</v>
      </c>
      <c r="G2561" s="14" t="str">
        <f>IFERROR(__xludf.DUMMYFUNCTION("""COMPUTED_VALUE"""),"獎狀")</f>
        <v>獎狀</v>
      </c>
      <c r="H2561" s="8"/>
    </row>
    <row r="2562">
      <c r="A2562" s="18"/>
      <c r="B2562" s="14">
        <f>IFERROR(__xludf.DUMMYFUNCTION("""COMPUTED_VALUE"""),1178678.0)</f>
        <v>1178678</v>
      </c>
      <c r="C2562" s="14" t="str">
        <f>IFERROR(__xludf.DUMMYFUNCTION("""COMPUTED_VALUE"""),"梁雋翔")</f>
        <v>梁雋翔</v>
      </c>
      <c r="D2562" s="16" t="str">
        <f>IFERROR(__xludf.DUMMYFUNCTION("""COMPUTED_VALUE"""),"sna*****40126@mail.edu.tw")</f>
        <v>sna*****40126@mail.edu.tw</v>
      </c>
      <c r="E2562" s="17" t="str">
        <f>IFERROR(__xludf.DUMMYFUNCTION("""COMPUTED_VALUE"""),"彰化縣秀水鄉華龍國民小學")</f>
        <v>彰化縣秀水鄉華龍國民小學</v>
      </c>
      <c r="F2562" s="14" t="str">
        <f>IFERROR(__xludf.DUMMYFUNCTION("""COMPUTED_VALUE"""),"三年級")</f>
        <v>三年級</v>
      </c>
      <c r="G2562" s="14" t="str">
        <f>IFERROR(__xludf.DUMMYFUNCTION("""COMPUTED_VALUE"""),"獎狀")</f>
        <v>獎狀</v>
      </c>
      <c r="H2562" s="8"/>
    </row>
    <row r="2563">
      <c r="A2563" s="18"/>
      <c r="B2563" s="14">
        <f>IFERROR(__xludf.DUMMYFUNCTION("""COMPUTED_VALUE"""),1177699.0)</f>
        <v>1177699</v>
      </c>
      <c r="C2563" s="14" t="str">
        <f>IFERROR(__xludf.DUMMYFUNCTION("""COMPUTED_VALUE"""),"黃宸恩")</f>
        <v>黃宸恩</v>
      </c>
      <c r="D2563" s="16" t="str">
        <f>IFERROR(__xludf.DUMMYFUNCTION("""COMPUTED_VALUE"""),"sna*****30906@mail.edu.tw")</f>
        <v>sna*****30906@mail.edu.tw</v>
      </c>
      <c r="E2563" s="17" t="str">
        <f>IFERROR(__xludf.DUMMYFUNCTION("""COMPUTED_VALUE"""),"彰化縣秀水鄉華龍國民小學")</f>
        <v>彰化縣秀水鄉華龍國民小學</v>
      </c>
      <c r="F2563" s="14" t="str">
        <f>IFERROR(__xludf.DUMMYFUNCTION("""COMPUTED_VALUE"""),"三年級")</f>
        <v>三年級</v>
      </c>
      <c r="G2563" s="14" t="str">
        <f>IFERROR(__xludf.DUMMYFUNCTION("""COMPUTED_VALUE"""),"獎狀")</f>
        <v>獎狀</v>
      </c>
      <c r="H2563" s="8"/>
    </row>
    <row r="2564">
      <c r="A2564" s="18"/>
      <c r="B2564" s="14">
        <f>IFERROR(__xludf.DUMMYFUNCTION("""COMPUTED_VALUE"""),1178686.0)</f>
        <v>1178686</v>
      </c>
      <c r="C2564" s="14" t="str">
        <f>IFERROR(__xludf.DUMMYFUNCTION("""COMPUTED_VALUE"""),"廖翊鈞")</f>
        <v>廖翊鈞</v>
      </c>
      <c r="D2564" s="16" t="str">
        <f>IFERROR(__xludf.DUMMYFUNCTION("""COMPUTED_VALUE"""),"hor*****40516@mail.edu.tw")</f>
        <v>hor*****40516@mail.edu.tw</v>
      </c>
      <c r="E2564" s="17" t="str">
        <f>IFERROR(__xludf.DUMMYFUNCTION("""COMPUTED_VALUE"""),"彰化縣秀水鄉華龍國民小學")</f>
        <v>彰化縣秀水鄉華龍國民小學</v>
      </c>
      <c r="F2564" s="14" t="str">
        <f>IFERROR(__xludf.DUMMYFUNCTION("""COMPUTED_VALUE"""),"三年級")</f>
        <v>三年級</v>
      </c>
      <c r="G2564" s="14" t="str">
        <f>IFERROR(__xludf.DUMMYFUNCTION("""COMPUTED_VALUE"""),"獎狀")</f>
        <v>獎狀</v>
      </c>
      <c r="H2564" s="8"/>
    </row>
    <row r="2565">
      <c r="A2565" s="18"/>
      <c r="B2565" s="14">
        <f>IFERROR(__xludf.DUMMYFUNCTION("""COMPUTED_VALUE"""),1177708.0)</f>
        <v>1177708</v>
      </c>
      <c r="C2565" s="14" t="str">
        <f>IFERROR(__xludf.DUMMYFUNCTION("""COMPUTED_VALUE"""),"熊國諭")</f>
        <v>熊國諭</v>
      </c>
      <c r="D2565" s="16" t="str">
        <f>IFERROR(__xludf.DUMMYFUNCTION("""COMPUTED_VALUE"""),"sna*****31020@mail.edu.tw")</f>
        <v>sna*****31020@mail.edu.tw</v>
      </c>
      <c r="E2565" s="17" t="str">
        <f>IFERROR(__xludf.DUMMYFUNCTION("""COMPUTED_VALUE"""),"彰化縣秀水鄉華龍國民小學")</f>
        <v>彰化縣秀水鄉華龍國民小學</v>
      </c>
      <c r="F2565" s="14" t="str">
        <f>IFERROR(__xludf.DUMMYFUNCTION("""COMPUTED_VALUE"""),"三年級")</f>
        <v>三年級</v>
      </c>
      <c r="G2565" s="14" t="str">
        <f>IFERROR(__xludf.DUMMYFUNCTION("""COMPUTED_VALUE"""),"獎狀")</f>
        <v>獎狀</v>
      </c>
      <c r="H2565" s="8"/>
    </row>
    <row r="2566">
      <c r="A2566" s="18"/>
      <c r="B2566" s="14">
        <f>IFERROR(__xludf.DUMMYFUNCTION("""COMPUTED_VALUE"""),879076.0)</f>
        <v>879076</v>
      </c>
      <c r="C2566" s="14" t="str">
        <f>IFERROR(__xludf.DUMMYFUNCTION("""COMPUTED_VALUE"""),"許宜汝")</f>
        <v>許宜汝</v>
      </c>
      <c r="D2566" s="16" t="str">
        <f>IFERROR(__xludf.DUMMYFUNCTION("""COMPUTED_VALUE"""),"106*****ps.chc.edu.tw")</f>
        <v>106*****ps.chc.edu.tw</v>
      </c>
      <c r="E2566" s="17" t="str">
        <f>IFERROR(__xludf.DUMMYFUNCTION("""COMPUTED_VALUE"""),"彰化縣秀水鄉陝西國民小學")</f>
        <v>彰化縣秀水鄉陝西國民小學</v>
      </c>
      <c r="F2566" s="14" t="str">
        <f>IFERROR(__xludf.DUMMYFUNCTION("""COMPUTED_VALUE"""),"六年級")</f>
        <v>六年級</v>
      </c>
      <c r="G2566" s="14" t="str">
        <f>IFERROR(__xludf.DUMMYFUNCTION("""COMPUTED_VALUE"""),"●小禮物")</f>
        <v>●小禮物</v>
      </c>
      <c r="H2566" s="8"/>
    </row>
    <row r="2567">
      <c r="A2567" s="18"/>
      <c r="B2567" s="14">
        <f>IFERROR(__xludf.DUMMYFUNCTION("""COMPUTED_VALUE"""),1091321.0)</f>
        <v>1091321</v>
      </c>
      <c r="C2567" s="14" t="str">
        <f>IFERROR(__xludf.DUMMYFUNCTION("""COMPUTED_VALUE"""),"許凱筑")</f>
        <v>許凱筑</v>
      </c>
      <c r="D2567" s="16" t="str">
        <f>IFERROR(__xludf.DUMMYFUNCTION("""COMPUTED_VALUE"""),"skz*****chc.edu.tw")</f>
        <v>skz*****chc.edu.tw</v>
      </c>
      <c r="E2567" s="17" t="str">
        <f>IFERROR(__xludf.DUMMYFUNCTION("""COMPUTED_VALUE"""),"彰化縣秀水鄉陝西國民小學")</f>
        <v>彰化縣秀水鄉陝西國民小學</v>
      </c>
      <c r="F2567" s="14" t="str">
        <f>IFERROR(__xludf.DUMMYFUNCTION("""COMPUTED_VALUE"""),"六年級")</f>
        <v>六年級</v>
      </c>
      <c r="G2567" s="14" t="str">
        <f>IFERROR(__xludf.DUMMYFUNCTION("""COMPUTED_VALUE"""),"獎狀")</f>
        <v>獎狀</v>
      </c>
      <c r="H2567" s="8"/>
    </row>
    <row r="2568">
      <c r="A2568" s="18"/>
      <c r="B2568" s="14">
        <f>IFERROR(__xludf.DUMMYFUNCTION("""COMPUTED_VALUE"""),879079.0)</f>
        <v>879079</v>
      </c>
      <c r="C2568" s="14" t="str">
        <f>IFERROR(__xludf.DUMMYFUNCTION("""COMPUTED_VALUE"""),"陳芷妤")</f>
        <v>陳芷妤</v>
      </c>
      <c r="D2568" s="16" t="str">
        <f>IFERROR(__xludf.DUMMYFUNCTION("""COMPUTED_VALUE"""),"czy*****chc.edu.tw")</f>
        <v>czy*****chc.edu.tw</v>
      </c>
      <c r="E2568" s="17" t="str">
        <f>IFERROR(__xludf.DUMMYFUNCTION("""COMPUTED_VALUE"""),"彰化縣秀水鄉陝西國民小學")</f>
        <v>彰化縣秀水鄉陝西國民小學</v>
      </c>
      <c r="F2568" s="14" t="str">
        <f>IFERROR(__xludf.DUMMYFUNCTION("""COMPUTED_VALUE"""),"六年級")</f>
        <v>六年級</v>
      </c>
      <c r="G2568" s="14" t="str">
        <f>IFERROR(__xludf.DUMMYFUNCTION("""COMPUTED_VALUE"""),"獎狀")</f>
        <v>獎狀</v>
      </c>
      <c r="H2568" s="8"/>
    </row>
    <row r="2569">
      <c r="A2569" s="18"/>
      <c r="B2569" s="14">
        <f>IFERROR(__xludf.DUMMYFUNCTION("""COMPUTED_VALUE"""),757891.0)</f>
        <v>757891</v>
      </c>
      <c r="C2569" s="14" t="str">
        <f>IFERROR(__xludf.DUMMYFUNCTION("""COMPUTED_VALUE"""),"陳珈妤")</f>
        <v>陳珈妤</v>
      </c>
      <c r="D2569" s="16" t="str">
        <f>IFERROR(__xludf.DUMMYFUNCTION("""COMPUTED_VALUE"""),"cjy*****chc.edu.tw")</f>
        <v>cjy*****chc.edu.tw</v>
      </c>
      <c r="E2569" s="17" t="str">
        <f>IFERROR(__xludf.DUMMYFUNCTION("""COMPUTED_VALUE"""),"彰化縣秀水鄉陝西國民小學")</f>
        <v>彰化縣秀水鄉陝西國民小學</v>
      </c>
      <c r="F2569" s="14" t="str">
        <f>IFERROR(__xludf.DUMMYFUNCTION("""COMPUTED_VALUE"""),"六年級")</f>
        <v>六年級</v>
      </c>
      <c r="G2569" s="14" t="str">
        <f>IFERROR(__xludf.DUMMYFUNCTION("""COMPUTED_VALUE"""),"獎狀")</f>
        <v>獎狀</v>
      </c>
      <c r="H2569" s="8"/>
    </row>
    <row r="2570">
      <c r="A2570" s="18"/>
      <c r="B2570" s="14">
        <f>IFERROR(__xludf.DUMMYFUNCTION("""COMPUTED_VALUE"""),1088874.0)</f>
        <v>1088874</v>
      </c>
      <c r="C2570" s="14" t="str">
        <f>IFERROR(__xludf.DUMMYFUNCTION("""COMPUTED_VALUE"""),"劉合景")</f>
        <v>劉合景</v>
      </c>
      <c r="D2570" s="16" t="str">
        <f>IFERROR(__xludf.DUMMYFUNCTION("""COMPUTED_VALUE"""),"all*****20204@gmail.com")</f>
        <v>all*****20204@gmail.com</v>
      </c>
      <c r="E2570" s="17" t="str">
        <f>IFERROR(__xludf.DUMMYFUNCTION("""COMPUTED_VALUE"""),"彰化縣秀水鄉明正國民小學")</f>
        <v>彰化縣秀水鄉明正國民小學</v>
      </c>
      <c r="F2570" s="14" t="str">
        <f>IFERROR(__xludf.DUMMYFUNCTION("""COMPUTED_VALUE"""),"五年級")</f>
        <v>五年級</v>
      </c>
      <c r="G2570" s="14" t="str">
        <f>IFERROR(__xludf.DUMMYFUNCTION("""COMPUTED_VALUE"""),"獎狀")</f>
        <v>獎狀</v>
      </c>
      <c r="H2570" s="8"/>
    </row>
    <row r="2571">
      <c r="A2571" s="18"/>
      <c r="B2571" s="14">
        <f>IFERROR(__xludf.DUMMYFUNCTION("""COMPUTED_VALUE"""),1122937.0)</f>
        <v>1122937</v>
      </c>
      <c r="C2571" s="14" t="str">
        <f>IFERROR(__xludf.DUMMYFUNCTION("""COMPUTED_VALUE"""),"楊溱芸")</f>
        <v>楊溱芸</v>
      </c>
      <c r="D2571" s="16" t="str">
        <f>IFERROR(__xludf.DUMMYFUNCTION("""COMPUTED_VALUE"""),"mcp*****321@chc.edu.tw")</f>
        <v>mcp*****321@chc.edu.tw</v>
      </c>
      <c r="E2571" s="17" t="str">
        <f>IFERROR(__xludf.DUMMYFUNCTION("""COMPUTED_VALUE"""),"彰化縣秀水鄉明正國民小學")</f>
        <v>彰化縣秀水鄉明正國民小學</v>
      </c>
      <c r="F2571" s="14" t="str">
        <f>IFERROR(__xludf.DUMMYFUNCTION("""COMPUTED_VALUE"""),"六年級")</f>
        <v>六年級</v>
      </c>
      <c r="G2571" s="14" t="str">
        <f>IFERROR(__xludf.DUMMYFUNCTION("""COMPUTED_VALUE"""),"獎狀")</f>
        <v>獎狀</v>
      </c>
      <c r="H2571" s="8"/>
    </row>
    <row r="2572">
      <c r="A2572" s="18"/>
      <c r="B2572" s="14">
        <f>IFERROR(__xludf.DUMMYFUNCTION("""COMPUTED_VALUE"""),524134.0)</f>
        <v>524134</v>
      </c>
      <c r="C2572" s="14" t="str">
        <f>IFERROR(__xludf.DUMMYFUNCTION("""COMPUTED_VALUE"""),"莊舒喬")</f>
        <v>莊舒喬</v>
      </c>
      <c r="D2572" s="16" t="str">
        <f>IFERROR(__xludf.DUMMYFUNCTION("""COMPUTED_VALUE"""),"bun*****7@mail.edu.tw")</f>
        <v>bun*****7@mail.edu.tw</v>
      </c>
      <c r="E2572" s="17" t="str">
        <f>IFERROR(__xludf.DUMMYFUNCTION("""COMPUTED_VALUE"""),"彰化縣鹿港鎮洛津國民小學")</f>
        <v>彰化縣鹿港鎮洛津國民小學</v>
      </c>
      <c r="F2572" s="14" t="str">
        <f>IFERROR(__xludf.DUMMYFUNCTION("""COMPUTED_VALUE"""),"五年級")</f>
        <v>五年級</v>
      </c>
      <c r="G2572" s="14" t="str">
        <f>IFERROR(__xludf.DUMMYFUNCTION("""COMPUTED_VALUE"""),"●小禮物")</f>
        <v>●小禮物</v>
      </c>
      <c r="H2572" s="8"/>
    </row>
    <row r="2573">
      <c r="A2573" s="18"/>
      <c r="B2573" s="14">
        <f>IFERROR(__xludf.DUMMYFUNCTION("""COMPUTED_VALUE"""),632371.0)</f>
        <v>632371</v>
      </c>
      <c r="C2573" s="14" t="str">
        <f>IFERROR(__xludf.DUMMYFUNCTION("""COMPUTED_VALUE"""),"邱逸程")</f>
        <v>邱逸程</v>
      </c>
      <c r="D2573" s="16" t="str">
        <f>IFERROR(__xludf.DUMMYFUNCTION("""COMPUTED_VALUE"""),"lje*****5@chc.edu.tw")</f>
        <v>lje*****5@chc.edu.tw</v>
      </c>
      <c r="E2573" s="17" t="str">
        <f>IFERROR(__xludf.DUMMYFUNCTION("""COMPUTED_VALUE"""),"彰化縣鹿港鎮洛津國民小學")</f>
        <v>彰化縣鹿港鎮洛津國民小學</v>
      </c>
      <c r="F2573" s="14" t="str">
        <f>IFERROR(__xludf.DUMMYFUNCTION("""COMPUTED_VALUE"""),"六年級")</f>
        <v>六年級</v>
      </c>
      <c r="G2573" s="14" t="str">
        <f>IFERROR(__xludf.DUMMYFUNCTION("""COMPUTED_VALUE"""),"●小禮物")</f>
        <v>●小禮物</v>
      </c>
      <c r="H2573" s="8"/>
    </row>
    <row r="2574">
      <c r="A2574" s="18"/>
      <c r="B2574" s="14">
        <f>IFERROR(__xludf.DUMMYFUNCTION("""COMPUTED_VALUE"""),788591.0)</f>
        <v>788591</v>
      </c>
      <c r="C2574" s="14" t="str">
        <f>IFERROR(__xludf.DUMMYFUNCTION("""COMPUTED_VALUE"""),"林昀萱")</f>
        <v>林昀萱</v>
      </c>
      <c r="D2574" s="16" t="str">
        <f>IFERROR(__xludf.DUMMYFUNCTION("""COMPUTED_VALUE"""),"gye*****60@mail.edu.tw")</f>
        <v>gye*****60@mail.edu.tw</v>
      </c>
      <c r="E2574" s="17" t="str">
        <f>IFERROR(__xludf.DUMMYFUNCTION("""COMPUTED_VALUE"""),"彰化縣福興鄉管嶼國民小學")</f>
        <v>彰化縣福興鄉管嶼國民小學</v>
      </c>
      <c r="F2574" s="14" t="str">
        <f>IFERROR(__xludf.DUMMYFUNCTION("""COMPUTED_VALUE"""),"五年級")</f>
        <v>五年級</v>
      </c>
      <c r="G2574" s="14" t="str">
        <f>IFERROR(__xludf.DUMMYFUNCTION("""COMPUTED_VALUE"""),"獎狀")</f>
        <v>獎狀</v>
      </c>
      <c r="H2574" s="8"/>
    </row>
    <row r="2575">
      <c r="A2575" s="18"/>
      <c r="B2575" s="14">
        <f>IFERROR(__xludf.DUMMYFUNCTION("""COMPUTED_VALUE"""),642680.0)</f>
        <v>642680</v>
      </c>
      <c r="C2575" s="14" t="str">
        <f>IFERROR(__xludf.DUMMYFUNCTION("""COMPUTED_VALUE"""),"粘喬茵")</f>
        <v>粘喬茵</v>
      </c>
      <c r="D2575" s="16" t="str">
        <f>IFERROR(__xludf.DUMMYFUNCTION("""COMPUTED_VALUE"""),"gye*****81@chc.edu.tw")</f>
        <v>gye*****81@chc.edu.tw</v>
      </c>
      <c r="E2575" s="17" t="str">
        <f>IFERROR(__xludf.DUMMYFUNCTION("""COMPUTED_VALUE"""),"彰化縣福興鄉管嶼國民小學")</f>
        <v>彰化縣福興鄉管嶼國民小學</v>
      </c>
      <c r="F2575" s="14" t="str">
        <f>IFERROR(__xludf.DUMMYFUNCTION("""COMPUTED_VALUE"""),"五年級")</f>
        <v>五年級</v>
      </c>
      <c r="G2575" s="14" t="str">
        <f>IFERROR(__xludf.DUMMYFUNCTION("""COMPUTED_VALUE"""),"獎狀")</f>
        <v>獎狀</v>
      </c>
      <c r="H2575" s="8"/>
    </row>
    <row r="2576">
      <c r="A2576" s="18"/>
      <c r="B2576" s="14">
        <f>IFERROR(__xludf.DUMMYFUNCTION("""COMPUTED_VALUE"""),642665.0)</f>
        <v>642665</v>
      </c>
      <c r="C2576" s="14" t="str">
        <f>IFERROR(__xludf.DUMMYFUNCTION("""COMPUTED_VALUE"""),"粘詠勛")</f>
        <v>粘詠勛</v>
      </c>
      <c r="D2576" s="16" t="str">
        <f>IFERROR(__xludf.DUMMYFUNCTION("""COMPUTED_VALUE"""),"gye*****69@chc.edu.tw")</f>
        <v>gye*****69@chc.edu.tw</v>
      </c>
      <c r="E2576" s="17" t="str">
        <f>IFERROR(__xludf.DUMMYFUNCTION("""COMPUTED_VALUE"""),"彰化縣福興鄉管嶼國民小學")</f>
        <v>彰化縣福興鄉管嶼國民小學</v>
      </c>
      <c r="F2576" s="14" t="str">
        <f>IFERROR(__xludf.DUMMYFUNCTION("""COMPUTED_VALUE"""),"五年級")</f>
        <v>五年級</v>
      </c>
      <c r="G2576" s="14" t="str">
        <f>IFERROR(__xludf.DUMMYFUNCTION("""COMPUTED_VALUE"""),"獎狀")</f>
        <v>獎狀</v>
      </c>
      <c r="H2576" s="8"/>
    </row>
    <row r="2577">
      <c r="A2577" s="18"/>
      <c r="B2577" s="14">
        <f>IFERROR(__xludf.DUMMYFUNCTION("""COMPUTED_VALUE"""),731890.0)</f>
        <v>731890</v>
      </c>
      <c r="C2577" s="14" t="str">
        <f>IFERROR(__xludf.DUMMYFUNCTION("""COMPUTED_VALUE"""),"謝子宣")</f>
        <v>謝子宣</v>
      </c>
      <c r="D2577" s="16" t="str">
        <f>IFERROR(__xludf.DUMMYFUNCTION("""COMPUTED_VALUE"""),"els*****8@chc.edu.tw")</f>
        <v>els*****8@chc.edu.tw</v>
      </c>
      <c r="E2577" s="17" t="str">
        <f>IFERROR(__xludf.DUMMYFUNCTION("""COMPUTED_VALUE"""),"彰化縣線西鄉曉陽國民小學")</f>
        <v>彰化縣線西鄉曉陽國民小學</v>
      </c>
      <c r="F2577" s="14" t="str">
        <f>IFERROR(__xludf.DUMMYFUNCTION("""COMPUTED_VALUE"""),"六年級")</f>
        <v>六年級</v>
      </c>
      <c r="G2577" s="14" t="str">
        <f>IFERROR(__xludf.DUMMYFUNCTION("""COMPUTED_VALUE"""),"★禮券$200")</f>
        <v>★禮券$200</v>
      </c>
      <c r="H2577" s="8"/>
    </row>
    <row r="2578">
      <c r="A2578" s="18"/>
      <c r="B2578" s="14">
        <f>IFERROR(__xludf.DUMMYFUNCTION("""COMPUTED_VALUE"""),935320.0)</f>
        <v>935320</v>
      </c>
      <c r="C2578" s="14" t="str">
        <f>IFERROR(__xludf.DUMMYFUNCTION("""COMPUTED_VALUE"""),"陳凱揚")</f>
        <v>陳凱揚</v>
      </c>
      <c r="D2578" s="16" t="str">
        <f>IFERROR(__xludf.DUMMYFUNCTION("""COMPUTED_VALUE"""),"hre*****27@mail.edu.tw")</f>
        <v>hre*****27@mail.edu.tw</v>
      </c>
      <c r="E2578" s="17" t="str">
        <f>IFERROR(__xludf.DUMMYFUNCTION("""COMPUTED_VALUE"""),"彰化縣和美鎮和仁國民小學")</f>
        <v>彰化縣和美鎮和仁國民小學</v>
      </c>
      <c r="F2578" s="14" t="str">
        <f>IFERROR(__xludf.DUMMYFUNCTION("""COMPUTED_VALUE"""),"四年級")</f>
        <v>四年級</v>
      </c>
      <c r="G2578" s="14" t="str">
        <f>IFERROR(__xludf.DUMMYFUNCTION("""COMPUTED_VALUE"""),"獎狀")</f>
        <v>獎狀</v>
      </c>
      <c r="H2578" s="8"/>
    </row>
    <row r="2579">
      <c r="A2579" s="18"/>
      <c r="B2579" s="14">
        <f>IFERROR(__xludf.DUMMYFUNCTION("""COMPUTED_VALUE"""),748763.0)</f>
        <v>748763</v>
      </c>
      <c r="C2579" s="14" t="str">
        <f>IFERROR(__xludf.DUMMYFUNCTION("""COMPUTED_VALUE"""),"謝典祐")</f>
        <v>謝典祐</v>
      </c>
      <c r="D2579" s="16" t="str">
        <f>IFERROR(__xludf.DUMMYFUNCTION("""COMPUTED_VALUE"""),"hre*****075@mail.edu.tw")</f>
        <v>hre*****075@mail.edu.tw</v>
      </c>
      <c r="E2579" s="17" t="str">
        <f>IFERROR(__xludf.DUMMYFUNCTION("""COMPUTED_VALUE"""),"彰化縣和美鎮和仁國民小學")</f>
        <v>彰化縣和美鎮和仁國民小學</v>
      </c>
      <c r="F2579" s="14" t="str">
        <f>IFERROR(__xludf.DUMMYFUNCTION("""COMPUTED_VALUE"""),"六年級")</f>
        <v>六年級</v>
      </c>
      <c r="G2579" s="14" t="str">
        <f>IFERROR(__xludf.DUMMYFUNCTION("""COMPUTED_VALUE"""),"●小禮物")</f>
        <v>●小禮物</v>
      </c>
      <c r="H2579" s="8"/>
    </row>
    <row r="2580">
      <c r="A2580" s="18"/>
      <c r="B2580" s="14">
        <f>IFERROR(__xludf.DUMMYFUNCTION("""COMPUTED_VALUE"""),1206399.0)</f>
        <v>1206399</v>
      </c>
      <c r="C2580" s="14" t="str">
        <f>IFERROR(__xludf.DUMMYFUNCTION("""COMPUTED_VALUE"""),"洪尉齊")</f>
        <v>洪尉齊</v>
      </c>
      <c r="D2580" s="16" t="str">
        <f>IFERROR(__xludf.DUMMYFUNCTION("""COMPUTED_VALUE"""),"308*****c.edu.tw")</f>
        <v>308*****c.edu.tw</v>
      </c>
      <c r="E2580" s="17" t="str">
        <f>IFERROR(__xludf.DUMMYFUNCTION("""COMPUTED_VALUE"""),"彰化縣和美鎮和東國民小學")</f>
        <v>彰化縣和美鎮和東國民小學</v>
      </c>
      <c r="F2580" s="14" t="str">
        <f>IFERROR(__xludf.DUMMYFUNCTION("""COMPUTED_VALUE"""),"五年級")</f>
        <v>五年級</v>
      </c>
      <c r="G2580" s="14" t="str">
        <f>IFERROR(__xludf.DUMMYFUNCTION("""COMPUTED_VALUE"""),"獎狀")</f>
        <v>獎狀</v>
      </c>
      <c r="H2580" s="8"/>
    </row>
    <row r="2581">
      <c r="A2581" s="18"/>
      <c r="B2581" s="14">
        <f>IFERROR(__xludf.DUMMYFUNCTION("""COMPUTED_VALUE"""),948188.0)</f>
        <v>948188</v>
      </c>
      <c r="C2581" s="14" t="str">
        <f>IFERROR(__xludf.DUMMYFUNCTION("""COMPUTED_VALUE"""),"馬澄彥")</f>
        <v>馬澄彥</v>
      </c>
      <c r="D2581" s="16" t="str">
        <f>IFERROR(__xludf.DUMMYFUNCTION("""COMPUTED_VALUE"""),"bri*****2brian@mail.edu.tw")</f>
        <v>bri*****2brian@mail.edu.tw</v>
      </c>
      <c r="E2581" s="17" t="str">
        <f>IFERROR(__xludf.DUMMYFUNCTION("""COMPUTED_VALUE"""),"彰化縣和美鎮和東國民小學")</f>
        <v>彰化縣和美鎮和東國民小學</v>
      </c>
      <c r="F2581" s="14" t="str">
        <f>IFERROR(__xludf.DUMMYFUNCTION("""COMPUTED_VALUE"""),"六年級")</f>
        <v>六年級</v>
      </c>
      <c r="G2581" s="14" t="str">
        <f>IFERROR(__xludf.DUMMYFUNCTION("""COMPUTED_VALUE"""),"●小禮物")</f>
        <v>●小禮物</v>
      </c>
      <c r="H2581" s="8"/>
    </row>
    <row r="2582">
      <c r="A2582" s="18"/>
      <c r="B2582" s="14">
        <f>IFERROR(__xludf.DUMMYFUNCTION("""COMPUTED_VALUE"""),342731.0)</f>
        <v>342731</v>
      </c>
      <c r="C2582" s="14" t="str">
        <f>IFERROR(__xludf.DUMMYFUNCTION("""COMPUTED_VALUE"""),"蘇俊安")</f>
        <v>蘇俊安</v>
      </c>
      <c r="D2582" s="16" t="str">
        <f>IFERROR(__xludf.DUMMYFUNCTION("""COMPUTED_VALUE"""),"pyp*****30@mail.edu.tw")</f>
        <v>pyp*****30@mail.edu.tw</v>
      </c>
      <c r="E2582" s="17" t="str">
        <f>IFERROR(__xludf.DUMMYFUNCTION("""COMPUTED_VALUE"""),"彰化縣和美鎮培英國民小學")</f>
        <v>彰化縣和美鎮培英國民小學</v>
      </c>
      <c r="F2582" s="14" t="str">
        <f>IFERROR(__xludf.DUMMYFUNCTION("""COMPUTED_VALUE"""),"四年級")</f>
        <v>四年級</v>
      </c>
      <c r="G2582" s="14" t="str">
        <f>IFERROR(__xludf.DUMMYFUNCTION("""COMPUTED_VALUE"""),"獎狀")</f>
        <v>獎狀</v>
      </c>
      <c r="H2582" s="8"/>
    </row>
    <row r="2583">
      <c r="A2583" s="18"/>
      <c r="B2583" s="14">
        <f>IFERROR(__xludf.DUMMYFUNCTION("""COMPUTED_VALUE"""),342729.0)</f>
        <v>342729</v>
      </c>
      <c r="C2583" s="14" t="str">
        <f>IFERROR(__xludf.DUMMYFUNCTION("""COMPUTED_VALUE"""),"蘇俊齊")</f>
        <v>蘇俊齊</v>
      </c>
      <c r="D2583" s="16" t="str">
        <f>IFERROR(__xludf.DUMMYFUNCTION("""COMPUTED_VALUE"""),"pyp*****28@mail.edu.tw")</f>
        <v>pyp*****28@mail.edu.tw</v>
      </c>
      <c r="E2583" s="17" t="str">
        <f>IFERROR(__xludf.DUMMYFUNCTION("""COMPUTED_VALUE"""),"彰化縣和美鎮培英國民小學")</f>
        <v>彰化縣和美鎮培英國民小學</v>
      </c>
      <c r="F2583" s="14" t="str">
        <f>IFERROR(__xludf.DUMMYFUNCTION("""COMPUTED_VALUE"""),"四年級")</f>
        <v>四年級</v>
      </c>
      <c r="G2583" s="14" t="str">
        <f>IFERROR(__xludf.DUMMYFUNCTION("""COMPUTED_VALUE"""),"獎狀")</f>
        <v>獎狀</v>
      </c>
      <c r="H2583" s="8"/>
    </row>
    <row r="2584">
      <c r="A2584" s="18"/>
      <c r="B2584" s="14">
        <f>IFERROR(__xludf.DUMMYFUNCTION("""COMPUTED_VALUE"""),1140128.0)</f>
        <v>1140128</v>
      </c>
      <c r="C2584" s="14" t="str">
        <f>IFERROR(__xludf.DUMMYFUNCTION("""COMPUTED_VALUE"""),"許馨予")</f>
        <v>許馨予</v>
      </c>
      <c r="D2584" s="16" t="str">
        <f>IFERROR(__xludf.DUMMYFUNCTION("""COMPUTED_VALUE"""),"est*****11@chc.edu.tw")</f>
        <v>est*****11@chc.edu.tw</v>
      </c>
      <c r="E2584" s="17" t="str">
        <f>IFERROR(__xludf.DUMMYFUNCTION("""COMPUTED_VALUE"""),"彰化縣和美鎮培英國民小學")</f>
        <v>彰化縣和美鎮培英國民小學</v>
      </c>
      <c r="F2584" s="14" t="str">
        <f>IFERROR(__xludf.DUMMYFUNCTION("""COMPUTED_VALUE"""),"六年級")</f>
        <v>六年級</v>
      </c>
      <c r="G2584" s="14" t="str">
        <f>IFERROR(__xludf.DUMMYFUNCTION("""COMPUTED_VALUE"""),"●小禮物")</f>
        <v>●小禮物</v>
      </c>
      <c r="H2584" s="8"/>
    </row>
    <row r="2585">
      <c r="A2585" s="18"/>
      <c r="B2585" s="14">
        <f>IFERROR(__xludf.DUMMYFUNCTION("""COMPUTED_VALUE"""),389028.0)</f>
        <v>389028</v>
      </c>
      <c r="C2585" s="14" t="str">
        <f>IFERROR(__xludf.DUMMYFUNCTION("""COMPUTED_VALUE"""),"趙子期")</f>
        <v>趙子期</v>
      </c>
      <c r="D2585" s="16" t="str">
        <f>IFERROR(__xludf.DUMMYFUNCTION("""COMPUTED_VALUE"""),"cas*****7@mail.edu.tw")</f>
        <v>cas*****7@mail.edu.tw</v>
      </c>
      <c r="E2585" s="17" t="str">
        <f>IFERROR(__xludf.DUMMYFUNCTION("""COMPUTED_VALUE"""),"彰化縣伸港鄉新港國民小學")</f>
        <v>彰化縣伸港鄉新港國民小學</v>
      </c>
      <c r="F2585" s="14" t="str">
        <f>IFERROR(__xludf.DUMMYFUNCTION("""COMPUTED_VALUE"""),"五年級")</f>
        <v>五年級</v>
      </c>
      <c r="G2585" s="14" t="str">
        <f>IFERROR(__xludf.DUMMYFUNCTION("""COMPUTED_VALUE"""),"●小禮物")</f>
        <v>●小禮物</v>
      </c>
      <c r="H2585" s="8"/>
    </row>
    <row r="2586">
      <c r="A2586" s="18"/>
      <c r="B2586" s="14">
        <f>IFERROR(__xludf.DUMMYFUNCTION("""COMPUTED_VALUE"""),376210.0)</f>
        <v>376210</v>
      </c>
      <c r="C2586" s="14" t="str">
        <f>IFERROR(__xludf.DUMMYFUNCTION("""COMPUTED_VALUE"""),"趙祐霆")</f>
        <v>趙祐霆</v>
      </c>
      <c r="D2586" s="16" t="str">
        <f>IFERROR(__xludf.DUMMYFUNCTION("""COMPUTED_VALUE"""),"tra*****6@mail.edu.tw")</f>
        <v>tra*****6@mail.edu.tw</v>
      </c>
      <c r="E2586" s="17" t="str">
        <f>IFERROR(__xludf.DUMMYFUNCTION("""COMPUTED_VALUE"""),"彰化縣伸港鄉新港國民小學")</f>
        <v>彰化縣伸港鄉新港國民小學</v>
      </c>
      <c r="F2586" s="14" t="str">
        <f>IFERROR(__xludf.DUMMYFUNCTION("""COMPUTED_VALUE"""),"六年級")</f>
        <v>六年級</v>
      </c>
      <c r="G2586" s="14" t="str">
        <f>IFERROR(__xludf.DUMMYFUNCTION("""COMPUTED_VALUE"""),"●小禮物")</f>
        <v>●小禮物</v>
      </c>
      <c r="H2586" s="8"/>
    </row>
    <row r="2587">
      <c r="A2587" s="18"/>
      <c r="B2587" s="14">
        <f>IFERROR(__xludf.DUMMYFUNCTION("""COMPUTED_VALUE"""),1217296.0)</f>
        <v>1217296</v>
      </c>
      <c r="C2587" s="14" t="str">
        <f>IFERROR(__xludf.DUMMYFUNCTION("""COMPUTED_VALUE"""),"張芷瑜")</f>
        <v>張芷瑜</v>
      </c>
      <c r="D2587" s="16" t="str">
        <f>IFERROR(__xludf.DUMMYFUNCTION("""COMPUTED_VALUE"""),"109*****@chc.edu.tw")</f>
        <v>109*****@chc.edu.tw</v>
      </c>
      <c r="E2587" s="17" t="str">
        <f>IFERROR(__xludf.DUMMYFUNCTION("""COMPUTED_VALUE"""),"彰化縣員林市員林國民小學")</f>
        <v>彰化縣員林市員林國民小學</v>
      </c>
      <c r="F2587" s="14" t="str">
        <f>IFERROR(__xludf.DUMMYFUNCTION("""COMPUTED_VALUE"""),"三年級")</f>
        <v>三年級</v>
      </c>
      <c r="G2587" s="14" t="str">
        <f>IFERROR(__xludf.DUMMYFUNCTION("""COMPUTED_VALUE"""),"●小禮物")</f>
        <v>●小禮物</v>
      </c>
      <c r="H2587" s="8"/>
    </row>
    <row r="2588">
      <c r="A2588" s="18"/>
      <c r="B2588" s="14">
        <f>IFERROR(__xludf.DUMMYFUNCTION("""COMPUTED_VALUE"""),1217332.0)</f>
        <v>1217332</v>
      </c>
      <c r="C2588" s="14" t="str">
        <f>IFERROR(__xludf.DUMMYFUNCTION("""COMPUTED_VALUE"""),"張芷瑄")</f>
        <v>張芷瑄</v>
      </c>
      <c r="D2588" s="16" t="str">
        <f>IFERROR(__xludf.DUMMYFUNCTION("""COMPUTED_VALUE"""),"109*****@chc.edu.tw")</f>
        <v>109*****@chc.edu.tw</v>
      </c>
      <c r="E2588" s="17" t="str">
        <f>IFERROR(__xludf.DUMMYFUNCTION("""COMPUTED_VALUE"""),"彰化縣員林市員林國民小學")</f>
        <v>彰化縣員林市員林國民小學</v>
      </c>
      <c r="F2588" s="14" t="str">
        <f>IFERROR(__xludf.DUMMYFUNCTION("""COMPUTED_VALUE"""),"三年級")</f>
        <v>三年級</v>
      </c>
      <c r="G2588" s="14" t="str">
        <f>IFERROR(__xludf.DUMMYFUNCTION("""COMPUTED_VALUE"""),"獎狀")</f>
        <v>獎狀</v>
      </c>
      <c r="H2588" s="8"/>
    </row>
    <row r="2589">
      <c r="A2589" s="18"/>
      <c r="B2589" s="14">
        <f>IFERROR(__xludf.DUMMYFUNCTION("""COMPUTED_VALUE"""),1199538.0)</f>
        <v>1199538</v>
      </c>
      <c r="C2589" s="14" t="str">
        <f>IFERROR(__xludf.DUMMYFUNCTION("""COMPUTED_VALUE"""),"龎宇彤")</f>
        <v>龎宇彤</v>
      </c>
      <c r="D2589" s="16" t="str">
        <f>IFERROR(__xludf.DUMMYFUNCTION("""COMPUTED_VALUE"""),"109*****@chc.edu.tw")</f>
        <v>109*****@chc.edu.tw</v>
      </c>
      <c r="E2589" s="17" t="str">
        <f>IFERROR(__xludf.DUMMYFUNCTION("""COMPUTED_VALUE"""),"彰化縣員林市員林國民小學")</f>
        <v>彰化縣員林市員林國民小學</v>
      </c>
      <c r="F2589" s="14" t="str">
        <f>IFERROR(__xludf.DUMMYFUNCTION("""COMPUTED_VALUE"""),"三年級")</f>
        <v>三年級</v>
      </c>
      <c r="G2589" s="14" t="str">
        <f>IFERROR(__xludf.DUMMYFUNCTION("""COMPUTED_VALUE"""),"●小禮物")</f>
        <v>●小禮物</v>
      </c>
      <c r="H2589" s="8"/>
    </row>
    <row r="2590">
      <c r="A2590" s="18"/>
      <c r="B2590" s="14">
        <f>IFERROR(__xludf.DUMMYFUNCTION("""COMPUTED_VALUE"""),662296.0)</f>
        <v>662296</v>
      </c>
      <c r="C2590" s="14" t="str">
        <f>IFERROR(__xludf.DUMMYFUNCTION("""COMPUTED_VALUE"""),"李牧穎")</f>
        <v>李牧穎</v>
      </c>
      <c r="D2590" s="16" t="str">
        <f>IFERROR(__xludf.DUMMYFUNCTION("""COMPUTED_VALUE"""),"sta*****201@chc.edu.tw")</f>
        <v>sta*****201@chc.edu.tw</v>
      </c>
      <c r="E2590" s="17" t="str">
        <f>IFERROR(__xludf.DUMMYFUNCTION("""COMPUTED_VALUE"""),"彰化縣員林市員林國民小學")</f>
        <v>彰化縣員林市員林國民小學</v>
      </c>
      <c r="F2590" s="14" t="str">
        <f>IFERROR(__xludf.DUMMYFUNCTION("""COMPUTED_VALUE"""),"四年級")</f>
        <v>四年級</v>
      </c>
      <c r="G2590" s="14" t="str">
        <f>IFERROR(__xludf.DUMMYFUNCTION("""COMPUTED_VALUE"""),"●小禮物")</f>
        <v>●小禮物</v>
      </c>
      <c r="H2590" s="8"/>
    </row>
    <row r="2591">
      <c r="A2591" s="18"/>
      <c r="B2591" s="14">
        <f>IFERROR(__xludf.DUMMYFUNCTION("""COMPUTED_VALUE"""),1204250.0)</f>
        <v>1204250</v>
      </c>
      <c r="C2591" s="14" t="str">
        <f>IFERROR(__xludf.DUMMYFUNCTION("""COMPUTED_VALUE"""),"曹喆勛")</f>
        <v>曹喆勛</v>
      </c>
      <c r="D2591" s="16" t="str">
        <f>IFERROR(__xludf.DUMMYFUNCTION("""COMPUTED_VALUE"""),"109*****1@chc.edu.tw")</f>
        <v>109*****1@chc.edu.tw</v>
      </c>
      <c r="E2591" s="17" t="str">
        <f>IFERROR(__xludf.DUMMYFUNCTION("""COMPUTED_VALUE"""),"彰化縣員林市員林國民小學")</f>
        <v>彰化縣員林市員林國民小學</v>
      </c>
      <c r="F2591" s="14" t="str">
        <f>IFERROR(__xludf.DUMMYFUNCTION("""COMPUTED_VALUE"""),"四年級")</f>
        <v>四年級</v>
      </c>
      <c r="G2591" s="14" t="str">
        <f>IFERROR(__xludf.DUMMYFUNCTION("""COMPUTED_VALUE"""),"●小禮物")</f>
        <v>●小禮物</v>
      </c>
      <c r="H2591" s="8"/>
    </row>
    <row r="2592">
      <c r="A2592" s="18"/>
      <c r="B2592" s="14">
        <f>IFERROR(__xludf.DUMMYFUNCTION("""COMPUTED_VALUE"""),1130691.0)</f>
        <v>1130691</v>
      </c>
      <c r="C2592" s="14" t="str">
        <f>IFERROR(__xludf.DUMMYFUNCTION("""COMPUTED_VALUE"""),"盧怡雯")</f>
        <v>盧怡雯</v>
      </c>
      <c r="D2592" s="16" t="str">
        <f>IFERROR(__xludf.DUMMYFUNCTION("""COMPUTED_VALUE"""),"fly*****iu@gmail.com")</f>
        <v>fly*****iu@gmail.com</v>
      </c>
      <c r="E2592" s="17" t="str">
        <f>IFERROR(__xludf.DUMMYFUNCTION("""COMPUTED_VALUE"""),"彰化縣員林市員林國民小學")</f>
        <v>彰化縣員林市員林國民小學</v>
      </c>
      <c r="F2592" s="14" t="str">
        <f>IFERROR(__xludf.DUMMYFUNCTION("""COMPUTED_VALUE"""),"四年級")</f>
        <v>四年級</v>
      </c>
      <c r="G2592" s="14" t="str">
        <f>IFERROR(__xludf.DUMMYFUNCTION("""COMPUTED_VALUE"""),"獎狀")</f>
        <v>獎狀</v>
      </c>
      <c r="H2592" s="8"/>
    </row>
    <row r="2593">
      <c r="A2593" s="18"/>
      <c r="B2593" s="14">
        <f>IFERROR(__xludf.DUMMYFUNCTION("""COMPUTED_VALUE"""),1208902.0)</f>
        <v>1208902</v>
      </c>
      <c r="C2593" s="14" t="str">
        <f>IFERROR(__xludf.DUMMYFUNCTION("""COMPUTED_VALUE"""),"蕭緹羽")</f>
        <v>蕭緹羽</v>
      </c>
      <c r="D2593" s="16" t="str">
        <f>IFERROR(__xludf.DUMMYFUNCTION("""COMPUTED_VALUE"""),"tiy*****@mail.edu.tw")</f>
        <v>tiy*****@mail.edu.tw</v>
      </c>
      <c r="E2593" s="17" t="str">
        <f>IFERROR(__xludf.DUMMYFUNCTION("""COMPUTED_VALUE"""),"彰化縣員林市員林國民小學")</f>
        <v>彰化縣員林市員林國民小學</v>
      </c>
      <c r="F2593" s="14" t="str">
        <f>IFERROR(__xludf.DUMMYFUNCTION("""COMPUTED_VALUE"""),"四年級")</f>
        <v>四年級</v>
      </c>
      <c r="G2593" s="14" t="str">
        <f>IFERROR(__xludf.DUMMYFUNCTION("""COMPUTED_VALUE"""),"●小禮物")</f>
        <v>●小禮物</v>
      </c>
      <c r="H2593" s="8"/>
    </row>
    <row r="2594">
      <c r="A2594" s="18"/>
      <c r="B2594" s="14">
        <f>IFERROR(__xludf.DUMMYFUNCTION("""COMPUTED_VALUE"""),907375.0)</f>
        <v>907375</v>
      </c>
      <c r="C2594" s="14" t="str">
        <f>IFERROR(__xludf.DUMMYFUNCTION("""COMPUTED_VALUE"""),"陳沛涵")</f>
        <v>陳沛涵</v>
      </c>
      <c r="D2594" s="16" t="str">
        <f>IFERROR(__xludf.DUMMYFUNCTION("""COMPUTED_VALUE"""),"chc*****7@mail.edu.tw")</f>
        <v>chc*****7@mail.edu.tw</v>
      </c>
      <c r="E2594" s="17" t="str">
        <f>IFERROR(__xludf.DUMMYFUNCTION("""COMPUTED_VALUE"""),"彰化縣員林市員林國民小學")</f>
        <v>彰化縣員林市員林國民小學</v>
      </c>
      <c r="F2594" s="14" t="str">
        <f>IFERROR(__xludf.DUMMYFUNCTION("""COMPUTED_VALUE"""),"四年級")</f>
        <v>四年級</v>
      </c>
      <c r="G2594" s="14" t="str">
        <f>IFERROR(__xludf.DUMMYFUNCTION("""COMPUTED_VALUE"""),"獎狀")</f>
        <v>獎狀</v>
      </c>
      <c r="H2594" s="8"/>
    </row>
    <row r="2595">
      <c r="A2595" s="18"/>
      <c r="B2595" s="14">
        <f>IFERROR(__xludf.DUMMYFUNCTION("""COMPUTED_VALUE"""),800940.0)</f>
        <v>800940</v>
      </c>
      <c r="C2595" s="14" t="str">
        <f>IFERROR(__xludf.DUMMYFUNCTION("""COMPUTED_VALUE"""),"林有翊")</f>
        <v>林有翊</v>
      </c>
      <c r="D2595" s="16" t="str">
        <f>IFERROR(__xludf.DUMMYFUNCTION("""COMPUTED_VALUE"""),"dsp*****32@mail.edu.tw")</f>
        <v>dsp*****32@mail.edu.tw</v>
      </c>
      <c r="E2595" s="17" t="str">
        <f>IFERROR(__xludf.DUMMYFUNCTION("""COMPUTED_VALUE"""),"彰化縣員林市員林國民小學")</f>
        <v>彰化縣員林市員林國民小學</v>
      </c>
      <c r="F2595" s="14" t="str">
        <f>IFERROR(__xludf.DUMMYFUNCTION("""COMPUTED_VALUE"""),"五年級")</f>
        <v>五年級</v>
      </c>
      <c r="G2595" s="14" t="str">
        <f>IFERROR(__xludf.DUMMYFUNCTION("""COMPUTED_VALUE"""),"●小禮物")</f>
        <v>●小禮物</v>
      </c>
      <c r="H2595" s="8"/>
    </row>
    <row r="2596">
      <c r="A2596" s="18"/>
      <c r="B2596" s="14">
        <f>IFERROR(__xludf.DUMMYFUNCTION("""COMPUTED_VALUE"""),427197.0)</f>
        <v>427197</v>
      </c>
      <c r="C2596" s="14" t="str">
        <f>IFERROR(__xludf.DUMMYFUNCTION("""COMPUTED_VALUE"""),"李牧謙")</f>
        <v>李牧謙</v>
      </c>
      <c r="D2596" s="16" t="str">
        <f>IFERROR(__xludf.DUMMYFUNCTION("""COMPUTED_VALUE"""),"sss*****10@chc.edu.tw")</f>
        <v>sss*****10@chc.edu.tw</v>
      </c>
      <c r="E2596" s="17" t="str">
        <f>IFERROR(__xludf.DUMMYFUNCTION("""COMPUTED_VALUE"""),"彰化縣員林市員林國民小學")</f>
        <v>彰化縣員林市員林國民小學</v>
      </c>
      <c r="F2596" s="14" t="str">
        <f>IFERROR(__xludf.DUMMYFUNCTION("""COMPUTED_VALUE"""),"六年級")</f>
        <v>六年級</v>
      </c>
      <c r="G2596" s="14" t="str">
        <f>IFERROR(__xludf.DUMMYFUNCTION("""COMPUTED_VALUE"""),"獎狀")</f>
        <v>獎狀</v>
      </c>
      <c r="H2596" s="8"/>
    </row>
    <row r="2597">
      <c r="A2597" s="18"/>
      <c r="B2597" s="14">
        <f>IFERROR(__xludf.DUMMYFUNCTION("""COMPUTED_VALUE"""),529567.0)</f>
        <v>529567</v>
      </c>
      <c r="C2597" s="14" t="str">
        <f>IFERROR(__xludf.DUMMYFUNCTION("""COMPUTED_VALUE"""),"謝秉宏")</f>
        <v>謝秉宏</v>
      </c>
      <c r="D2597" s="16" t="str">
        <f>IFERROR(__xludf.DUMMYFUNCTION("""COMPUTED_VALUE"""),"hyp*****gmail.com")</f>
        <v>hyp*****gmail.com</v>
      </c>
      <c r="E2597" s="17" t="str">
        <f>IFERROR(__xludf.DUMMYFUNCTION("""COMPUTED_VALUE"""),"彰化縣員林市員林國民小學")</f>
        <v>彰化縣員林市員林國民小學</v>
      </c>
      <c r="F2597" s="14" t="str">
        <f>IFERROR(__xludf.DUMMYFUNCTION("""COMPUTED_VALUE"""),"六年級")</f>
        <v>六年級</v>
      </c>
      <c r="G2597" s="14" t="str">
        <f>IFERROR(__xludf.DUMMYFUNCTION("""COMPUTED_VALUE"""),"獎狀")</f>
        <v>獎狀</v>
      </c>
      <c r="H2597" s="8"/>
    </row>
    <row r="2598">
      <c r="A2598" s="18"/>
      <c r="B2598" s="14">
        <f>IFERROR(__xludf.DUMMYFUNCTION("""COMPUTED_VALUE"""),1198481.0)</f>
        <v>1198481</v>
      </c>
      <c r="C2598" s="14" t="str">
        <f>IFERROR(__xludf.DUMMYFUNCTION("""COMPUTED_VALUE"""),"張芮嘉")</f>
        <v>張芮嘉</v>
      </c>
      <c r="D2598" s="16" t="str">
        <f>IFERROR(__xludf.DUMMYFUNCTION("""COMPUTED_VALUE"""),"csp*****81@csps.chc.edu.tw")</f>
        <v>csp*****81@csps.chc.edu.tw</v>
      </c>
      <c r="E2598" s="17" t="str">
        <f>IFERROR(__xludf.DUMMYFUNCTION("""COMPUTED_VALUE"""),"彰化縣員林市僑信國民小學")</f>
        <v>彰化縣員林市僑信國民小學</v>
      </c>
      <c r="F2598" s="14" t="str">
        <f>IFERROR(__xludf.DUMMYFUNCTION("""COMPUTED_VALUE"""),"五年級")</f>
        <v>五年級</v>
      </c>
      <c r="G2598" s="14" t="str">
        <f>IFERROR(__xludf.DUMMYFUNCTION("""COMPUTED_VALUE"""),"●小禮物")</f>
        <v>●小禮物</v>
      </c>
      <c r="H2598" s="8"/>
    </row>
    <row r="2599">
      <c r="A2599" s="18"/>
      <c r="B2599" s="14">
        <f>IFERROR(__xludf.DUMMYFUNCTION("""COMPUTED_VALUE"""),1144878.0)</f>
        <v>1144878</v>
      </c>
      <c r="C2599" s="14" t="str">
        <f>IFERROR(__xludf.DUMMYFUNCTION("""COMPUTED_VALUE"""),"陳亮妤")</f>
        <v>陳亮妤</v>
      </c>
      <c r="D2599" s="16" t="str">
        <f>IFERROR(__xludf.DUMMYFUNCTION("""COMPUTED_VALUE"""),"boa*****109014@mail.edu.tw")</f>
        <v>boa*****109014@mail.edu.tw</v>
      </c>
      <c r="E2599" s="17" t="str">
        <f>IFERROR(__xludf.DUMMYFUNCTION("""COMPUTED_VALUE"""),"彰化縣員林市青山國民小學")</f>
        <v>彰化縣員林市青山國民小學</v>
      </c>
      <c r="F2599" s="14" t="str">
        <f>IFERROR(__xludf.DUMMYFUNCTION("""COMPUTED_VALUE"""),"三年級")</f>
        <v>三年級</v>
      </c>
      <c r="G2599" s="14" t="str">
        <f>IFERROR(__xludf.DUMMYFUNCTION("""COMPUTED_VALUE"""),"●小禮物")</f>
        <v>●小禮物</v>
      </c>
      <c r="H2599" s="8"/>
    </row>
    <row r="2600">
      <c r="A2600" s="18"/>
      <c r="B2600" s="14">
        <f>IFERROR(__xludf.DUMMYFUNCTION("""COMPUTED_VALUE"""),887408.0)</f>
        <v>887408</v>
      </c>
      <c r="C2600" s="14" t="str">
        <f>IFERROR(__xludf.DUMMYFUNCTION("""COMPUTED_VALUE"""),"陳昱翔")</f>
        <v>陳昱翔</v>
      </c>
      <c r="D2600" s="16" t="str">
        <f>IFERROR(__xludf.DUMMYFUNCTION("""COMPUTED_VALUE"""),"chc*****7025@mail.edu.tw")</f>
        <v>chc*****7025@mail.edu.tw</v>
      </c>
      <c r="E2600" s="17" t="str">
        <f>IFERROR(__xludf.DUMMYFUNCTION("""COMPUTED_VALUE"""),"彰化縣員林市青山國民小學")</f>
        <v>彰化縣員林市青山國民小學</v>
      </c>
      <c r="F2600" s="14" t="str">
        <f>IFERROR(__xludf.DUMMYFUNCTION("""COMPUTED_VALUE"""),"五年級")</f>
        <v>五年級</v>
      </c>
      <c r="G2600" s="14" t="str">
        <f>IFERROR(__xludf.DUMMYFUNCTION("""COMPUTED_VALUE"""),"獎狀")</f>
        <v>獎狀</v>
      </c>
      <c r="H2600" s="8"/>
    </row>
    <row r="2601">
      <c r="A2601" s="18"/>
      <c r="B2601" s="14">
        <f>IFERROR(__xludf.DUMMYFUNCTION("""COMPUTED_VALUE"""),1204658.0)</f>
        <v>1204658</v>
      </c>
      <c r="C2601" s="14" t="str">
        <f>IFERROR(__xludf.DUMMYFUNCTION("""COMPUTED_VALUE"""),"莊子萱")</f>
        <v>莊子萱</v>
      </c>
      <c r="D2601" s="16" t="str">
        <f>IFERROR(__xludf.DUMMYFUNCTION("""COMPUTED_VALUE"""),"n10*****@gmail.com")</f>
        <v>n10*****@gmail.com</v>
      </c>
      <c r="E2601" s="17" t="str">
        <f>IFERROR(__xludf.DUMMYFUNCTION("""COMPUTED_VALUE"""),"彰化縣員林市靜修國民小學")</f>
        <v>彰化縣員林市靜修國民小學</v>
      </c>
      <c r="F2601" s="14" t="str">
        <f>IFERROR(__xludf.DUMMYFUNCTION("""COMPUTED_VALUE"""),"四年級")</f>
        <v>四年級</v>
      </c>
      <c r="G2601" s="14" t="str">
        <f>IFERROR(__xludf.DUMMYFUNCTION("""COMPUTED_VALUE"""),"獎狀")</f>
        <v>獎狀</v>
      </c>
      <c r="H2601" s="8"/>
    </row>
    <row r="2602">
      <c r="A2602" s="18"/>
      <c r="B2602" s="14">
        <f>IFERROR(__xludf.DUMMYFUNCTION("""COMPUTED_VALUE"""),788035.0)</f>
        <v>788035</v>
      </c>
      <c r="C2602" s="14" t="str">
        <f>IFERROR(__xludf.DUMMYFUNCTION("""COMPUTED_VALUE"""),"陳袖洹")</f>
        <v>陳袖洹</v>
      </c>
      <c r="D2602" s="16" t="str">
        <f>IFERROR(__xludf.DUMMYFUNCTION("""COMPUTED_VALUE"""),"ari*****n12@gmail.com")</f>
        <v>ari*****n12@gmail.com</v>
      </c>
      <c r="E2602" s="17" t="str">
        <f>IFERROR(__xludf.DUMMYFUNCTION("""COMPUTED_VALUE"""),"彰化縣員林市靜修國民小學")</f>
        <v>彰化縣員林市靜修國民小學</v>
      </c>
      <c r="F2602" s="14" t="str">
        <f>IFERROR(__xludf.DUMMYFUNCTION("""COMPUTED_VALUE"""),"四年級")</f>
        <v>四年級</v>
      </c>
      <c r="G2602" s="14" t="str">
        <f>IFERROR(__xludf.DUMMYFUNCTION("""COMPUTED_VALUE"""),"●小禮物")</f>
        <v>●小禮物</v>
      </c>
      <c r="H2602" s="8"/>
    </row>
    <row r="2603">
      <c r="A2603" s="18"/>
      <c r="B2603" s="14">
        <f>IFERROR(__xludf.DUMMYFUNCTION("""COMPUTED_VALUE"""),755727.0)</f>
        <v>755727</v>
      </c>
      <c r="C2603" s="14" t="str">
        <f>IFERROR(__xludf.DUMMYFUNCTION("""COMPUTED_VALUE"""),"蔡政恩")</f>
        <v>蔡政恩</v>
      </c>
      <c r="D2603" s="16" t="str">
        <f>IFERROR(__xludf.DUMMYFUNCTION("""COMPUTED_VALUE"""),"chc*****106113@mail.edu.tw")</f>
        <v>chc*****106113@mail.edu.tw</v>
      </c>
      <c r="E2603" s="17" t="str">
        <f>IFERROR(__xludf.DUMMYFUNCTION("""COMPUTED_VALUE"""),"彰化縣員林市靜修國民小學")</f>
        <v>彰化縣員林市靜修國民小學</v>
      </c>
      <c r="F2603" s="14" t="str">
        <f>IFERROR(__xludf.DUMMYFUNCTION("""COMPUTED_VALUE"""),"六年級")</f>
        <v>六年級</v>
      </c>
      <c r="G2603" s="14" t="str">
        <f>IFERROR(__xludf.DUMMYFUNCTION("""COMPUTED_VALUE"""),"獎狀")</f>
        <v>獎狀</v>
      </c>
      <c r="H2603" s="8"/>
    </row>
    <row r="2604">
      <c r="A2604" s="18"/>
      <c r="B2604" s="14">
        <f>IFERROR(__xludf.DUMMYFUNCTION("""COMPUTED_VALUE"""),742348.0)</f>
        <v>742348</v>
      </c>
      <c r="C2604" s="14" t="str">
        <f>IFERROR(__xludf.DUMMYFUNCTION("""COMPUTED_VALUE"""),"凃盛馮")</f>
        <v>凃盛馮</v>
      </c>
      <c r="D2604" s="16" t="str">
        <f>IFERROR(__xludf.DUMMYFUNCTION("""COMPUTED_VALUE"""),"chc*****106142@mail.edu.tw")</f>
        <v>chc*****106142@mail.edu.tw</v>
      </c>
      <c r="E2604" s="17" t="str">
        <f>IFERROR(__xludf.DUMMYFUNCTION("""COMPUTED_VALUE"""),"彰化縣員林市靜修國民小學")</f>
        <v>彰化縣員林市靜修國民小學</v>
      </c>
      <c r="F2604" s="14" t="str">
        <f>IFERROR(__xludf.DUMMYFUNCTION("""COMPUTED_VALUE"""),"六年級")</f>
        <v>六年級</v>
      </c>
      <c r="G2604" s="14" t="str">
        <f>IFERROR(__xludf.DUMMYFUNCTION("""COMPUTED_VALUE"""),"獎狀")</f>
        <v>獎狀</v>
      </c>
      <c r="H2604" s="8"/>
    </row>
    <row r="2605">
      <c r="A2605" s="18"/>
      <c r="B2605" s="14">
        <f>IFERROR(__xludf.DUMMYFUNCTION("""COMPUTED_VALUE"""),1144496.0)</f>
        <v>1144496</v>
      </c>
      <c r="C2605" s="14" t="str">
        <f>IFERROR(__xludf.DUMMYFUNCTION("""COMPUTED_VALUE"""),"楊軒齊")</f>
        <v>楊軒齊</v>
      </c>
      <c r="D2605" s="16" t="str">
        <f>IFERROR(__xludf.DUMMYFUNCTION("""COMPUTED_VALUE"""),"sam*****6@mail.edu.tw")</f>
        <v>sam*****6@mail.edu.tw</v>
      </c>
      <c r="E2605" s="17" t="str">
        <f>IFERROR(__xludf.DUMMYFUNCTION("""COMPUTED_VALUE"""),"彰化縣社頭鄉社頭國民小學")</f>
        <v>彰化縣社頭鄉社頭國民小學</v>
      </c>
      <c r="F2605" s="14" t="str">
        <f>IFERROR(__xludf.DUMMYFUNCTION("""COMPUTED_VALUE"""),"四年級")</f>
        <v>四年級</v>
      </c>
      <c r="G2605" s="14" t="str">
        <f>IFERROR(__xludf.DUMMYFUNCTION("""COMPUTED_VALUE"""),"獎狀")</f>
        <v>獎狀</v>
      </c>
      <c r="H2605" s="8"/>
    </row>
    <row r="2606">
      <c r="A2606" s="18"/>
      <c r="B2606" s="14">
        <f>IFERROR(__xludf.DUMMYFUNCTION("""COMPUTED_VALUE"""),929628.0)</f>
        <v>929628</v>
      </c>
      <c r="C2606" s="14" t="str">
        <f>IFERROR(__xludf.DUMMYFUNCTION("""COMPUTED_VALUE"""),"陳奕鈞")</f>
        <v>陳奕鈞</v>
      </c>
      <c r="D2606" s="16" t="str">
        <f>IFERROR(__xludf.DUMMYFUNCTION("""COMPUTED_VALUE"""),"lyp*****0@mail.edu.tw")</f>
        <v>lyp*****0@mail.edu.tw</v>
      </c>
      <c r="E2606" s="17" t="str">
        <f>IFERROR(__xludf.DUMMYFUNCTION("""COMPUTED_VALUE"""),"彰化縣社頭鄉崙雅國民小學")</f>
        <v>彰化縣社頭鄉崙雅國民小學</v>
      </c>
      <c r="F2606" s="14" t="str">
        <f>IFERROR(__xludf.DUMMYFUNCTION("""COMPUTED_VALUE"""),"四年級")</f>
        <v>四年級</v>
      </c>
      <c r="G2606" s="14" t="str">
        <f>IFERROR(__xludf.DUMMYFUNCTION("""COMPUTED_VALUE"""),"●小禮物")</f>
        <v>●小禮物</v>
      </c>
      <c r="H2606" s="8"/>
    </row>
    <row r="2607">
      <c r="A2607" s="18"/>
      <c r="B2607" s="14">
        <f>IFERROR(__xludf.DUMMYFUNCTION("""COMPUTED_VALUE"""),994986.0)</f>
        <v>994986</v>
      </c>
      <c r="C2607" s="14" t="str">
        <f>IFERROR(__xludf.DUMMYFUNCTION("""COMPUTED_VALUE"""),"魏韵頲")</f>
        <v>魏韵頲</v>
      </c>
      <c r="D2607" s="16" t="str">
        <f>IFERROR(__xludf.DUMMYFUNCTION("""COMPUTED_VALUE"""),"lyp*****5@mail.edu.tw")</f>
        <v>lyp*****5@mail.edu.tw</v>
      </c>
      <c r="E2607" s="17" t="str">
        <f>IFERROR(__xludf.DUMMYFUNCTION("""COMPUTED_VALUE"""),"彰化縣社頭鄉崙雅國民小學")</f>
        <v>彰化縣社頭鄉崙雅國民小學</v>
      </c>
      <c r="F2607" s="14" t="str">
        <f>IFERROR(__xludf.DUMMYFUNCTION("""COMPUTED_VALUE"""),"四年級")</f>
        <v>四年級</v>
      </c>
      <c r="G2607" s="14" t="str">
        <f>IFERROR(__xludf.DUMMYFUNCTION("""COMPUTED_VALUE"""),"●小禮物")</f>
        <v>●小禮物</v>
      </c>
      <c r="H2607" s="8"/>
    </row>
    <row r="2608">
      <c r="A2608" s="18"/>
      <c r="B2608" s="14">
        <f>IFERROR(__xludf.DUMMYFUNCTION("""COMPUTED_VALUE"""),998401.0)</f>
        <v>998401</v>
      </c>
      <c r="C2608" s="14" t="str">
        <f>IFERROR(__xludf.DUMMYFUNCTION("""COMPUTED_VALUE"""),"蕭廷叡")</f>
        <v>蕭廷叡</v>
      </c>
      <c r="D2608" s="16" t="str">
        <f>IFERROR(__xludf.DUMMYFUNCTION("""COMPUTED_VALUE"""),"iyp*****2@mail.edu.tw")</f>
        <v>iyp*****2@mail.edu.tw</v>
      </c>
      <c r="E2608" s="17" t="str">
        <f>IFERROR(__xludf.DUMMYFUNCTION("""COMPUTED_VALUE"""),"彰化縣社頭鄉崙雅國民小學")</f>
        <v>彰化縣社頭鄉崙雅國民小學</v>
      </c>
      <c r="F2608" s="14" t="str">
        <f>IFERROR(__xludf.DUMMYFUNCTION("""COMPUTED_VALUE"""),"六年級")</f>
        <v>六年級</v>
      </c>
      <c r="G2608" s="14" t="str">
        <f>IFERROR(__xludf.DUMMYFUNCTION("""COMPUTED_VALUE"""),"獎狀")</f>
        <v>獎狀</v>
      </c>
      <c r="H2608" s="8"/>
    </row>
    <row r="2609">
      <c r="A2609" s="18"/>
      <c r="B2609" s="14">
        <f>IFERROR(__xludf.DUMMYFUNCTION("""COMPUTED_VALUE"""),964657.0)</f>
        <v>964657</v>
      </c>
      <c r="C2609" s="14" t="str">
        <f>IFERROR(__xludf.DUMMYFUNCTION("""COMPUTED_VALUE"""),"周玟妤")</f>
        <v>周玟妤</v>
      </c>
      <c r="D2609" s="16" t="str">
        <f>IFERROR(__xludf.DUMMYFUNCTION("""COMPUTED_VALUE"""),"108*****bps.chc.edu.tw")</f>
        <v>108*****bps.chc.edu.tw</v>
      </c>
      <c r="E2609" s="17" t="str">
        <f>IFERROR(__xludf.DUMMYFUNCTION("""COMPUTED_VALUE"""),"彰化縣溪湖鎮湖北國民小學")</f>
        <v>彰化縣溪湖鎮湖北國民小學</v>
      </c>
      <c r="F2609" s="14" t="str">
        <f>IFERROR(__xludf.DUMMYFUNCTION("""COMPUTED_VALUE"""),"四年級")</f>
        <v>四年級</v>
      </c>
      <c r="G2609" s="14" t="str">
        <f>IFERROR(__xludf.DUMMYFUNCTION("""COMPUTED_VALUE"""),"獎狀")</f>
        <v>獎狀</v>
      </c>
      <c r="H2609" s="8"/>
    </row>
    <row r="2610">
      <c r="A2610" s="18"/>
      <c r="B2610" s="14">
        <f>IFERROR(__xludf.DUMMYFUNCTION("""COMPUTED_VALUE"""),820090.0)</f>
        <v>820090</v>
      </c>
      <c r="C2610" s="14" t="str">
        <f>IFERROR(__xludf.DUMMYFUNCTION("""COMPUTED_VALUE"""),"楊定祥")</f>
        <v>楊定祥</v>
      </c>
      <c r="D2610" s="16" t="str">
        <f>IFERROR(__xludf.DUMMYFUNCTION("""COMPUTED_VALUE"""),"hbp*****67@mail.edu.tw")</f>
        <v>hbp*****67@mail.edu.tw</v>
      </c>
      <c r="E2610" s="17" t="str">
        <f>IFERROR(__xludf.DUMMYFUNCTION("""COMPUTED_VALUE"""),"彰化縣溪湖鎮湖北國民小學")</f>
        <v>彰化縣溪湖鎮湖北國民小學</v>
      </c>
      <c r="F2610" s="14" t="str">
        <f>IFERROR(__xludf.DUMMYFUNCTION("""COMPUTED_VALUE"""),"四年級")</f>
        <v>四年級</v>
      </c>
      <c r="G2610" s="14" t="str">
        <f>IFERROR(__xludf.DUMMYFUNCTION("""COMPUTED_VALUE"""),"●小禮物")</f>
        <v>●小禮物</v>
      </c>
      <c r="H2610" s="8"/>
    </row>
    <row r="2611">
      <c r="A2611" s="18"/>
      <c r="B2611" s="14">
        <f>IFERROR(__xludf.DUMMYFUNCTION("""COMPUTED_VALUE"""),772600.0)</f>
        <v>772600</v>
      </c>
      <c r="C2611" s="14" t="str">
        <f>IFERROR(__xludf.DUMMYFUNCTION("""COMPUTED_VALUE"""),"蕭淳璟")</f>
        <v>蕭淳璟</v>
      </c>
      <c r="D2611" s="16" t="str">
        <f>IFERROR(__xludf.DUMMYFUNCTION("""COMPUTED_VALUE"""),"app*****19@mail.edu.tw")</f>
        <v>app*****19@mail.edu.tw</v>
      </c>
      <c r="E2611" s="17" t="str">
        <f>IFERROR(__xludf.DUMMYFUNCTION("""COMPUTED_VALUE"""),"彰化縣溪湖鎮湖北國民小學")</f>
        <v>彰化縣溪湖鎮湖北國民小學</v>
      </c>
      <c r="F2611" s="14" t="str">
        <f>IFERROR(__xludf.DUMMYFUNCTION("""COMPUTED_VALUE"""),"四年級")</f>
        <v>四年級</v>
      </c>
      <c r="G2611" s="14" t="str">
        <f>IFERROR(__xludf.DUMMYFUNCTION("""COMPUTED_VALUE"""),"●小禮物")</f>
        <v>●小禮物</v>
      </c>
      <c r="H2611" s="8"/>
    </row>
    <row r="2612">
      <c r="A2612" s="18"/>
      <c r="B2612" s="14">
        <f>IFERROR(__xludf.DUMMYFUNCTION("""COMPUTED_VALUE"""),1139940.0)</f>
        <v>1139940</v>
      </c>
      <c r="C2612" s="14" t="str">
        <f>IFERROR(__xludf.DUMMYFUNCTION("""COMPUTED_VALUE"""),"巫嘉軒")</f>
        <v>巫嘉軒</v>
      </c>
      <c r="D2612" s="16" t="str">
        <f>IFERROR(__xludf.DUMMYFUNCTION("""COMPUTED_VALUE"""),"hbp*****04@mail.edu.tw")</f>
        <v>hbp*****04@mail.edu.tw</v>
      </c>
      <c r="E2612" s="17" t="str">
        <f>IFERROR(__xludf.DUMMYFUNCTION("""COMPUTED_VALUE"""),"彰化縣溪湖鎮湖北國民小學")</f>
        <v>彰化縣溪湖鎮湖北國民小學</v>
      </c>
      <c r="F2612" s="14" t="str">
        <f>IFERROR(__xludf.DUMMYFUNCTION("""COMPUTED_VALUE"""),"四年級")</f>
        <v>四年級</v>
      </c>
      <c r="G2612" s="14" t="str">
        <f>IFERROR(__xludf.DUMMYFUNCTION("""COMPUTED_VALUE"""),"獎狀")</f>
        <v>獎狀</v>
      </c>
      <c r="H2612" s="8"/>
    </row>
    <row r="2613">
      <c r="A2613" s="18"/>
      <c r="B2613" s="14">
        <f>IFERROR(__xludf.DUMMYFUNCTION("""COMPUTED_VALUE"""),869926.0)</f>
        <v>869926</v>
      </c>
      <c r="C2613" s="14" t="str">
        <f>IFERROR(__xludf.DUMMYFUNCTION("""COMPUTED_VALUE"""),"劉子瑗")</f>
        <v>劉子瑗</v>
      </c>
      <c r="D2613" s="16" t="str">
        <f>IFERROR(__xludf.DUMMYFUNCTION("""COMPUTED_VALUE"""),"108*****bps.chc.edu.tw")</f>
        <v>108*****bps.chc.edu.tw</v>
      </c>
      <c r="E2613" s="17" t="str">
        <f>IFERROR(__xludf.DUMMYFUNCTION("""COMPUTED_VALUE"""),"彰化縣溪湖鎮湖北國民小學")</f>
        <v>彰化縣溪湖鎮湖北國民小學</v>
      </c>
      <c r="F2613" s="14" t="str">
        <f>IFERROR(__xludf.DUMMYFUNCTION("""COMPUTED_VALUE"""),"四年級")</f>
        <v>四年級</v>
      </c>
      <c r="G2613" s="14" t="str">
        <f>IFERROR(__xludf.DUMMYFUNCTION("""COMPUTED_VALUE"""),"獎狀")</f>
        <v>獎狀</v>
      </c>
      <c r="H2613" s="8"/>
    </row>
    <row r="2614">
      <c r="A2614" s="18"/>
      <c r="B2614" s="14">
        <f>IFERROR(__xludf.DUMMYFUNCTION("""COMPUTED_VALUE"""),864189.0)</f>
        <v>864189</v>
      </c>
      <c r="C2614" s="14" t="str">
        <f>IFERROR(__xludf.DUMMYFUNCTION("""COMPUTED_VALUE"""),"施智揚")</f>
        <v>施智揚</v>
      </c>
      <c r="D2614" s="16" t="str">
        <f>IFERROR(__xludf.DUMMYFUNCTION("""COMPUTED_VALUE"""),"hbp*****18@mail.edu.tw")</f>
        <v>hbp*****18@mail.edu.tw</v>
      </c>
      <c r="E2614" s="17" t="str">
        <f>IFERROR(__xludf.DUMMYFUNCTION("""COMPUTED_VALUE"""),"彰化縣溪湖鎮湖北國民小學")</f>
        <v>彰化縣溪湖鎮湖北國民小學</v>
      </c>
      <c r="F2614" s="14" t="str">
        <f>IFERROR(__xludf.DUMMYFUNCTION("""COMPUTED_VALUE"""),"五年級")</f>
        <v>五年級</v>
      </c>
      <c r="G2614" s="14" t="str">
        <f>IFERROR(__xludf.DUMMYFUNCTION("""COMPUTED_VALUE"""),"●小禮物")</f>
        <v>●小禮物</v>
      </c>
      <c r="H2614" s="8"/>
    </row>
    <row r="2615">
      <c r="A2615" s="18"/>
      <c r="B2615" s="14">
        <f>IFERROR(__xludf.DUMMYFUNCTION("""COMPUTED_VALUE"""),866890.0)</f>
        <v>866890</v>
      </c>
      <c r="C2615" s="14" t="str">
        <f>IFERROR(__xludf.DUMMYFUNCTION("""COMPUTED_VALUE"""),"黃雯淨")</f>
        <v>黃雯淨</v>
      </c>
      <c r="D2615" s="16" t="str">
        <f>IFERROR(__xludf.DUMMYFUNCTION("""COMPUTED_VALUE"""),"hbp*****84@mail.edu.tw")</f>
        <v>hbp*****84@mail.edu.tw</v>
      </c>
      <c r="E2615" s="17" t="str">
        <f>IFERROR(__xludf.DUMMYFUNCTION("""COMPUTED_VALUE"""),"彰化縣溪湖鎮湖北國民小學")</f>
        <v>彰化縣溪湖鎮湖北國民小學</v>
      </c>
      <c r="F2615" s="14" t="str">
        <f>IFERROR(__xludf.DUMMYFUNCTION("""COMPUTED_VALUE"""),"五年級")</f>
        <v>五年級</v>
      </c>
      <c r="G2615" s="14" t="str">
        <f>IFERROR(__xludf.DUMMYFUNCTION("""COMPUTED_VALUE"""),"●小禮物")</f>
        <v>●小禮物</v>
      </c>
      <c r="H2615" s="8"/>
    </row>
    <row r="2616">
      <c r="A2616" s="18"/>
      <c r="B2616" s="14">
        <f>IFERROR(__xludf.DUMMYFUNCTION("""COMPUTED_VALUE"""),889549.0)</f>
        <v>889549</v>
      </c>
      <c r="C2616" s="14" t="str">
        <f>IFERROR(__xludf.DUMMYFUNCTION("""COMPUTED_VALUE"""),"楊智宣")</f>
        <v>楊智宣</v>
      </c>
      <c r="D2616" s="16" t="str">
        <f>IFERROR(__xludf.DUMMYFUNCTION("""COMPUTED_VALUE"""),"hbp*****27@mail.edu.tw")</f>
        <v>hbp*****27@mail.edu.tw</v>
      </c>
      <c r="E2616" s="17" t="str">
        <f>IFERROR(__xludf.DUMMYFUNCTION("""COMPUTED_VALUE"""),"彰化縣溪湖鎮湖北國民小學")</f>
        <v>彰化縣溪湖鎮湖北國民小學</v>
      </c>
      <c r="F2616" s="14" t="str">
        <f>IFERROR(__xludf.DUMMYFUNCTION("""COMPUTED_VALUE"""),"五年級")</f>
        <v>五年級</v>
      </c>
      <c r="G2616" s="14" t="str">
        <f>IFERROR(__xludf.DUMMYFUNCTION("""COMPUTED_VALUE"""),"●小禮物")</f>
        <v>●小禮物</v>
      </c>
      <c r="H2616" s="8"/>
    </row>
    <row r="2617">
      <c r="A2617" s="18"/>
      <c r="B2617" s="14">
        <f>IFERROR(__xludf.DUMMYFUNCTION("""COMPUTED_VALUE"""),864191.0)</f>
        <v>864191</v>
      </c>
      <c r="C2617" s="14" t="str">
        <f>IFERROR(__xludf.DUMMYFUNCTION("""COMPUTED_VALUE"""),"林詠晴")</f>
        <v>林詠晴</v>
      </c>
      <c r="D2617" s="16" t="str">
        <f>IFERROR(__xludf.DUMMYFUNCTION("""COMPUTED_VALUE"""),"hbp*****52@mail.edu.tw")</f>
        <v>hbp*****52@mail.edu.tw</v>
      </c>
      <c r="E2617" s="17" t="str">
        <f>IFERROR(__xludf.DUMMYFUNCTION("""COMPUTED_VALUE"""),"彰化縣溪湖鎮湖北國民小學")</f>
        <v>彰化縣溪湖鎮湖北國民小學</v>
      </c>
      <c r="F2617" s="14" t="str">
        <f>IFERROR(__xludf.DUMMYFUNCTION("""COMPUTED_VALUE"""),"五年級")</f>
        <v>五年級</v>
      </c>
      <c r="G2617" s="14" t="str">
        <f>IFERROR(__xludf.DUMMYFUNCTION("""COMPUTED_VALUE"""),"獎狀")</f>
        <v>獎狀</v>
      </c>
      <c r="H2617" s="8"/>
    </row>
    <row r="2618">
      <c r="A2618" s="18"/>
      <c r="B2618" s="14">
        <f>IFERROR(__xludf.DUMMYFUNCTION("""COMPUTED_VALUE"""),869456.0)</f>
        <v>869456</v>
      </c>
      <c r="C2618" s="14" t="str">
        <f>IFERROR(__xludf.DUMMYFUNCTION("""COMPUTED_VALUE"""),"邱映寧")</f>
        <v>邱映寧</v>
      </c>
      <c r="D2618" s="16" t="str">
        <f>IFERROR(__xludf.DUMMYFUNCTION("""COMPUTED_VALUE"""),"hbp*****10@mail.edu.tw")</f>
        <v>hbp*****10@mail.edu.tw</v>
      </c>
      <c r="E2618" s="17" t="str">
        <f>IFERROR(__xludf.DUMMYFUNCTION("""COMPUTED_VALUE"""),"彰化縣溪湖鎮湖北國民小學")</f>
        <v>彰化縣溪湖鎮湖北國民小學</v>
      </c>
      <c r="F2618" s="14" t="str">
        <f>IFERROR(__xludf.DUMMYFUNCTION("""COMPUTED_VALUE"""),"五年級")</f>
        <v>五年級</v>
      </c>
      <c r="G2618" s="14" t="str">
        <f>IFERROR(__xludf.DUMMYFUNCTION("""COMPUTED_VALUE"""),"●小禮物")</f>
        <v>●小禮物</v>
      </c>
      <c r="H2618" s="8"/>
    </row>
    <row r="2619">
      <c r="A2619" s="18"/>
      <c r="B2619" s="14">
        <f>IFERROR(__xludf.DUMMYFUNCTION("""COMPUTED_VALUE"""),866287.0)</f>
        <v>866287</v>
      </c>
      <c r="C2619" s="14" t="str">
        <f>IFERROR(__xludf.DUMMYFUNCTION("""COMPUTED_VALUE"""),"楊岑寧")</f>
        <v>楊岑寧</v>
      </c>
      <c r="D2619" s="16" t="str">
        <f>IFERROR(__xludf.DUMMYFUNCTION("""COMPUTED_VALUE"""),"hbp*****16@mail.edu.tw")</f>
        <v>hbp*****16@mail.edu.tw</v>
      </c>
      <c r="E2619" s="17" t="str">
        <f>IFERROR(__xludf.DUMMYFUNCTION("""COMPUTED_VALUE"""),"彰化縣溪湖鎮湖北國民小學")</f>
        <v>彰化縣溪湖鎮湖北國民小學</v>
      </c>
      <c r="F2619" s="14" t="str">
        <f>IFERROR(__xludf.DUMMYFUNCTION("""COMPUTED_VALUE"""),"五年級")</f>
        <v>五年級</v>
      </c>
      <c r="G2619" s="14" t="str">
        <f>IFERROR(__xludf.DUMMYFUNCTION("""COMPUTED_VALUE"""),"●小禮物")</f>
        <v>●小禮物</v>
      </c>
      <c r="H2619" s="8"/>
    </row>
    <row r="2620">
      <c r="A2620" s="18"/>
      <c r="B2620" s="14">
        <f>IFERROR(__xludf.DUMMYFUNCTION("""COMPUTED_VALUE"""),963033.0)</f>
        <v>963033</v>
      </c>
      <c r="C2620" s="14" t="str">
        <f>IFERROR(__xludf.DUMMYFUNCTION("""COMPUTED_VALUE"""),"韓斐旭")</f>
        <v>韓斐旭</v>
      </c>
      <c r="D2620" s="16" t="str">
        <f>IFERROR(__xludf.DUMMYFUNCTION("""COMPUTED_VALUE"""),"hbp*****99@mail.edu.tw")</f>
        <v>hbp*****99@mail.edu.tw</v>
      </c>
      <c r="E2620" s="17" t="str">
        <f>IFERROR(__xludf.DUMMYFUNCTION("""COMPUTED_VALUE"""),"彰化縣溪湖鎮湖北國民小學")</f>
        <v>彰化縣溪湖鎮湖北國民小學</v>
      </c>
      <c r="F2620" s="14" t="str">
        <f>IFERROR(__xludf.DUMMYFUNCTION("""COMPUTED_VALUE"""),"五年級")</f>
        <v>五年級</v>
      </c>
      <c r="G2620" s="14" t="str">
        <f>IFERROR(__xludf.DUMMYFUNCTION("""COMPUTED_VALUE"""),"●小禮物")</f>
        <v>●小禮物</v>
      </c>
      <c r="H2620" s="8"/>
    </row>
    <row r="2621">
      <c r="A2621" s="18"/>
      <c r="B2621" s="14">
        <f>IFERROR(__xludf.DUMMYFUNCTION("""COMPUTED_VALUE"""),866453.0)</f>
        <v>866453</v>
      </c>
      <c r="C2621" s="14" t="str">
        <f>IFERROR(__xludf.DUMMYFUNCTION("""COMPUTED_VALUE"""),"巫睿軒")</f>
        <v>巫睿軒</v>
      </c>
      <c r="D2621" s="16" t="str">
        <f>IFERROR(__xludf.DUMMYFUNCTION("""COMPUTED_VALUE"""),"hbp*****93@mail.edu.tw")</f>
        <v>hbp*****93@mail.edu.tw</v>
      </c>
      <c r="E2621" s="17" t="str">
        <f>IFERROR(__xludf.DUMMYFUNCTION("""COMPUTED_VALUE"""),"彰化縣溪湖鎮湖北國民小學")</f>
        <v>彰化縣溪湖鎮湖北國民小學</v>
      </c>
      <c r="F2621" s="14" t="str">
        <f>IFERROR(__xludf.DUMMYFUNCTION("""COMPUTED_VALUE"""),"五年級")</f>
        <v>五年級</v>
      </c>
      <c r="G2621" s="14" t="str">
        <f>IFERROR(__xludf.DUMMYFUNCTION("""COMPUTED_VALUE"""),"獎狀")</f>
        <v>獎狀</v>
      </c>
      <c r="H2621" s="8"/>
    </row>
    <row r="2622">
      <c r="A2622" s="18"/>
      <c r="B2622" s="14">
        <f>IFERROR(__xludf.DUMMYFUNCTION("""COMPUTED_VALUE"""),865692.0)</f>
        <v>865692</v>
      </c>
      <c r="C2622" s="14" t="str">
        <f>IFERROR(__xludf.DUMMYFUNCTION("""COMPUTED_VALUE"""),"陳秉謙")</f>
        <v>陳秉謙</v>
      </c>
      <c r="D2622" s="16" t="str">
        <f>IFERROR(__xludf.DUMMYFUNCTION("""COMPUTED_VALUE"""),"ch4*****87@mail.edu.tw")</f>
        <v>ch4*****87@mail.edu.tw</v>
      </c>
      <c r="E2622" s="17" t="str">
        <f>IFERROR(__xludf.DUMMYFUNCTION("""COMPUTED_VALUE"""),"彰化縣溪湖鎮湖北國民小學")</f>
        <v>彰化縣溪湖鎮湖北國民小學</v>
      </c>
      <c r="F2622" s="14" t="str">
        <f>IFERROR(__xludf.DUMMYFUNCTION("""COMPUTED_VALUE"""),"五年級")</f>
        <v>五年級</v>
      </c>
      <c r="G2622" s="14" t="str">
        <f>IFERROR(__xludf.DUMMYFUNCTION("""COMPUTED_VALUE"""),"獎狀")</f>
        <v>獎狀</v>
      </c>
      <c r="H2622" s="8"/>
    </row>
    <row r="2623">
      <c r="A2623" s="18"/>
      <c r="B2623" s="14">
        <f>IFERROR(__xludf.DUMMYFUNCTION("""COMPUTED_VALUE"""),1184988.0)</f>
        <v>1184988</v>
      </c>
      <c r="C2623" s="14" t="str">
        <f>IFERROR(__xludf.DUMMYFUNCTION("""COMPUTED_VALUE"""),"陳奕翔")</f>
        <v>陳奕翔</v>
      </c>
      <c r="D2623" s="16" t="str">
        <f>IFERROR(__xludf.DUMMYFUNCTION("""COMPUTED_VALUE"""),"scs*****07@mail.edu.tw")</f>
        <v>scs*****07@mail.edu.tw</v>
      </c>
      <c r="E2623" s="17" t="str">
        <f>IFERROR(__xludf.DUMMYFUNCTION("""COMPUTED_VALUE"""),"彰化縣溪湖鎮湖北國民小學")</f>
        <v>彰化縣溪湖鎮湖北國民小學</v>
      </c>
      <c r="F2623" s="14" t="str">
        <f>IFERROR(__xludf.DUMMYFUNCTION("""COMPUTED_VALUE"""),"五年級")</f>
        <v>五年級</v>
      </c>
      <c r="G2623" s="14" t="str">
        <f>IFERROR(__xludf.DUMMYFUNCTION("""COMPUTED_VALUE"""),"獎狀")</f>
        <v>獎狀</v>
      </c>
      <c r="H2623" s="8"/>
    </row>
    <row r="2624">
      <c r="A2624" s="18"/>
      <c r="B2624" s="14">
        <f>IFERROR(__xludf.DUMMYFUNCTION("""COMPUTED_VALUE"""),864238.0)</f>
        <v>864238</v>
      </c>
      <c r="C2624" s="14" t="str">
        <f>IFERROR(__xludf.DUMMYFUNCTION("""COMPUTED_VALUE"""),"李亭妤")</f>
        <v>李亭妤</v>
      </c>
      <c r="D2624" s="16" t="str">
        <f>IFERROR(__xludf.DUMMYFUNCTION("""COMPUTED_VALUE"""),"hbp*****50@mail.edu.tw")</f>
        <v>hbp*****50@mail.edu.tw</v>
      </c>
      <c r="E2624" s="17" t="str">
        <f>IFERROR(__xludf.DUMMYFUNCTION("""COMPUTED_VALUE"""),"彰化縣溪湖鎮湖北國民小學")</f>
        <v>彰化縣溪湖鎮湖北國民小學</v>
      </c>
      <c r="F2624" s="14" t="str">
        <f>IFERROR(__xludf.DUMMYFUNCTION("""COMPUTED_VALUE"""),"五年級")</f>
        <v>五年級</v>
      </c>
      <c r="G2624" s="14" t="str">
        <f>IFERROR(__xludf.DUMMYFUNCTION("""COMPUTED_VALUE"""),"獎狀")</f>
        <v>獎狀</v>
      </c>
      <c r="H2624" s="8"/>
    </row>
    <row r="2625">
      <c r="A2625" s="18"/>
      <c r="B2625" s="14">
        <f>IFERROR(__xludf.DUMMYFUNCTION("""COMPUTED_VALUE"""),869237.0)</f>
        <v>869237</v>
      </c>
      <c r="C2625" s="14" t="str">
        <f>IFERROR(__xludf.DUMMYFUNCTION("""COMPUTED_VALUE"""),"陳義證")</f>
        <v>陳義證</v>
      </c>
      <c r="D2625" s="16" t="str">
        <f>IFERROR(__xludf.DUMMYFUNCTION("""COMPUTED_VALUE"""),"eth*****0@mail.edu.tw")</f>
        <v>eth*****0@mail.edu.tw</v>
      </c>
      <c r="E2625" s="17" t="str">
        <f>IFERROR(__xludf.DUMMYFUNCTION("""COMPUTED_VALUE"""),"彰化縣溪湖鎮湖北國民小學")</f>
        <v>彰化縣溪湖鎮湖北國民小學</v>
      </c>
      <c r="F2625" s="14" t="str">
        <f>IFERROR(__xludf.DUMMYFUNCTION("""COMPUTED_VALUE"""),"五年級")</f>
        <v>五年級</v>
      </c>
      <c r="G2625" s="14" t="str">
        <f>IFERROR(__xludf.DUMMYFUNCTION("""COMPUTED_VALUE"""),"獎狀")</f>
        <v>獎狀</v>
      </c>
      <c r="H2625" s="8"/>
    </row>
    <row r="2626">
      <c r="A2626" s="18"/>
      <c r="B2626" s="14">
        <f>IFERROR(__xludf.DUMMYFUNCTION("""COMPUTED_VALUE"""),966146.0)</f>
        <v>966146</v>
      </c>
      <c r="C2626" s="14" t="str">
        <f>IFERROR(__xludf.DUMMYFUNCTION("""COMPUTED_VALUE"""),"巫晉頡")</f>
        <v>巫晉頡</v>
      </c>
      <c r="D2626" s="16" t="str">
        <f>IFERROR(__xludf.DUMMYFUNCTION("""COMPUTED_VALUE"""),"hbp*****39@mail.edu.tw")</f>
        <v>hbp*****39@mail.edu.tw</v>
      </c>
      <c r="E2626" s="17" t="str">
        <f>IFERROR(__xludf.DUMMYFUNCTION("""COMPUTED_VALUE"""),"彰化縣溪湖鎮湖北國民小學")</f>
        <v>彰化縣溪湖鎮湖北國民小學</v>
      </c>
      <c r="F2626" s="14" t="str">
        <f>IFERROR(__xludf.DUMMYFUNCTION("""COMPUTED_VALUE"""),"五年級")</f>
        <v>五年級</v>
      </c>
      <c r="G2626" s="14" t="str">
        <f>IFERROR(__xludf.DUMMYFUNCTION("""COMPUTED_VALUE"""),"獎狀")</f>
        <v>獎狀</v>
      </c>
      <c r="H2626" s="8"/>
    </row>
    <row r="2627">
      <c r="A2627" s="18"/>
      <c r="B2627" s="14">
        <f>IFERROR(__xludf.DUMMYFUNCTION("""COMPUTED_VALUE"""),826673.0)</f>
        <v>826673</v>
      </c>
      <c r="C2627" s="14" t="str">
        <f>IFERROR(__xludf.DUMMYFUNCTION("""COMPUTED_VALUE"""),"陳彥羽")</f>
        <v>陳彥羽</v>
      </c>
      <c r="D2627" s="16" t="str">
        <f>IFERROR(__xludf.DUMMYFUNCTION("""COMPUTED_VALUE"""),"hbp*****83@mail.edu.tw")</f>
        <v>hbp*****83@mail.edu.tw</v>
      </c>
      <c r="E2627" s="17" t="str">
        <f>IFERROR(__xludf.DUMMYFUNCTION("""COMPUTED_VALUE"""),"彰化縣溪湖鎮湖北國民小學")</f>
        <v>彰化縣溪湖鎮湖北國民小學</v>
      </c>
      <c r="F2627" s="14" t="str">
        <f>IFERROR(__xludf.DUMMYFUNCTION("""COMPUTED_VALUE"""),"五年級")</f>
        <v>五年級</v>
      </c>
      <c r="G2627" s="14" t="str">
        <f>IFERROR(__xludf.DUMMYFUNCTION("""COMPUTED_VALUE"""),"獎狀")</f>
        <v>獎狀</v>
      </c>
      <c r="H2627" s="8"/>
    </row>
    <row r="2628">
      <c r="A2628" s="18"/>
      <c r="B2628" s="14">
        <f>IFERROR(__xludf.DUMMYFUNCTION("""COMPUTED_VALUE"""),866893.0)</f>
        <v>866893</v>
      </c>
      <c r="C2628" s="14" t="str">
        <f>IFERROR(__xludf.DUMMYFUNCTION("""COMPUTED_VALUE"""),"黃雯翎")</f>
        <v>黃雯翎</v>
      </c>
      <c r="D2628" s="16" t="str">
        <f>IFERROR(__xludf.DUMMYFUNCTION("""COMPUTED_VALUE"""),"hbp*****85@mail.edu.tw")</f>
        <v>hbp*****85@mail.edu.tw</v>
      </c>
      <c r="E2628" s="17" t="str">
        <f>IFERROR(__xludf.DUMMYFUNCTION("""COMPUTED_VALUE"""),"彰化縣溪湖鎮湖北國民小學")</f>
        <v>彰化縣溪湖鎮湖北國民小學</v>
      </c>
      <c r="F2628" s="14" t="str">
        <f>IFERROR(__xludf.DUMMYFUNCTION("""COMPUTED_VALUE"""),"五年級")</f>
        <v>五年級</v>
      </c>
      <c r="G2628" s="14" t="str">
        <f>IFERROR(__xludf.DUMMYFUNCTION("""COMPUTED_VALUE"""),"獎狀")</f>
        <v>獎狀</v>
      </c>
      <c r="H2628" s="8"/>
    </row>
    <row r="2629">
      <c r="A2629" s="18"/>
      <c r="B2629" s="14">
        <f>IFERROR(__xludf.DUMMYFUNCTION("""COMPUTED_VALUE"""),867448.0)</f>
        <v>867448</v>
      </c>
      <c r="C2629" s="14" t="str">
        <f>IFERROR(__xludf.DUMMYFUNCTION("""COMPUTED_VALUE"""),"許守淵")</f>
        <v>許守淵</v>
      </c>
      <c r="D2629" s="16" t="str">
        <f>IFERROR(__xludf.DUMMYFUNCTION("""COMPUTED_VALUE"""),"abq*****37@mail.edu.tw")</f>
        <v>abq*****37@mail.edu.tw</v>
      </c>
      <c r="E2629" s="17" t="str">
        <f>IFERROR(__xludf.DUMMYFUNCTION("""COMPUTED_VALUE"""),"彰化縣溪湖鎮湖北國民小學")</f>
        <v>彰化縣溪湖鎮湖北國民小學</v>
      </c>
      <c r="F2629" s="14" t="str">
        <f>IFERROR(__xludf.DUMMYFUNCTION("""COMPUTED_VALUE"""),"六年級")</f>
        <v>六年級</v>
      </c>
      <c r="G2629" s="14" t="str">
        <f>IFERROR(__xludf.DUMMYFUNCTION("""COMPUTED_VALUE"""),"●小禮物")</f>
        <v>●小禮物</v>
      </c>
      <c r="H2629" s="8"/>
    </row>
    <row r="2630">
      <c r="A2630" s="18"/>
      <c r="B2630" s="14">
        <f>IFERROR(__xludf.DUMMYFUNCTION("""COMPUTED_VALUE"""),888791.0)</f>
        <v>888791</v>
      </c>
      <c r="C2630" s="14" t="str">
        <f>IFERROR(__xludf.DUMMYFUNCTION("""COMPUTED_VALUE"""),"巫芯霓")</f>
        <v>巫芯霓</v>
      </c>
      <c r="D2630" s="16" t="str">
        <f>IFERROR(__xludf.DUMMYFUNCTION("""COMPUTED_VALUE"""),"hbp*****16@mail.edu.tw")</f>
        <v>hbp*****16@mail.edu.tw</v>
      </c>
      <c r="E2630" s="17" t="str">
        <f>IFERROR(__xludf.DUMMYFUNCTION("""COMPUTED_VALUE"""),"彰化縣溪湖鎮湖北國民小學")</f>
        <v>彰化縣溪湖鎮湖北國民小學</v>
      </c>
      <c r="F2630" s="14" t="str">
        <f>IFERROR(__xludf.DUMMYFUNCTION("""COMPUTED_VALUE"""),"六年級")</f>
        <v>六年級</v>
      </c>
      <c r="G2630" s="14" t="str">
        <f>IFERROR(__xludf.DUMMYFUNCTION("""COMPUTED_VALUE"""),"獎狀")</f>
        <v>獎狀</v>
      </c>
      <c r="H2630" s="8"/>
    </row>
    <row r="2631">
      <c r="A2631" s="18"/>
      <c r="B2631" s="14">
        <f>IFERROR(__xludf.DUMMYFUNCTION("""COMPUTED_VALUE"""),871502.0)</f>
        <v>871502</v>
      </c>
      <c r="C2631" s="14" t="str">
        <f>IFERROR(__xludf.DUMMYFUNCTION("""COMPUTED_VALUE"""),"蕭淯仁")</f>
        <v>蕭淯仁</v>
      </c>
      <c r="D2631" s="16" t="str">
        <f>IFERROR(__xludf.DUMMYFUNCTION("""COMPUTED_VALUE"""),"hbp*****12@mail.edu.tw")</f>
        <v>hbp*****12@mail.edu.tw</v>
      </c>
      <c r="E2631" s="17" t="str">
        <f>IFERROR(__xludf.DUMMYFUNCTION("""COMPUTED_VALUE"""),"彰化縣溪湖鎮湖北國民小學")</f>
        <v>彰化縣溪湖鎮湖北國民小學</v>
      </c>
      <c r="F2631" s="14" t="str">
        <f>IFERROR(__xludf.DUMMYFUNCTION("""COMPUTED_VALUE"""),"六年級")</f>
        <v>六年級</v>
      </c>
      <c r="G2631" s="14" t="str">
        <f>IFERROR(__xludf.DUMMYFUNCTION("""COMPUTED_VALUE"""),"獎狀")</f>
        <v>獎狀</v>
      </c>
      <c r="H2631" s="8"/>
    </row>
    <row r="2632">
      <c r="A2632" s="18"/>
      <c r="B2632" s="14">
        <f>IFERROR(__xludf.DUMMYFUNCTION("""COMPUTED_VALUE"""),875682.0)</f>
        <v>875682</v>
      </c>
      <c r="C2632" s="14" t="str">
        <f>IFERROR(__xludf.DUMMYFUNCTION("""COMPUTED_VALUE"""),"張名宜")</f>
        <v>張名宜</v>
      </c>
      <c r="D2632" s="16" t="str">
        <f>IFERROR(__xludf.DUMMYFUNCTION("""COMPUTED_VALUE"""),"hs1*****@mail.edu.tw")</f>
        <v>hs1*****@mail.edu.tw</v>
      </c>
      <c r="E2632" s="17" t="str">
        <f>IFERROR(__xludf.DUMMYFUNCTION("""COMPUTED_VALUE"""),"彰化縣溪湖鎮湖北國民小學")</f>
        <v>彰化縣溪湖鎮湖北國民小學</v>
      </c>
      <c r="F2632" s="14" t="str">
        <f>IFERROR(__xludf.DUMMYFUNCTION("""COMPUTED_VALUE"""),"六年級")</f>
        <v>六年級</v>
      </c>
      <c r="G2632" s="14" t="str">
        <f>IFERROR(__xludf.DUMMYFUNCTION("""COMPUTED_VALUE"""),"獎狀")</f>
        <v>獎狀</v>
      </c>
      <c r="H2632" s="8"/>
    </row>
    <row r="2633">
      <c r="A2633" s="18"/>
      <c r="B2633" s="14">
        <f>IFERROR(__xludf.DUMMYFUNCTION("""COMPUTED_VALUE"""),867466.0)</f>
        <v>867466</v>
      </c>
      <c r="C2633" s="14" t="str">
        <f>IFERROR(__xludf.DUMMYFUNCTION("""COMPUTED_VALUE"""),"陳玟憶")</f>
        <v>陳玟憶</v>
      </c>
      <c r="D2633" s="16" t="str">
        <f>IFERROR(__xludf.DUMMYFUNCTION("""COMPUTED_VALUE"""),"hbp*****75@mail.edu.tw")</f>
        <v>hbp*****75@mail.edu.tw</v>
      </c>
      <c r="E2633" s="17" t="str">
        <f>IFERROR(__xludf.DUMMYFUNCTION("""COMPUTED_VALUE"""),"彰化縣溪湖鎮湖北國民小學")</f>
        <v>彰化縣溪湖鎮湖北國民小學</v>
      </c>
      <c r="F2633" s="14" t="str">
        <f>IFERROR(__xludf.DUMMYFUNCTION("""COMPUTED_VALUE"""),"六年級")</f>
        <v>六年級</v>
      </c>
      <c r="G2633" s="14" t="str">
        <f>IFERROR(__xludf.DUMMYFUNCTION("""COMPUTED_VALUE"""),"獎狀")</f>
        <v>獎狀</v>
      </c>
      <c r="H2633" s="8"/>
    </row>
    <row r="2634">
      <c r="A2634" s="18"/>
      <c r="B2634" s="14">
        <f>IFERROR(__xludf.DUMMYFUNCTION("""COMPUTED_VALUE"""),826262.0)</f>
        <v>826262</v>
      </c>
      <c r="C2634" s="14" t="str">
        <f>IFERROR(__xludf.DUMMYFUNCTION("""COMPUTED_VALUE"""),"賴謙聿")</f>
        <v>賴謙聿</v>
      </c>
      <c r="D2634" s="16" t="str">
        <f>IFERROR(__xludf.DUMMYFUNCTION("""COMPUTED_VALUE"""),"ago*****4@mail.edu.tw")</f>
        <v>ago*****4@mail.edu.tw</v>
      </c>
      <c r="E2634" s="17" t="str">
        <f>IFERROR(__xludf.DUMMYFUNCTION("""COMPUTED_VALUE"""),"彰化縣溪湖鎮湖北國民小學")</f>
        <v>彰化縣溪湖鎮湖北國民小學</v>
      </c>
      <c r="F2634" s="14" t="str">
        <f>IFERROR(__xludf.DUMMYFUNCTION("""COMPUTED_VALUE"""),"六年級")</f>
        <v>六年級</v>
      </c>
      <c r="G2634" s="14" t="str">
        <f>IFERROR(__xludf.DUMMYFUNCTION("""COMPUTED_VALUE"""),"獎狀")</f>
        <v>獎狀</v>
      </c>
      <c r="H2634" s="8"/>
    </row>
    <row r="2635">
      <c r="A2635" s="18"/>
      <c r="B2635" s="14">
        <f>IFERROR(__xludf.DUMMYFUNCTION("""COMPUTED_VALUE"""),820197.0)</f>
        <v>820197</v>
      </c>
      <c r="C2635" s="14" t="str">
        <f>IFERROR(__xludf.DUMMYFUNCTION("""COMPUTED_VALUE"""),"巫昕樺")</f>
        <v>巫昕樺</v>
      </c>
      <c r="D2635" s="16" t="str">
        <f>IFERROR(__xludf.DUMMYFUNCTION("""COMPUTED_VALUE"""),"hbp*****13@mail.edu.tw")</f>
        <v>hbp*****13@mail.edu.tw</v>
      </c>
      <c r="E2635" s="17" t="str">
        <f>IFERROR(__xludf.DUMMYFUNCTION("""COMPUTED_VALUE"""),"彰化縣溪湖鎮湖北國民小學")</f>
        <v>彰化縣溪湖鎮湖北國民小學</v>
      </c>
      <c r="F2635" s="14" t="str">
        <f>IFERROR(__xludf.DUMMYFUNCTION("""COMPUTED_VALUE"""),"六年級")</f>
        <v>六年級</v>
      </c>
      <c r="G2635" s="14" t="str">
        <f>IFERROR(__xludf.DUMMYFUNCTION("""COMPUTED_VALUE"""),"獎狀")</f>
        <v>獎狀</v>
      </c>
      <c r="H2635" s="8"/>
    </row>
    <row r="2636">
      <c r="A2636" s="18"/>
      <c r="B2636" s="14">
        <f>IFERROR(__xludf.DUMMYFUNCTION("""COMPUTED_VALUE"""),863995.0)</f>
        <v>863995</v>
      </c>
      <c r="C2636" s="14" t="str">
        <f>IFERROR(__xludf.DUMMYFUNCTION("""COMPUTED_VALUE"""),"楊晴安")</f>
        <v>楊晴安</v>
      </c>
      <c r="D2636" s="16" t="str">
        <f>IFERROR(__xludf.DUMMYFUNCTION("""COMPUTED_VALUE"""),"hbp*****40@mail.edu.tw")</f>
        <v>hbp*****40@mail.edu.tw</v>
      </c>
      <c r="E2636" s="17" t="str">
        <f>IFERROR(__xludf.DUMMYFUNCTION("""COMPUTED_VALUE"""),"彰化縣溪湖鎮湖北國民小學")</f>
        <v>彰化縣溪湖鎮湖北國民小學</v>
      </c>
      <c r="F2636" s="14" t="str">
        <f>IFERROR(__xludf.DUMMYFUNCTION("""COMPUTED_VALUE"""),"六年級")</f>
        <v>六年級</v>
      </c>
      <c r="G2636" s="14" t="str">
        <f>IFERROR(__xludf.DUMMYFUNCTION("""COMPUTED_VALUE"""),"獎狀")</f>
        <v>獎狀</v>
      </c>
      <c r="H2636" s="8"/>
    </row>
    <row r="2637">
      <c r="A2637" s="18"/>
      <c r="B2637" s="14">
        <f>IFERROR(__xludf.DUMMYFUNCTION("""COMPUTED_VALUE"""),863993.0)</f>
        <v>863993</v>
      </c>
      <c r="C2637" s="14" t="str">
        <f>IFERROR(__xludf.DUMMYFUNCTION("""COMPUTED_VALUE"""),"劉翌筠")</f>
        <v>劉翌筠</v>
      </c>
      <c r="D2637" s="16" t="str">
        <f>IFERROR(__xludf.DUMMYFUNCTION("""COMPUTED_VALUE"""),"hbp*****09@mail.edu.tw")</f>
        <v>hbp*****09@mail.edu.tw</v>
      </c>
      <c r="E2637" s="17" t="str">
        <f>IFERROR(__xludf.DUMMYFUNCTION("""COMPUTED_VALUE"""),"彰化縣溪湖鎮湖北國民小學")</f>
        <v>彰化縣溪湖鎮湖北國民小學</v>
      </c>
      <c r="F2637" s="14" t="str">
        <f>IFERROR(__xludf.DUMMYFUNCTION("""COMPUTED_VALUE"""),"六年級")</f>
        <v>六年級</v>
      </c>
      <c r="G2637" s="14" t="str">
        <f>IFERROR(__xludf.DUMMYFUNCTION("""COMPUTED_VALUE"""),"獎狀")</f>
        <v>獎狀</v>
      </c>
      <c r="H2637" s="8"/>
    </row>
    <row r="2638">
      <c r="A2638" s="18"/>
      <c r="B2638" s="14">
        <f>IFERROR(__xludf.DUMMYFUNCTION("""COMPUTED_VALUE"""),867332.0)</f>
        <v>867332</v>
      </c>
      <c r="C2638" s="14" t="str">
        <f>IFERROR(__xludf.DUMMYFUNCTION("""COMPUTED_VALUE"""),"吳采霖")</f>
        <v>吳采霖</v>
      </c>
      <c r="D2638" s="16" t="str">
        <f>IFERROR(__xludf.DUMMYFUNCTION("""COMPUTED_VALUE"""),"hbp*****26@mail.edu.tw")</f>
        <v>hbp*****26@mail.edu.tw</v>
      </c>
      <c r="E2638" s="17" t="str">
        <f>IFERROR(__xludf.DUMMYFUNCTION("""COMPUTED_VALUE"""),"彰化縣溪湖鎮湖北國民小學")</f>
        <v>彰化縣溪湖鎮湖北國民小學</v>
      </c>
      <c r="F2638" s="14" t="str">
        <f>IFERROR(__xludf.DUMMYFUNCTION("""COMPUTED_VALUE"""),"六年級")</f>
        <v>六年級</v>
      </c>
      <c r="G2638" s="14" t="str">
        <f>IFERROR(__xludf.DUMMYFUNCTION("""COMPUTED_VALUE"""),"●小禮物")</f>
        <v>●小禮物</v>
      </c>
      <c r="H2638" s="8"/>
    </row>
    <row r="2639">
      <c r="A2639" s="18"/>
      <c r="B2639" s="14">
        <f>IFERROR(__xludf.DUMMYFUNCTION("""COMPUTED_VALUE"""),867331.0)</f>
        <v>867331</v>
      </c>
      <c r="C2639" s="14" t="str">
        <f>IFERROR(__xludf.DUMMYFUNCTION("""COMPUTED_VALUE"""),"吳奕霆")</f>
        <v>吳奕霆</v>
      </c>
      <c r="D2639" s="16" t="str">
        <f>IFERROR(__xludf.DUMMYFUNCTION("""COMPUTED_VALUE"""),"hdt*****43@mail.edu.tw")</f>
        <v>hdt*****43@mail.edu.tw</v>
      </c>
      <c r="E2639" s="17" t="str">
        <f>IFERROR(__xludf.DUMMYFUNCTION("""COMPUTED_VALUE"""),"彰化縣溪湖鎮湖北國民小學")</f>
        <v>彰化縣溪湖鎮湖北國民小學</v>
      </c>
      <c r="F2639" s="14" t="str">
        <f>IFERROR(__xludf.DUMMYFUNCTION("""COMPUTED_VALUE"""),"六年級")</f>
        <v>六年級</v>
      </c>
      <c r="G2639" s="14" t="str">
        <f>IFERROR(__xludf.DUMMYFUNCTION("""COMPUTED_VALUE"""),"●小禮物")</f>
        <v>●小禮物</v>
      </c>
      <c r="H2639" s="8"/>
    </row>
    <row r="2640">
      <c r="A2640" s="18"/>
      <c r="B2640" s="14">
        <f>IFERROR(__xludf.DUMMYFUNCTION("""COMPUTED_VALUE"""),826231.0)</f>
        <v>826231</v>
      </c>
      <c r="C2640" s="14" t="str">
        <f>IFERROR(__xludf.DUMMYFUNCTION("""COMPUTED_VALUE"""),"巫岷豈")</f>
        <v>巫岷豈</v>
      </c>
      <c r="D2640" s="16" t="str">
        <f>IFERROR(__xludf.DUMMYFUNCTION("""COMPUTED_VALUE"""),"hbp*****97@mail.edu.tw")</f>
        <v>hbp*****97@mail.edu.tw</v>
      </c>
      <c r="E2640" s="17" t="str">
        <f>IFERROR(__xludf.DUMMYFUNCTION("""COMPUTED_VALUE"""),"彰化縣溪湖鎮湖北國民小學")</f>
        <v>彰化縣溪湖鎮湖北國民小學</v>
      </c>
      <c r="F2640" s="14" t="str">
        <f>IFERROR(__xludf.DUMMYFUNCTION("""COMPUTED_VALUE"""),"六年級")</f>
        <v>六年級</v>
      </c>
      <c r="G2640" s="14" t="str">
        <f>IFERROR(__xludf.DUMMYFUNCTION("""COMPUTED_VALUE"""),"●小禮物")</f>
        <v>●小禮物</v>
      </c>
      <c r="H2640" s="8"/>
    </row>
    <row r="2641">
      <c r="A2641" s="18"/>
      <c r="B2641" s="14">
        <f>IFERROR(__xludf.DUMMYFUNCTION("""COMPUTED_VALUE"""),520370.0)</f>
        <v>520370</v>
      </c>
      <c r="C2641" s="14" t="str">
        <f>IFERROR(__xludf.DUMMYFUNCTION("""COMPUTED_VALUE"""),"楊駿朋")</f>
        <v>楊駿朋</v>
      </c>
      <c r="D2641" s="16" t="str">
        <f>IFERROR(__xludf.DUMMYFUNCTION("""COMPUTED_VALUE"""),"rya*****10.ntpc@mail.edu.tw")</f>
        <v>rya*****10.ntpc@mail.edu.tw</v>
      </c>
      <c r="E2641" s="17" t="str">
        <f>IFERROR(__xludf.DUMMYFUNCTION("""COMPUTED_VALUE"""),"彰化縣溪湖鎮湖北國民小學")</f>
        <v>彰化縣溪湖鎮湖北國民小學</v>
      </c>
      <c r="F2641" s="14" t="str">
        <f>IFERROR(__xludf.DUMMYFUNCTION("""COMPUTED_VALUE"""),"六年級")</f>
        <v>六年級</v>
      </c>
      <c r="G2641" s="14" t="str">
        <f>IFERROR(__xludf.DUMMYFUNCTION("""COMPUTED_VALUE"""),"●小禮物")</f>
        <v>●小禮物</v>
      </c>
      <c r="H2641" s="8"/>
    </row>
    <row r="2642">
      <c r="A2642" s="18"/>
      <c r="B2642" s="14">
        <f>IFERROR(__xludf.DUMMYFUNCTION("""COMPUTED_VALUE"""),867333.0)</f>
        <v>867333</v>
      </c>
      <c r="C2642" s="14" t="str">
        <f>IFERROR(__xludf.DUMMYFUNCTION("""COMPUTED_VALUE"""),"陳映瑄")</f>
        <v>陳映瑄</v>
      </c>
      <c r="D2642" s="16" t="str">
        <f>IFERROR(__xludf.DUMMYFUNCTION("""COMPUTED_VALUE"""),"hbp*****9@mail.edu.tw")</f>
        <v>hbp*****9@mail.edu.tw</v>
      </c>
      <c r="E2642" s="17" t="str">
        <f>IFERROR(__xludf.DUMMYFUNCTION("""COMPUTED_VALUE"""),"彰化縣溪湖鎮湖北國民小學")</f>
        <v>彰化縣溪湖鎮湖北國民小學</v>
      </c>
      <c r="F2642" s="14" t="str">
        <f>IFERROR(__xludf.DUMMYFUNCTION("""COMPUTED_VALUE"""),"六年級")</f>
        <v>六年級</v>
      </c>
      <c r="G2642" s="14" t="str">
        <f>IFERROR(__xludf.DUMMYFUNCTION("""COMPUTED_VALUE"""),"★禮券$200")</f>
        <v>★禮券$200</v>
      </c>
      <c r="H2642" s="8"/>
    </row>
    <row r="2643">
      <c r="A2643" s="18"/>
      <c r="B2643" s="14">
        <f>IFERROR(__xludf.DUMMYFUNCTION("""COMPUTED_VALUE"""),867370.0)</f>
        <v>867370</v>
      </c>
      <c r="C2643" s="14" t="str">
        <f>IFERROR(__xludf.DUMMYFUNCTION("""COMPUTED_VALUE"""),"巫涵勛")</f>
        <v>巫涵勛</v>
      </c>
      <c r="D2643" s="16" t="str">
        <f>IFERROR(__xludf.DUMMYFUNCTION("""COMPUTED_VALUE"""),"hbp*****25@mail.edu.tw")</f>
        <v>hbp*****25@mail.edu.tw</v>
      </c>
      <c r="E2643" s="17" t="str">
        <f>IFERROR(__xludf.DUMMYFUNCTION("""COMPUTED_VALUE"""),"彰化縣溪湖鎮湖北國民小學")</f>
        <v>彰化縣溪湖鎮湖北國民小學</v>
      </c>
      <c r="F2643" s="14" t="str">
        <f>IFERROR(__xludf.DUMMYFUNCTION("""COMPUTED_VALUE"""),"六年級")</f>
        <v>六年級</v>
      </c>
      <c r="G2643" s="14" t="str">
        <f>IFERROR(__xludf.DUMMYFUNCTION("""COMPUTED_VALUE"""),"獎狀")</f>
        <v>獎狀</v>
      </c>
      <c r="H2643" s="8"/>
    </row>
    <row r="2644">
      <c r="A2644" s="18"/>
      <c r="B2644" s="14">
        <f>IFERROR(__xludf.DUMMYFUNCTION("""COMPUTED_VALUE"""),680823.0)</f>
        <v>680823</v>
      </c>
      <c r="C2644" s="14" t="str">
        <f>IFERROR(__xludf.DUMMYFUNCTION("""COMPUTED_VALUE"""),"林鼎芫")</f>
        <v>林鼎芫</v>
      </c>
      <c r="D2644" s="16" t="str">
        <f>IFERROR(__xludf.DUMMYFUNCTION("""COMPUTED_VALUE"""),"hbp*****03@mail.edu.tw")</f>
        <v>hbp*****03@mail.edu.tw</v>
      </c>
      <c r="E2644" s="17" t="str">
        <f>IFERROR(__xludf.DUMMYFUNCTION("""COMPUTED_VALUE"""),"彰化縣溪湖鎮湖北國民小學")</f>
        <v>彰化縣溪湖鎮湖北國民小學</v>
      </c>
      <c r="F2644" s="14" t="str">
        <f>IFERROR(__xludf.DUMMYFUNCTION("""COMPUTED_VALUE"""),"六年級")</f>
        <v>六年級</v>
      </c>
      <c r="G2644" s="14" t="str">
        <f>IFERROR(__xludf.DUMMYFUNCTION("""COMPUTED_VALUE"""),"獎狀")</f>
        <v>獎狀</v>
      </c>
      <c r="H2644" s="8"/>
    </row>
    <row r="2645">
      <c r="A2645" s="18"/>
      <c r="B2645" s="14">
        <f>IFERROR(__xludf.DUMMYFUNCTION("""COMPUTED_VALUE"""),867328.0)</f>
        <v>867328</v>
      </c>
      <c r="C2645" s="14" t="str">
        <f>IFERROR(__xludf.DUMMYFUNCTION("""COMPUTED_VALUE"""),"施彥廷")</f>
        <v>施彥廷</v>
      </c>
      <c r="D2645" s="16" t="str">
        <f>IFERROR(__xludf.DUMMYFUNCTION("""COMPUTED_VALUE"""),"hbp*****38@mail.edu.tw")</f>
        <v>hbp*****38@mail.edu.tw</v>
      </c>
      <c r="E2645" s="17" t="str">
        <f>IFERROR(__xludf.DUMMYFUNCTION("""COMPUTED_VALUE"""),"彰化縣溪湖鎮湖北國民小學")</f>
        <v>彰化縣溪湖鎮湖北國民小學</v>
      </c>
      <c r="F2645" s="14" t="str">
        <f>IFERROR(__xludf.DUMMYFUNCTION("""COMPUTED_VALUE"""),"六年級")</f>
        <v>六年級</v>
      </c>
      <c r="G2645" s="14" t="str">
        <f>IFERROR(__xludf.DUMMYFUNCTION("""COMPUTED_VALUE"""),"獎狀")</f>
        <v>獎狀</v>
      </c>
      <c r="H2645" s="8"/>
    </row>
    <row r="2646">
      <c r="A2646" s="18"/>
      <c r="B2646" s="14">
        <f>IFERROR(__xludf.DUMMYFUNCTION("""COMPUTED_VALUE"""),886815.0)</f>
        <v>886815</v>
      </c>
      <c r="C2646" s="14" t="str">
        <f>IFERROR(__xludf.DUMMYFUNCTION("""COMPUTED_VALUE"""),"陳彥勳")</f>
        <v>陳彥勳</v>
      </c>
      <c r="D2646" s="16" t="str">
        <f>IFERROR(__xludf.DUMMYFUNCTION("""COMPUTED_VALUE"""),"hbp*****59@mail.edu.tw")</f>
        <v>hbp*****59@mail.edu.tw</v>
      </c>
      <c r="E2646" s="17" t="str">
        <f>IFERROR(__xludf.DUMMYFUNCTION("""COMPUTED_VALUE"""),"彰化縣溪湖鎮湖北國民小學")</f>
        <v>彰化縣溪湖鎮湖北國民小學</v>
      </c>
      <c r="F2646" s="14" t="str">
        <f>IFERROR(__xludf.DUMMYFUNCTION("""COMPUTED_VALUE"""),"六年級")</f>
        <v>六年級</v>
      </c>
      <c r="G2646" s="14" t="str">
        <f>IFERROR(__xludf.DUMMYFUNCTION("""COMPUTED_VALUE"""),"獎狀")</f>
        <v>獎狀</v>
      </c>
      <c r="H2646" s="8"/>
    </row>
    <row r="2647">
      <c r="A2647" s="18"/>
      <c r="B2647" s="14">
        <f>IFERROR(__xludf.DUMMYFUNCTION("""COMPUTED_VALUE"""),820265.0)</f>
        <v>820265</v>
      </c>
      <c r="C2647" s="14" t="str">
        <f>IFERROR(__xludf.DUMMYFUNCTION("""COMPUTED_VALUE"""),"陳碩廷")</f>
        <v>陳碩廷</v>
      </c>
      <c r="D2647" s="16" t="str">
        <f>IFERROR(__xludf.DUMMYFUNCTION("""COMPUTED_VALUE"""),"hbp*****73@mail.edu.tw")</f>
        <v>hbp*****73@mail.edu.tw</v>
      </c>
      <c r="E2647" s="17" t="str">
        <f>IFERROR(__xludf.DUMMYFUNCTION("""COMPUTED_VALUE"""),"彰化縣溪湖鎮湖北國民小學")</f>
        <v>彰化縣溪湖鎮湖北國民小學</v>
      </c>
      <c r="F2647" s="14" t="str">
        <f>IFERROR(__xludf.DUMMYFUNCTION("""COMPUTED_VALUE"""),"六年級")</f>
        <v>六年級</v>
      </c>
      <c r="G2647" s="14" t="str">
        <f>IFERROR(__xludf.DUMMYFUNCTION("""COMPUTED_VALUE"""),"獎狀")</f>
        <v>獎狀</v>
      </c>
      <c r="H2647" s="8"/>
    </row>
    <row r="2648">
      <c r="A2648" s="18"/>
      <c r="B2648" s="14">
        <f>IFERROR(__xludf.DUMMYFUNCTION("""COMPUTED_VALUE"""),867335.0)</f>
        <v>867335</v>
      </c>
      <c r="C2648" s="14" t="str">
        <f>IFERROR(__xludf.DUMMYFUNCTION("""COMPUTED_VALUE"""),"黃怡蓁")</f>
        <v>黃怡蓁</v>
      </c>
      <c r="D2648" s="16" t="str">
        <f>IFERROR(__xludf.DUMMYFUNCTION("""COMPUTED_VALUE"""),"hbp*****43@mail.edu.tw")</f>
        <v>hbp*****43@mail.edu.tw</v>
      </c>
      <c r="E2648" s="17" t="str">
        <f>IFERROR(__xludf.DUMMYFUNCTION("""COMPUTED_VALUE"""),"彰化縣溪湖鎮湖北國民小學")</f>
        <v>彰化縣溪湖鎮湖北國民小學</v>
      </c>
      <c r="F2648" s="14" t="str">
        <f>IFERROR(__xludf.DUMMYFUNCTION("""COMPUTED_VALUE"""),"六年級")</f>
        <v>六年級</v>
      </c>
      <c r="G2648" s="14" t="str">
        <f>IFERROR(__xludf.DUMMYFUNCTION("""COMPUTED_VALUE"""),"獎狀")</f>
        <v>獎狀</v>
      </c>
      <c r="H2648" s="8"/>
    </row>
    <row r="2649">
      <c r="A2649" s="18"/>
      <c r="B2649" s="14">
        <f>IFERROR(__xludf.DUMMYFUNCTION("""COMPUTED_VALUE"""),867308.0)</f>
        <v>867308</v>
      </c>
      <c r="C2649" s="14" t="str">
        <f>IFERROR(__xludf.DUMMYFUNCTION("""COMPUTED_VALUE"""),"楊子翰")</f>
        <v>楊子翰</v>
      </c>
      <c r="D2649" s="16" t="str">
        <f>IFERROR(__xludf.DUMMYFUNCTION("""COMPUTED_VALUE"""),"hbp*****18@mail.edu.tw")</f>
        <v>hbp*****18@mail.edu.tw</v>
      </c>
      <c r="E2649" s="17" t="str">
        <f>IFERROR(__xludf.DUMMYFUNCTION("""COMPUTED_VALUE"""),"彰化縣溪湖鎮湖北國民小學")</f>
        <v>彰化縣溪湖鎮湖北國民小學</v>
      </c>
      <c r="F2649" s="14" t="str">
        <f>IFERROR(__xludf.DUMMYFUNCTION("""COMPUTED_VALUE"""),"六年級")</f>
        <v>六年級</v>
      </c>
      <c r="G2649" s="14" t="str">
        <f>IFERROR(__xludf.DUMMYFUNCTION("""COMPUTED_VALUE"""),"獎狀")</f>
        <v>獎狀</v>
      </c>
      <c r="H2649" s="8"/>
    </row>
    <row r="2650">
      <c r="A2650" s="18"/>
      <c r="B2650" s="14">
        <f>IFERROR(__xludf.DUMMYFUNCTION("""COMPUTED_VALUE"""),833902.0)</f>
        <v>833902</v>
      </c>
      <c r="C2650" s="14" t="str">
        <f>IFERROR(__xludf.DUMMYFUNCTION("""COMPUTED_VALUE"""),"楊慧怡")</f>
        <v>楊慧怡</v>
      </c>
      <c r="D2650" s="16" t="str">
        <f>IFERROR(__xludf.DUMMYFUNCTION("""COMPUTED_VALUE"""),"hbp*****56@mail.edu.tw")</f>
        <v>hbp*****56@mail.edu.tw</v>
      </c>
      <c r="E2650" s="17" t="str">
        <f>IFERROR(__xludf.DUMMYFUNCTION("""COMPUTED_VALUE"""),"彰化縣溪湖鎮湖北國民小學")</f>
        <v>彰化縣溪湖鎮湖北國民小學</v>
      </c>
      <c r="F2650" s="14" t="str">
        <f>IFERROR(__xludf.DUMMYFUNCTION("""COMPUTED_VALUE"""),"六年級")</f>
        <v>六年級</v>
      </c>
      <c r="G2650" s="14" t="str">
        <f>IFERROR(__xludf.DUMMYFUNCTION("""COMPUTED_VALUE"""),"獎狀")</f>
        <v>獎狀</v>
      </c>
      <c r="H2650" s="8"/>
    </row>
    <row r="2651">
      <c r="A2651" s="18"/>
      <c r="B2651" s="14">
        <f>IFERROR(__xludf.DUMMYFUNCTION("""COMPUTED_VALUE"""),867329.0)</f>
        <v>867329</v>
      </c>
      <c r="C2651" s="14" t="str">
        <f>IFERROR(__xludf.DUMMYFUNCTION("""COMPUTED_VALUE"""),"劉映攸")</f>
        <v>劉映攸</v>
      </c>
      <c r="D2651" s="16" t="str">
        <f>IFERROR(__xludf.DUMMYFUNCTION("""COMPUTED_VALUE"""),"hbp*****82@mail.edu.tw")</f>
        <v>hbp*****82@mail.edu.tw</v>
      </c>
      <c r="E2651" s="17" t="str">
        <f>IFERROR(__xludf.DUMMYFUNCTION("""COMPUTED_VALUE"""),"彰化縣溪湖鎮湖北國民小學")</f>
        <v>彰化縣溪湖鎮湖北國民小學</v>
      </c>
      <c r="F2651" s="14" t="str">
        <f>IFERROR(__xludf.DUMMYFUNCTION("""COMPUTED_VALUE"""),"六年級")</f>
        <v>六年級</v>
      </c>
      <c r="G2651" s="14" t="str">
        <f>IFERROR(__xludf.DUMMYFUNCTION("""COMPUTED_VALUE"""),"獎狀")</f>
        <v>獎狀</v>
      </c>
      <c r="H2651" s="8"/>
    </row>
    <row r="2652">
      <c r="A2652" s="18"/>
      <c r="B2652" s="14">
        <f>IFERROR(__xludf.DUMMYFUNCTION("""COMPUTED_VALUE"""),821337.0)</f>
        <v>821337</v>
      </c>
      <c r="C2652" s="14" t="str">
        <f>IFERROR(__xludf.DUMMYFUNCTION("""COMPUTED_VALUE"""),"陳育寬")</f>
        <v>陳育寬</v>
      </c>
      <c r="D2652" s="16" t="str">
        <f>IFERROR(__xludf.DUMMYFUNCTION("""COMPUTED_VALUE"""),"hbp*****52@mail.edu.tw")</f>
        <v>hbp*****52@mail.edu.tw</v>
      </c>
      <c r="E2652" s="17" t="str">
        <f>IFERROR(__xludf.DUMMYFUNCTION("""COMPUTED_VALUE"""),"彰化縣溪湖鎮湖北國民小學")</f>
        <v>彰化縣溪湖鎮湖北國民小學</v>
      </c>
      <c r="F2652" s="14" t="str">
        <f>IFERROR(__xludf.DUMMYFUNCTION("""COMPUTED_VALUE"""),"六年級")</f>
        <v>六年級</v>
      </c>
      <c r="G2652" s="14" t="str">
        <f>IFERROR(__xludf.DUMMYFUNCTION("""COMPUTED_VALUE"""),"●小禮物")</f>
        <v>●小禮物</v>
      </c>
      <c r="H2652" s="8"/>
    </row>
    <row r="2653">
      <c r="A2653" s="18"/>
      <c r="B2653" s="14">
        <f>IFERROR(__xludf.DUMMYFUNCTION("""COMPUTED_VALUE"""),866344.0)</f>
        <v>866344</v>
      </c>
      <c r="C2653" s="14" t="str">
        <f>IFERROR(__xludf.DUMMYFUNCTION("""COMPUTED_VALUE"""),"余涔瑜")</f>
        <v>余涔瑜</v>
      </c>
      <c r="D2653" s="16" t="str">
        <f>IFERROR(__xludf.DUMMYFUNCTION("""COMPUTED_VALUE"""),"hdt*****45@mail.edu.tw")</f>
        <v>hdt*****45@mail.edu.tw</v>
      </c>
      <c r="E2653" s="17" t="str">
        <f>IFERROR(__xludf.DUMMYFUNCTION("""COMPUTED_VALUE"""),"彰化縣溪湖鎮湖北國民小學")</f>
        <v>彰化縣溪湖鎮湖北國民小學</v>
      </c>
      <c r="F2653" s="14" t="str">
        <f>IFERROR(__xludf.DUMMYFUNCTION("""COMPUTED_VALUE"""),"六年級")</f>
        <v>六年級</v>
      </c>
      <c r="G2653" s="14" t="str">
        <f>IFERROR(__xludf.DUMMYFUNCTION("""COMPUTED_VALUE"""),"獎狀")</f>
        <v>獎狀</v>
      </c>
      <c r="H2653" s="8"/>
    </row>
    <row r="2654">
      <c r="A2654" s="18"/>
      <c r="B2654" s="14">
        <f>IFERROR(__xludf.DUMMYFUNCTION("""COMPUTED_VALUE"""),871475.0)</f>
        <v>871475</v>
      </c>
      <c r="C2654" s="14" t="str">
        <f>IFERROR(__xludf.DUMMYFUNCTION("""COMPUTED_VALUE"""),"邱品榛")</f>
        <v>邱品榛</v>
      </c>
      <c r="D2654" s="16" t="str">
        <f>IFERROR(__xludf.DUMMYFUNCTION("""COMPUTED_VALUE"""),"hbp*****55@mail.edu.tw")</f>
        <v>hbp*****55@mail.edu.tw</v>
      </c>
      <c r="E2654" s="17" t="str">
        <f>IFERROR(__xludf.DUMMYFUNCTION("""COMPUTED_VALUE"""),"彰化縣溪湖鎮湖北國民小學")</f>
        <v>彰化縣溪湖鎮湖北國民小學</v>
      </c>
      <c r="F2654" s="14" t="str">
        <f>IFERROR(__xludf.DUMMYFUNCTION("""COMPUTED_VALUE"""),"六年級")</f>
        <v>六年級</v>
      </c>
      <c r="G2654" s="14" t="str">
        <f>IFERROR(__xludf.DUMMYFUNCTION("""COMPUTED_VALUE"""),"獎狀")</f>
        <v>獎狀</v>
      </c>
      <c r="H2654" s="8"/>
    </row>
    <row r="2655">
      <c r="A2655" s="18"/>
      <c r="B2655" s="14">
        <f>IFERROR(__xludf.DUMMYFUNCTION("""COMPUTED_VALUE"""),867494.0)</f>
        <v>867494</v>
      </c>
      <c r="C2655" s="14" t="str">
        <f>IFERROR(__xludf.DUMMYFUNCTION("""COMPUTED_VALUE"""),"劉意菖")</f>
        <v>劉意菖</v>
      </c>
      <c r="D2655" s="16" t="str">
        <f>IFERROR(__xludf.DUMMYFUNCTION("""COMPUTED_VALUE"""),"hbp*****26@mail.edu.tw")</f>
        <v>hbp*****26@mail.edu.tw</v>
      </c>
      <c r="E2655" s="17" t="str">
        <f>IFERROR(__xludf.DUMMYFUNCTION("""COMPUTED_VALUE"""),"彰化縣溪湖鎮湖北國民小學")</f>
        <v>彰化縣溪湖鎮湖北國民小學</v>
      </c>
      <c r="F2655" s="14" t="str">
        <f>IFERROR(__xludf.DUMMYFUNCTION("""COMPUTED_VALUE"""),"六年級")</f>
        <v>六年級</v>
      </c>
      <c r="G2655" s="14" t="str">
        <f>IFERROR(__xludf.DUMMYFUNCTION("""COMPUTED_VALUE"""),"●小禮物")</f>
        <v>●小禮物</v>
      </c>
      <c r="H2655" s="8"/>
    </row>
    <row r="2656">
      <c r="A2656" s="18"/>
      <c r="B2656" s="14">
        <f>IFERROR(__xludf.DUMMYFUNCTION("""COMPUTED_VALUE"""),734144.0)</f>
        <v>734144</v>
      </c>
      <c r="C2656" s="14" t="str">
        <f>IFERROR(__xludf.DUMMYFUNCTION("""COMPUTED_VALUE"""),"池安睫")</f>
        <v>池安睫</v>
      </c>
      <c r="D2656" s="16" t="str">
        <f>IFERROR(__xludf.DUMMYFUNCTION("""COMPUTED_VALUE"""),"hbp*****39@mail.edu.tw")</f>
        <v>hbp*****39@mail.edu.tw</v>
      </c>
      <c r="E2656" s="17" t="str">
        <f>IFERROR(__xludf.DUMMYFUNCTION("""COMPUTED_VALUE"""),"彰化縣溪湖鎮湖北國民小學")</f>
        <v>彰化縣溪湖鎮湖北國民小學</v>
      </c>
      <c r="F2656" s="14" t="str">
        <f>IFERROR(__xludf.DUMMYFUNCTION("""COMPUTED_VALUE"""),"六年級")</f>
        <v>六年級</v>
      </c>
      <c r="G2656" s="14" t="str">
        <f>IFERROR(__xludf.DUMMYFUNCTION("""COMPUTED_VALUE"""),"●小禮物")</f>
        <v>●小禮物</v>
      </c>
      <c r="H2656" s="8"/>
    </row>
    <row r="2657">
      <c r="A2657" s="18"/>
      <c r="B2657" s="14">
        <f>IFERROR(__xludf.DUMMYFUNCTION("""COMPUTED_VALUE"""),867492.0)</f>
        <v>867492</v>
      </c>
      <c r="C2657" s="14" t="str">
        <f>IFERROR(__xludf.DUMMYFUNCTION("""COMPUTED_VALUE"""),"李亭慧")</f>
        <v>李亭慧</v>
      </c>
      <c r="D2657" s="16" t="str">
        <f>IFERROR(__xludf.DUMMYFUNCTION("""COMPUTED_VALUE"""),"hbp*****32@mail.edu.tw")</f>
        <v>hbp*****32@mail.edu.tw</v>
      </c>
      <c r="E2657" s="17" t="str">
        <f>IFERROR(__xludf.DUMMYFUNCTION("""COMPUTED_VALUE"""),"彰化縣溪湖鎮湖北國民小學")</f>
        <v>彰化縣溪湖鎮湖北國民小學</v>
      </c>
      <c r="F2657" s="14" t="str">
        <f>IFERROR(__xludf.DUMMYFUNCTION("""COMPUTED_VALUE"""),"六年級")</f>
        <v>六年級</v>
      </c>
      <c r="G2657" s="14" t="str">
        <f>IFERROR(__xludf.DUMMYFUNCTION("""COMPUTED_VALUE"""),"●小禮物")</f>
        <v>●小禮物</v>
      </c>
      <c r="H2657" s="8"/>
    </row>
    <row r="2658">
      <c r="A2658" s="18"/>
      <c r="B2658" s="14">
        <f>IFERROR(__xludf.DUMMYFUNCTION("""COMPUTED_VALUE"""),820338.0)</f>
        <v>820338</v>
      </c>
      <c r="C2658" s="14" t="str">
        <f>IFERROR(__xludf.DUMMYFUNCTION("""COMPUTED_VALUE"""),"李禹萱")</f>
        <v>李禹萱</v>
      </c>
      <c r="D2658" s="16" t="str">
        <f>IFERROR(__xludf.DUMMYFUNCTION("""COMPUTED_VALUE"""),"hbp*****33@mail.edu.tw")</f>
        <v>hbp*****33@mail.edu.tw</v>
      </c>
      <c r="E2658" s="17" t="str">
        <f>IFERROR(__xludf.DUMMYFUNCTION("""COMPUTED_VALUE"""),"彰化縣溪湖鎮湖北國民小學")</f>
        <v>彰化縣溪湖鎮湖北國民小學</v>
      </c>
      <c r="F2658" s="14" t="str">
        <f>IFERROR(__xludf.DUMMYFUNCTION("""COMPUTED_VALUE"""),"六年級")</f>
        <v>六年級</v>
      </c>
      <c r="G2658" s="14" t="str">
        <f>IFERROR(__xludf.DUMMYFUNCTION("""COMPUTED_VALUE"""),"●小禮物")</f>
        <v>●小禮物</v>
      </c>
      <c r="H2658" s="8"/>
    </row>
    <row r="2659">
      <c r="A2659" s="18"/>
      <c r="B2659" s="14">
        <f>IFERROR(__xludf.DUMMYFUNCTION("""COMPUTED_VALUE"""),867467.0)</f>
        <v>867467</v>
      </c>
      <c r="C2659" s="14" t="str">
        <f>IFERROR(__xludf.DUMMYFUNCTION("""COMPUTED_VALUE"""),"施佳岑")</f>
        <v>施佳岑</v>
      </c>
      <c r="D2659" s="16" t="str">
        <f>IFERROR(__xludf.DUMMYFUNCTION("""COMPUTED_VALUE"""),"hbp*****74@mail.edu.tw")</f>
        <v>hbp*****74@mail.edu.tw</v>
      </c>
      <c r="E2659" s="17" t="str">
        <f>IFERROR(__xludf.DUMMYFUNCTION("""COMPUTED_VALUE"""),"彰化縣溪湖鎮湖北國民小學")</f>
        <v>彰化縣溪湖鎮湖北國民小學</v>
      </c>
      <c r="F2659" s="14" t="str">
        <f>IFERROR(__xludf.DUMMYFUNCTION("""COMPUTED_VALUE"""),"六年級")</f>
        <v>六年級</v>
      </c>
      <c r="G2659" s="14" t="str">
        <f>IFERROR(__xludf.DUMMYFUNCTION("""COMPUTED_VALUE"""),"●小禮物")</f>
        <v>●小禮物</v>
      </c>
      <c r="H2659" s="8"/>
    </row>
    <row r="2660">
      <c r="A2660" s="18"/>
      <c r="B2660" s="14">
        <f>IFERROR(__xludf.DUMMYFUNCTION("""COMPUTED_VALUE"""),867488.0)</f>
        <v>867488</v>
      </c>
      <c r="C2660" s="14" t="str">
        <f>IFERROR(__xludf.DUMMYFUNCTION("""COMPUTED_VALUE"""),"洪柏丞")</f>
        <v>洪柏丞</v>
      </c>
      <c r="D2660" s="16" t="str">
        <f>IFERROR(__xludf.DUMMYFUNCTION("""COMPUTED_VALUE"""),"hbp*****61@mail.edu.tw")</f>
        <v>hbp*****61@mail.edu.tw</v>
      </c>
      <c r="E2660" s="17" t="str">
        <f>IFERROR(__xludf.DUMMYFUNCTION("""COMPUTED_VALUE"""),"彰化縣溪湖鎮湖北國民小學")</f>
        <v>彰化縣溪湖鎮湖北國民小學</v>
      </c>
      <c r="F2660" s="14" t="str">
        <f>IFERROR(__xludf.DUMMYFUNCTION("""COMPUTED_VALUE"""),"六年級")</f>
        <v>六年級</v>
      </c>
      <c r="G2660" s="14" t="str">
        <f>IFERROR(__xludf.DUMMYFUNCTION("""COMPUTED_VALUE"""),"●小禮物")</f>
        <v>●小禮物</v>
      </c>
      <c r="H2660" s="8"/>
    </row>
    <row r="2661">
      <c r="A2661" s="18"/>
      <c r="B2661" s="14">
        <f>IFERROR(__xludf.DUMMYFUNCTION("""COMPUTED_VALUE"""),390037.0)</f>
        <v>390037</v>
      </c>
      <c r="C2661" s="14" t="str">
        <f>IFERROR(__xludf.DUMMYFUNCTION("""COMPUTED_VALUE"""),"胡丞安")</f>
        <v>胡丞安</v>
      </c>
      <c r="D2661" s="16" t="str">
        <f>IFERROR(__xludf.DUMMYFUNCTION("""COMPUTED_VALUE"""),"jam*****426@mail.edu.tw")</f>
        <v>jam*****426@mail.edu.tw</v>
      </c>
      <c r="E2661" s="17" t="str">
        <f>IFERROR(__xludf.DUMMYFUNCTION("""COMPUTED_VALUE"""),"彰化縣溪湖鎮湖北國民小學")</f>
        <v>彰化縣溪湖鎮湖北國民小學</v>
      </c>
      <c r="F2661" s="14" t="str">
        <f>IFERROR(__xludf.DUMMYFUNCTION("""COMPUTED_VALUE"""),"六年級")</f>
        <v>六年級</v>
      </c>
      <c r="G2661" s="14" t="str">
        <f>IFERROR(__xludf.DUMMYFUNCTION("""COMPUTED_VALUE"""),"●小禮物")</f>
        <v>●小禮物</v>
      </c>
      <c r="H2661" s="8"/>
    </row>
    <row r="2662">
      <c r="A2662" s="18"/>
      <c r="B2662" s="14">
        <f>IFERROR(__xludf.DUMMYFUNCTION("""COMPUTED_VALUE"""),867455.0)</f>
        <v>867455</v>
      </c>
      <c r="C2662" s="14" t="str">
        <f>IFERROR(__xludf.DUMMYFUNCTION("""COMPUTED_VALUE"""),"楊濬宇")</f>
        <v>楊濬宇</v>
      </c>
      <c r="D2662" s="16" t="str">
        <f>IFERROR(__xludf.DUMMYFUNCTION("""COMPUTED_VALUE"""),"hbp*****05@mail.edu.tw")</f>
        <v>hbp*****05@mail.edu.tw</v>
      </c>
      <c r="E2662" s="17" t="str">
        <f>IFERROR(__xludf.DUMMYFUNCTION("""COMPUTED_VALUE"""),"彰化縣溪湖鎮湖北國民小學")</f>
        <v>彰化縣溪湖鎮湖北國民小學</v>
      </c>
      <c r="F2662" s="14" t="str">
        <f>IFERROR(__xludf.DUMMYFUNCTION("""COMPUTED_VALUE"""),"六年級")</f>
        <v>六年級</v>
      </c>
      <c r="G2662" s="14" t="str">
        <f>IFERROR(__xludf.DUMMYFUNCTION("""COMPUTED_VALUE"""),"●小禮物")</f>
        <v>●小禮物</v>
      </c>
      <c r="H2662" s="8"/>
    </row>
    <row r="2663">
      <c r="A2663" s="18"/>
      <c r="B2663" s="14">
        <f>IFERROR(__xludf.DUMMYFUNCTION("""COMPUTED_VALUE"""),867453.0)</f>
        <v>867453</v>
      </c>
      <c r="C2663" s="14" t="str">
        <f>IFERROR(__xludf.DUMMYFUNCTION("""COMPUTED_VALUE"""),"吳沛綺")</f>
        <v>吳沛綺</v>
      </c>
      <c r="D2663" s="16" t="str">
        <f>IFERROR(__xludf.DUMMYFUNCTION("""COMPUTED_VALUE"""),"hbp*****17@mail.edu.tw")</f>
        <v>hbp*****17@mail.edu.tw</v>
      </c>
      <c r="E2663" s="17" t="str">
        <f>IFERROR(__xludf.DUMMYFUNCTION("""COMPUTED_VALUE"""),"彰化縣溪湖鎮湖北國民小學")</f>
        <v>彰化縣溪湖鎮湖北國民小學</v>
      </c>
      <c r="F2663" s="14" t="str">
        <f>IFERROR(__xludf.DUMMYFUNCTION("""COMPUTED_VALUE"""),"六年級")</f>
        <v>六年級</v>
      </c>
      <c r="G2663" s="14" t="str">
        <f>IFERROR(__xludf.DUMMYFUNCTION("""COMPUTED_VALUE"""),"獎狀")</f>
        <v>獎狀</v>
      </c>
      <c r="H2663" s="8"/>
    </row>
    <row r="2664">
      <c r="A2664" s="18"/>
      <c r="B2664" s="14">
        <f>IFERROR(__xludf.DUMMYFUNCTION("""COMPUTED_VALUE"""),867476.0)</f>
        <v>867476</v>
      </c>
      <c r="C2664" s="14" t="str">
        <f>IFERROR(__xludf.DUMMYFUNCTION("""COMPUTED_VALUE"""),"陳郁茗")</f>
        <v>陳郁茗</v>
      </c>
      <c r="D2664" s="16" t="str">
        <f>IFERROR(__xludf.DUMMYFUNCTION("""COMPUTED_VALUE"""),"hbp*****23@mail.edu.tw")</f>
        <v>hbp*****23@mail.edu.tw</v>
      </c>
      <c r="E2664" s="17" t="str">
        <f>IFERROR(__xludf.DUMMYFUNCTION("""COMPUTED_VALUE"""),"彰化縣溪湖鎮湖北國民小學")</f>
        <v>彰化縣溪湖鎮湖北國民小學</v>
      </c>
      <c r="F2664" s="14" t="str">
        <f>IFERROR(__xludf.DUMMYFUNCTION("""COMPUTED_VALUE"""),"六年級")</f>
        <v>六年級</v>
      </c>
      <c r="G2664" s="14" t="str">
        <f>IFERROR(__xludf.DUMMYFUNCTION("""COMPUTED_VALUE"""),"獎狀")</f>
        <v>獎狀</v>
      </c>
      <c r="H2664" s="8"/>
    </row>
    <row r="2665">
      <c r="A2665" s="18"/>
      <c r="B2665" s="14">
        <f>IFERROR(__xludf.DUMMYFUNCTION("""COMPUTED_VALUE"""),867485.0)</f>
        <v>867485</v>
      </c>
      <c r="C2665" s="14" t="str">
        <f>IFERROR(__xludf.DUMMYFUNCTION("""COMPUTED_VALUE"""),"陳筱霈")</f>
        <v>陳筱霈</v>
      </c>
      <c r="D2665" s="16" t="str">
        <f>IFERROR(__xludf.DUMMYFUNCTION("""COMPUTED_VALUE"""),"hbp*****38@mail.edu.tw")</f>
        <v>hbp*****38@mail.edu.tw</v>
      </c>
      <c r="E2665" s="17" t="str">
        <f>IFERROR(__xludf.DUMMYFUNCTION("""COMPUTED_VALUE"""),"彰化縣溪湖鎮湖北國民小學")</f>
        <v>彰化縣溪湖鎮湖北國民小學</v>
      </c>
      <c r="F2665" s="14" t="str">
        <f>IFERROR(__xludf.DUMMYFUNCTION("""COMPUTED_VALUE"""),"六年級")</f>
        <v>六年級</v>
      </c>
      <c r="G2665" s="14" t="str">
        <f>IFERROR(__xludf.DUMMYFUNCTION("""COMPUTED_VALUE"""),"獎狀")</f>
        <v>獎狀</v>
      </c>
      <c r="H2665" s="8"/>
    </row>
    <row r="2666">
      <c r="A2666" s="18"/>
      <c r="B2666" s="14">
        <f>IFERROR(__xludf.DUMMYFUNCTION("""COMPUTED_VALUE"""),867457.0)</f>
        <v>867457</v>
      </c>
      <c r="C2666" s="14" t="str">
        <f>IFERROR(__xludf.DUMMYFUNCTION("""COMPUTED_VALUE"""),"曾柏詠")</f>
        <v>曾柏詠</v>
      </c>
      <c r="D2666" s="16" t="str">
        <f>IFERROR(__xludf.DUMMYFUNCTION("""COMPUTED_VALUE"""),"hbp*****02@mail.edu.tw")</f>
        <v>hbp*****02@mail.edu.tw</v>
      </c>
      <c r="E2666" s="17" t="str">
        <f>IFERROR(__xludf.DUMMYFUNCTION("""COMPUTED_VALUE"""),"彰化縣溪湖鎮湖北國民小學")</f>
        <v>彰化縣溪湖鎮湖北國民小學</v>
      </c>
      <c r="F2666" s="14" t="str">
        <f>IFERROR(__xludf.DUMMYFUNCTION("""COMPUTED_VALUE"""),"六年級")</f>
        <v>六年級</v>
      </c>
      <c r="G2666" s="14" t="str">
        <f>IFERROR(__xludf.DUMMYFUNCTION("""COMPUTED_VALUE"""),"獎狀")</f>
        <v>獎狀</v>
      </c>
      <c r="H2666" s="8"/>
    </row>
    <row r="2667">
      <c r="A2667" s="18"/>
      <c r="B2667" s="14">
        <f>IFERROR(__xludf.DUMMYFUNCTION("""COMPUTED_VALUE"""),867454.0)</f>
        <v>867454</v>
      </c>
      <c r="C2667" s="14" t="str">
        <f>IFERROR(__xludf.DUMMYFUNCTION("""COMPUTED_VALUE"""),"劉芸甄")</f>
        <v>劉芸甄</v>
      </c>
      <c r="D2667" s="16" t="str">
        <f>IFERROR(__xludf.DUMMYFUNCTION("""COMPUTED_VALUE"""),"hbp*****21@mail.edu.tw")</f>
        <v>hbp*****21@mail.edu.tw</v>
      </c>
      <c r="E2667" s="17" t="str">
        <f>IFERROR(__xludf.DUMMYFUNCTION("""COMPUTED_VALUE"""),"彰化縣溪湖鎮湖北國民小學")</f>
        <v>彰化縣溪湖鎮湖北國民小學</v>
      </c>
      <c r="F2667" s="14" t="str">
        <f>IFERROR(__xludf.DUMMYFUNCTION("""COMPUTED_VALUE"""),"六年級")</f>
        <v>六年級</v>
      </c>
      <c r="G2667" s="14" t="str">
        <f>IFERROR(__xludf.DUMMYFUNCTION("""COMPUTED_VALUE"""),"獎狀")</f>
        <v>獎狀</v>
      </c>
      <c r="H2667" s="8"/>
    </row>
    <row r="2668">
      <c r="A2668" s="18"/>
      <c r="B2668" s="14">
        <f>IFERROR(__xludf.DUMMYFUNCTION("""COMPUTED_VALUE"""),828157.0)</f>
        <v>828157</v>
      </c>
      <c r="C2668" s="14" t="str">
        <f>IFERROR(__xludf.DUMMYFUNCTION("""COMPUTED_VALUE"""),"莊家瑜")</f>
        <v>莊家瑜</v>
      </c>
      <c r="D2668" s="16" t="str">
        <f>IFERROR(__xludf.DUMMYFUNCTION("""COMPUTED_VALUE"""),"hbp*****76@mail.edu.tw")</f>
        <v>hbp*****76@mail.edu.tw</v>
      </c>
      <c r="E2668" s="17" t="str">
        <f>IFERROR(__xludf.DUMMYFUNCTION("""COMPUTED_VALUE"""),"彰化縣溪湖鎮湖北國民小學")</f>
        <v>彰化縣溪湖鎮湖北國民小學</v>
      </c>
      <c r="F2668" s="14" t="str">
        <f>IFERROR(__xludf.DUMMYFUNCTION("""COMPUTED_VALUE"""),"六年級")</f>
        <v>六年級</v>
      </c>
      <c r="G2668" s="14" t="str">
        <f>IFERROR(__xludf.DUMMYFUNCTION("""COMPUTED_VALUE"""),"●小禮物")</f>
        <v>●小禮物</v>
      </c>
      <c r="H2668" s="8"/>
    </row>
    <row r="2669">
      <c r="A2669" s="18"/>
      <c r="B2669" s="14">
        <f>IFERROR(__xludf.DUMMYFUNCTION("""COMPUTED_VALUE"""),863991.0)</f>
        <v>863991</v>
      </c>
      <c r="C2669" s="14" t="str">
        <f>IFERROR(__xludf.DUMMYFUNCTION("""COMPUTED_VALUE"""),"陳宥安")</f>
        <v>陳宥安</v>
      </c>
      <c r="D2669" s="16" t="str">
        <f>IFERROR(__xludf.DUMMYFUNCTION("""COMPUTED_VALUE"""),"hbp*****33@mail.edu.tw")</f>
        <v>hbp*****33@mail.edu.tw</v>
      </c>
      <c r="E2669" s="17" t="str">
        <f>IFERROR(__xludf.DUMMYFUNCTION("""COMPUTED_VALUE"""),"彰化縣溪湖鎮湖北國民小學")</f>
        <v>彰化縣溪湖鎮湖北國民小學</v>
      </c>
      <c r="F2669" s="14" t="str">
        <f>IFERROR(__xludf.DUMMYFUNCTION("""COMPUTED_VALUE"""),"六年級")</f>
        <v>六年級</v>
      </c>
      <c r="G2669" s="14" t="str">
        <f>IFERROR(__xludf.DUMMYFUNCTION("""COMPUTED_VALUE"""),"●小禮物")</f>
        <v>●小禮物</v>
      </c>
      <c r="H2669" s="8"/>
    </row>
    <row r="2670">
      <c r="A2670" s="18"/>
      <c r="B2670" s="14">
        <f>IFERROR(__xludf.DUMMYFUNCTION("""COMPUTED_VALUE"""),864005.0)</f>
        <v>864005</v>
      </c>
      <c r="C2670" s="14" t="str">
        <f>IFERROR(__xludf.DUMMYFUNCTION("""COMPUTED_VALUE"""),"黃晨薰")</f>
        <v>黃晨薰</v>
      </c>
      <c r="D2670" s="16" t="str">
        <f>IFERROR(__xludf.DUMMYFUNCTION("""COMPUTED_VALUE"""),"hbp*****42@mail.edu.tw")</f>
        <v>hbp*****42@mail.edu.tw</v>
      </c>
      <c r="E2670" s="17" t="str">
        <f>IFERROR(__xludf.DUMMYFUNCTION("""COMPUTED_VALUE"""),"彰化縣溪湖鎮湖北國民小學")</f>
        <v>彰化縣溪湖鎮湖北國民小學</v>
      </c>
      <c r="F2670" s="14" t="str">
        <f>IFERROR(__xludf.DUMMYFUNCTION("""COMPUTED_VALUE"""),"六年級")</f>
        <v>六年級</v>
      </c>
      <c r="G2670" s="14" t="str">
        <f>IFERROR(__xludf.DUMMYFUNCTION("""COMPUTED_VALUE"""),"●小禮物")</f>
        <v>●小禮物</v>
      </c>
      <c r="H2670" s="8"/>
    </row>
    <row r="2671">
      <c r="A2671" s="18"/>
      <c r="B2671" s="14">
        <f>IFERROR(__xludf.DUMMYFUNCTION("""COMPUTED_VALUE"""),863994.0)</f>
        <v>863994</v>
      </c>
      <c r="C2671" s="14" t="str">
        <f>IFERROR(__xludf.DUMMYFUNCTION("""COMPUTED_VALUE"""),"陳映亘")</f>
        <v>陳映亘</v>
      </c>
      <c r="D2671" s="16" t="str">
        <f>IFERROR(__xludf.DUMMYFUNCTION("""COMPUTED_VALUE"""),"hbp*****41@mail.edu.tw")</f>
        <v>hbp*****41@mail.edu.tw</v>
      </c>
      <c r="E2671" s="17" t="str">
        <f>IFERROR(__xludf.DUMMYFUNCTION("""COMPUTED_VALUE"""),"彰化縣溪湖鎮湖北國民小學")</f>
        <v>彰化縣溪湖鎮湖北國民小學</v>
      </c>
      <c r="F2671" s="14" t="str">
        <f>IFERROR(__xludf.DUMMYFUNCTION("""COMPUTED_VALUE"""),"六年級")</f>
        <v>六年級</v>
      </c>
      <c r="G2671" s="14" t="str">
        <f>IFERROR(__xludf.DUMMYFUNCTION("""COMPUTED_VALUE"""),"★禮券$200")</f>
        <v>★禮券$200</v>
      </c>
      <c r="H2671" s="8"/>
    </row>
    <row r="2672">
      <c r="A2672" s="18"/>
      <c r="B2672" s="14">
        <f>IFERROR(__xludf.DUMMYFUNCTION("""COMPUTED_VALUE"""),863992.0)</f>
        <v>863992</v>
      </c>
      <c r="C2672" s="14" t="str">
        <f>IFERROR(__xludf.DUMMYFUNCTION("""COMPUTED_VALUE"""),"林柏澄")</f>
        <v>林柏澄</v>
      </c>
      <c r="D2672" s="16" t="str">
        <f>IFERROR(__xludf.DUMMYFUNCTION("""COMPUTED_VALUE"""),"hbp*****99@mail.edu.tw")</f>
        <v>hbp*****99@mail.edu.tw</v>
      </c>
      <c r="E2672" s="17" t="str">
        <f>IFERROR(__xludf.DUMMYFUNCTION("""COMPUTED_VALUE"""),"彰化縣溪湖鎮湖北國民小學")</f>
        <v>彰化縣溪湖鎮湖北國民小學</v>
      </c>
      <c r="F2672" s="14" t="str">
        <f>IFERROR(__xludf.DUMMYFUNCTION("""COMPUTED_VALUE"""),"六年級")</f>
        <v>六年級</v>
      </c>
      <c r="G2672" s="14" t="str">
        <f>IFERROR(__xludf.DUMMYFUNCTION("""COMPUTED_VALUE"""),"獎狀")</f>
        <v>獎狀</v>
      </c>
      <c r="H2672" s="8"/>
    </row>
    <row r="2673">
      <c r="A2673" s="18"/>
      <c r="B2673" s="14">
        <f>IFERROR(__xludf.DUMMYFUNCTION("""COMPUTED_VALUE"""),864003.0)</f>
        <v>864003</v>
      </c>
      <c r="C2673" s="14" t="str">
        <f>IFERROR(__xludf.DUMMYFUNCTION("""COMPUTED_VALUE"""),"洪健豪")</f>
        <v>洪健豪</v>
      </c>
      <c r="D2673" s="16" t="str">
        <f>IFERROR(__xludf.DUMMYFUNCTION("""COMPUTED_VALUE"""),"hbp*****00@mail.edu.tw")</f>
        <v>hbp*****00@mail.edu.tw</v>
      </c>
      <c r="E2673" s="17" t="str">
        <f>IFERROR(__xludf.DUMMYFUNCTION("""COMPUTED_VALUE"""),"彰化縣溪湖鎮湖北國民小學")</f>
        <v>彰化縣溪湖鎮湖北國民小學</v>
      </c>
      <c r="F2673" s="14" t="str">
        <f>IFERROR(__xludf.DUMMYFUNCTION("""COMPUTED_VALUE"""),"六年級")</f>
        <v>六年級</v>
      </c>
      <c r="G2673" s="14" t="str">
        <f>IFERROR(__xludf.DUMMYFUNCTION("""COMPUTED_VALUE"""),"獎狀")</f>
        <v>獎狀</v>
      </c>
      <c r="H2673" s="8"/>
    </row>
    <row r="2674">
      <c r="A2674" s="18"/>
      <c r="B2674" s="14">
        <f>IFERROR(__xludf.DUMMYFUNCTION("""COMPUTED_VALUE"""),863997.0)</f>
        <v>863997</v>
      </c>
      <c r="C2674" s="14" t="str">
        <f>IFERROR(__xludf.DUMMYFUNCTION("""COMPUTED_VALUE"""),"許致齊")</f>
        <v>許致齊</v>
      </c>
      <c r="D2674" s="16" t="str">
        <f>IFERROR(__xludf.DUMMYFUNCTION("""COMPUTED_VALUE"""),"hbp*****91@mail.edu.tw")</f>
        <v>hbp*****91@mail.edu.tw</v>
      </c>
      <c r="E2674" s="17" t="str">
        <f>IFERROR(__xludf.DUMMYFUNCTION("""COMPUTED_VALUE"""),"彰化縣溪湖鎮湖北國民小學")</f>
        <v>彰化縣溪湖鎮湖北國民小學</v>
      </c>
      <c r="F2674" s="14" t="str">
        <f>IFERROR(__xludf.DUMMYFUNCTION("""COMPUTED_VALUE"""),"六年級")</f>
        <v>六年級</v>
      </c>
      <c r="G2674" s="14" t="str">
        <f>IFERROR(__xludf.DUMMYFUNCTION("""COMPUTED_VALUE"""),"獎狀")</f>
        <v>獎狀</v>
      </c>
      <c r="H2674" s="8"/>
    </row>
    <row r="2675">
      <c r="A2675" s="18"/>
      <c r="B2675" s="14">
        <f>IFERROR(__xludf.DUMMYFUNCTION("""COMPUTED_VALUE"""),863998.0)</f>
        <v>863998</v>
      </c>
      <c r="C2675" s="14" t="str">
        <f>IFERROR(__xludf.DUMMYFUNCTION("""COMPUTED_VALUE"""),"許峻豪")</f>
        <v>許峻豪</v>
      </c>
      <c r="D2675" s="16" t="str">
        <f>IFERROR(__xludf.DUMMYFUNCTION("""COMPUTED_VALUE"""),"hbp*****34@mail.edu.tw")</f>
        <v>hbp*****34@mail.edu.tw</v>
      </c>
      <c r="E2675" s="17" t="str">
        <f>IFERROR(__xludf.DUMMYFUNCTION("""COMPUTED_VALUE"""),"彰化縣溪湖鎮湖北國民小學")</f>
        <v>彰化縣溪湖鎮湖北國民小學</v>
      </c>
      <c r="F2675" s="14" t="str">
        <f>IFERROR(__xludf.DUMMYFUNCTION("""COMPUTED_VALUE"""),"六年級")</f>
        <v>六年級</v>
      </c>
      <c r="G2675" s="14" t="str">
        <f>IFERROR(__xludf.DUMMYFUNCTION("""COMPUTED_VALUE"""),"獎狀")</f>
        <v>獎狀</v>
      </c>
      <c r="H2675" s="8"/>
    </row>
    <row r="2676">
      <c r="A2676" s="18"/>
      <c r="B2676" s="14">
        <f>IFERROR(__xludf.DUMMYFUNCTION("""COMPUTED_VALUE"""),863996.0)</f>
        <v>863996</v>
      </c>
      <c r="C2676" s="14" t="str">
        <f>IFERROR(__xludf.DUMMYFUNCTION("""COMPUTED_VALUE"""),"陳采茵")</f>
        <v>陳采茵</v>
      </c>
      <c r="D2676" s="16" t="str">
        <f>IFERROR(__xludf.DUMMYFUNCTION("""COMPUTED_VALUE"""),"hbp*****80@mail.edu.tw")</f>
        <v>hbp*****80@mail.edu.tw</v>
      </c>
      <c r="E2676" s="17" t="str">
        <f>IFERROR(__xludf.DUMMYFUNCTION("""COMPUTED_VALUE"""),"彰化縣溪湖鎮湖北國民小學")</f>
        <v>彰化縣溪湖鎮湖北國民小學</v>
      </c>
      <c r="F2676" s="14" t="str">
        <f>IFERROR(__xludf.DUMMYFUNCTION("""COMPUTED_VALUE"""),"六年級")</f>
        <v>六年級</v>
      </c>
      <c r="G2676" s="14" t="str">
        <f>IFERROR(__xludf.DUMMYFUNCTION("""COMPUTED_VALUE"""),"獎狀")</f>
        <v>獎狀</v>
      </c>
      <c r="H2676" s="8"/>
    </row>
    <row r="2677">
      <c r="A2677" s="18"/>
      <c r="B2677" s="14">
        <f>IFERROR(__xludf.DUMMYFUNCTION("""COMPUTED_VALUE"""),864014.0)</f>
        <v>864014</v>
      </c>
      <c r="C2677" s="14" t="str">
        <f>IFERROR(__xludf.DUMMYFUNCTION("""COMPUTED_VALUE"""),"陳家妤")</f>
        <v>陳家妤</v>
      </c>
      <c r="D2677" s="16" t="str">
        <f>IFERROR(__xludf.DUMMYFUNCTION("""COMPUTED_VALUE"""),"hbp*****22@mail.edu.tw")</f>
        <v>hbp*****22@mail.edu.tw</v>
      </c>
      <c r="E2677" s="17" t="str">
        <f>IFERROR(__xludf.DUMMYFUNCTION("""COMPUTED_VALUE"""),"彰化縣溪湖鎮湖北國民小學")</f>
        <v>彰化縣溪湖鎮湖北國民小學</v>
      </c>
      <c r="F2677" s="14" t="str">
        <f>IFERROR(__xludf.DUMMYFUNCTION("""COMPUTED_VALUE"""),"六年級")</f>
        <v>六年級</v>
      </c>
      <c r="G2677" s="14" t="str">
        <f>IFERROR(__xludf.DUMMYFUNCTION("""COMPUTED_VALUE"""),"獎狀")</f>
        <v>獎狀</v>
      </c>
      <c r="H2677" s="8"/>
    </row>
    <row r="2678">
      <c r="A2678" s="18"/>
      <c r="B2678" s="14">
        <f>IFERROR(__xludf.DUMMYFUNCTION("""COMPUTED_VALUE"""),864007.0)</f>
        <v>864007</v>
      </c>
      <c r="C2678" s="14" t="str">
        <f>IFERROR(__xludf.DUMMYFUNCTION("""COMPUTED_VALUE"""),"曾意琳")</f>
        <v>曾意琳</v>
      </c>
      <c r="D2678" s="16" t="str">
        <f>IFERROR(__xludf.DUMMYFUNCTION("""COMPUTED_VALUE"""),"hbp*****06079@mail.edu.tw")</f>
        <v>hbp*****06079@mail.edu.tw</v>
      </c>
      <c r="E2678" s="17" t="str">
        <f>IFERROR(__xludf.DUMMYFUNCTION("""COMPUTED_VALUE"""),"彰化縣溪湖鎮湖北國民小學")</f>
        <v>彰化縣溪湖鎮湖北國民小學</v>
      </c>
      <c r="F2678" s="14" t="str">
        <f>IFERROR(__xludf.DUMMYFUNCTION("""COMPUTED_VALUE"""),"六年級")</f>
        <v>六年級</v>
      </c>
      <c r="G2678" s="14" t="str">
        <f>IFERROR(__xludf.DUMMYFUNCTION("""COMPUTED_VALUE"""),"獎狀")</f>
        <v>獎狀</v>
      </c>
      <c r="H2678" s="8"/>
    </row>
    <row r="2679">
      <c r="A2679" s="18"/>
      <c r="B2679" s="14">
        <f>IFERROR(__xludf.DUMMYFUNCTION("""COMPUTED_VALUE"""),864004.0)</f>
        <v>864004</v>
      </c>
      <c r="C2679" s="14" t="str">
        <f>IFERROR(__xludf.DUMMYFUNCTION("""COMPUTED_VALUE"""),"黃威誌")</f>
        <v>黃威誌</v>
      </c>
      <c r="D2679" s="16" t="str">
        <f>IFERROR(__xludf.DUMMYFUNCTION("""COMPUTED_VALUE"""),"hbp*****21@mail.edu.tw")</f>
        <v>hbp*****21@mail.edu.tw</v>
      </c>
      <c r="E2679" s="17" t="str">
        <f>IFERROR(__xludf.DUMMYFUNCTION("""COMPUTED_VALUE"""),"彰化縣溪湖鎮湖北國民小學")</f>
        <v>彰化縣溪湖鎮湖北國民小學</v>
      </c>
      <c r="F2679" s="14" t="str">
        <f>IFERROR(__xludf.DUMMYFUNCTION("""COMPUTED_VALUE"""),"六年級")</f>
        <v>六年級</v>
      </c>
      <c r="G2679" s="14" t="str">
        <f>IFERROR(__xludf.DUMMYFUNCTION("""COMPUTED_VALUE"""),"獎狀")</f>
        <v>獎狀</v>
      </c>
      <c r="H2679" s="8"/>
    </row>
    <row r="2680">
      <c r="A2680" s="18"/>
      <c r="B2680" s="14">
        <f>IFERROR(__xludf.DUMMYFUNCTION("""COMPUTED_VALUE"""),863999.0)</f>
        <v>863999</v>
      </c>
      <c r="C2680" s="14" t="str">
        <f>IFERROR(__xludf.DUMMYFUNCTION("""COMPUTED_VALUE"""),"楊語言")</f>
        <v>楊語言</v>
      </c>
      <c r="D2680" s="16" t="str">
        <f>IFERROR(__xludf.DUMMYFUNCTION("""COMPUTED_VALUE"""),"hbp*****44@mail.edu.tw")</f>
        <v>hbp*****44@mail.edu.tw</v>
      </c>
      <c r="E2680" s="17" t="str">
        <f>IFERROR(__xludf.DUMMYFUNCTION("""COMPUTED_VALUE"""),"彰化縣溪湖鎮湖北國民小學")</f>
        <v>彰化縣溪湖鎮湖北國民小學</v>
      </c>
      <c r="F2680" s="14" t="str">
        <f>IFERROR(__xludf.DUMMYFUNCTION("""COMPUTED_VALUE"""),"六年級")</f>
        <v>六年級</v>
      </c>
      <c r="G2680" s="14" t="str">
        <f>IFERROR(__xludf.DUMMYFUNCTION("""COMPUTED_VALUE"""),"獎狀")</f>
        <v>獎狀</v>
      </c>
      <c r="H2680" s="8"/>
    </row>
    <row r="2681">
      <c r="A2681" s="18"/>
      <c r="B2681" s="14">
        <f>IFERROR(__xludf.DUMMYFUNCTION("""COMPUTED_VALUE"""),864880.0)</f>
        <v>864880</v>
      </c>
      <c r="C2681" s="14" t="str">
        <f>IFERROR(__xludf.DUMMYFUNCTION("""COMPUTED_VALUE"""),"巫茂圖")</f>
        <v>巫茂圖</v>
      </c>
      <c r="D2681" s="16" t="str">
        <f>IFERROR(__xludf.DUMMYFUNCTION("""COMPUTED_VALUE"""),"hbp*****01@mail.edu.tw")</f>
        <v>hbp*****01@mail.edu.tw</v>
      </c>
      <c r="E2681" s="17" t="str">
        <f>IFERROR(__xludf.DUMMYFUNCTION("""COMPUTED_VALUE"""),"彰化縣溪湖鎮湖北國民小學")</f>
        <v>彰化縣溪湖鎮湖北國民小學</v>
      </c>
      <c r="F2681" s="14" t="str">
        <f>IFERROR(__xludf.DUMMYFUNCTION("""COMPUTED_VALUE"""),"六年級")</f>
        <v>六年級</v>
      </c>
      <c r="G2681" s="14" t="str">
        <f>IFERROR(__xludf.DUMMYFUNCTION("""COMPUTED_VALUE"""),"●小禮物")</f>
        <v>●小禮物</v>
      </c>
      <c r="H2681" s="8"/>
    </row>
    <row r="2682">
      <c r="A2682" s="18"/>
      <c r="B2682" s="14">
        <f>IFERROR(__xludf.DUMMYFUNCTION("""COMPUTED_VALUE"""),864866.0)</f>
        <v>864866</v>
      </c>
      <c r="C2682" s="14" t="str">
        <f>IFERROR(__xludf.DUMMYFUNCTION("""COMPUTED_VALUE"""),"林孜瑩")</f>
        <v>林孜瑩</v>
      </c>
      <c r="D2682" s="16" t="str">
        <f>IFERROR(__xludf.DUMMYFUNCTION("""COMPUTED_VALUE"""),"hbp*****08@mail.edu.tw")</f>
        <v>hbp*****08@mail.edu.tw</v>
      </c>
      <c r="E2682" s="17" t="str">
        <f>IFERROR(__xludf.DUMMYFUNCTION("""COMPUTED_VALUE"""),"彰化縣溪湖鎮湖北國民小學")</f>
        <v>彰化縣溪湖鎮湖北國民小學</v>
      </c>
      <c r="F2682" s="14" t="str">
        <f>IFERROR(__xludf.DUMMYFUNCTION("""COMPUTED_VALUE"""),"六年級")</f>
        <v>六年級</v>
      </c>
      <c r="G2682" s="14" t="str">
        <f>IFERROR(__xludf.DUMMYFUNCTION("""COMPUTED_VALUE"""),"●小禮物")</f>
        <v>●小禮物</v>
      </c>
      <c r="H2682" s="8"/>
    </row>
    <row r="2683">
      <c r="A2683" s="18"/>
      <c r="B2683" s="14">
        <f>IFERROR(__xludf.DUMMYFUNCTION("""COMPUTED_VALUE"""),864879.0)</f>
        <v>864879</v>
      </c>
      <c r="C2683" s="14" t="str">
        <f>IFERROR(__xludf.DUMMYFUNCTION("""COMPUTED_VALUE"""),"陳芃伃")</f>
        <v>陳芃伃</v>
      </c>
      <c r="D2683" s="16" t="str">
        <f>IFERROR(__xludf.DUMMYFUNCTION("""COMPUTED_VALUE"""),"hbp*****14@mail.edu.tw")</f>
        <v>hbp*****14@mail.edu.tw</v>
      </c>
      <c r="E2683" s="17" t="str">
        <f>IFERROR(__xludf.DUMMYFUNCTION("""COMPUTED_VALUE"""),"彰化縣溪湖鎮湖北國民小學")</f>
        <v>彰化縣溪湖鎮湖北國民小學</v>
      </c>
      <c r="F2683" s="14" t="str">
        <f>IFERROR(__xludf.DUMMYFUNCTION("""COMPUTED_VALUE"""),"六年級")</f>
        <v>六年級</v>
      </c>
      <c r="G2683" s="14" t="str">
        <f>IFERROR(__xludf.DUMMYFUNCTION("""COMPUTED_VALUE"""),"●小禮物")</f>
        <v>●小禮物</v>
      </c>
      <c r="H2683" s="8"/>
    </row>
    <row r="2684">
      <c r="A2684" s="18"/>
      <c r="B2684" s="14">
        <f>IFERROR(__xludf.DUMMYFUNCTION("""COMPUTED_VALUE"""),864869.0)</f>
        <v>864869</v>
      </c>
      <c r="C2684" s="14" t="str">
        <f>IFERROR(__xludf.DUMMYFUNCTION("""COMPUTED_VALUE"""),"陳羿伶")</f>
        <v>陳羿伶</v>
      </c>
      <c r="D2684" s="16" t="str">
        <f>IFERROR(__xludf.DUMMYFUNCTION("""COMPUTED_VALUE"""),"hpb*****47@mail.edu.tw")</f>
        <v>hpb*****47@mail.edu.tw</v>
      </c>
      <c r="E2684" s="17" t="str">
        <f>IFERROR(__xludf.DUMMYFUNCTION("""COMPUTED_VALUE"""),"彰化縣溪湖鎮湖北國民小學")</f>
        <v>彰化縣溪湖鎮湖北國民小學</v>
      </c>
      <c r="F2684" s="14" t="str">
        <f>IFERROR(__xludf.DUMMYFUNCTION("""COMPUTED_VALUE"""),"六年級")</f>
        <v>六年級</v>
      </c>
      <c r="G2684" s="14" t="str">
        <f>IFERROR(__xludf.DUMMYFUNCTION("""COMPUTED_VALUE"""),"●小禮物")</f>
        <v>●小禮物</v>
      </c>
      <c r="H2684" s="8"/>
    </row>
    <row r="2685">
      <c r="A2685" s="18"/>
      <c r="B2685" s="14">
        <f>IFERROR(__xludf.DUMMYFUNCTION("""COMPUTED_VALUE"""),864870.0)</f>
        <v>864870</v>
      </c>
      <c r="C2685" s="14" t="str">
        <f>IFERROR(__xludf.DUMMYFUNCTION("""COMPUTED_VALUE"""),"黃歆甯")</f>
        <v>黃歆甯</v>
      </c>
      <c r="D2685" s="16" t="str">
        <f>IFERROR(__xludf.DUMMYFUNCTION("""COMPUTED_VALUE"""),"hbp*****24@mail.edu.tw")</f>
        <v>hbp*****24@mail.edu.tw</v>
      </c>
      <c r="E2685" s="17" t="str">
        <f>IFERROR(__xludf.DUMMYFUNCTION("""COMPUTED_VALUE"""),"彰化縣溪湖鎮湖北國民小學")</f>
        <v>彰化縣溪湖鎮湖北國民小學</v>
      </c>
      <c r="F2685" s="14" t="str">
        <f>IFERROR(__xludf.DUMMYFUNCTION("""COMPUTED_VALUE"""),"六年級")</f>
        <v>六年級</v>
      </c>
      <c r="G2685" s="14" t="str">
        <f>IFERROR(__xludf.DUMMYFUNCTION("""COMPUTED_VALUE"""),"●小禮物")</f>
        <v>●小禮物</v>
      </c>
      <c r="H2685" s="8"/>
    </row>
    <row r="2686">
      <c r="A2686" s="18"/>
      <c r="B2686" s="14">
        <f>IFERROR(__xludf.DUMMYFUNCTION("""COMPUTED_VALUE"""),820159.0)</f>
        <v>820159</v>
      </c>
      <c r="C2686" s="14" t="str">
        <f>IFERROR(__xludf.DUMMYFUNCTION("""COMPUTED_VALUE"""),"鄭兆均")</f>
        <v>鄭兆均</v>
      </c>
      <c r="D2686" s="16" t="str">
        <f>IFERROR(__xludf.DUMMYFUNCTION("""COMPUTED_VALUE"""),"106*****bps.chc.edu.tw")</f>
        <v>106*****bps.chc.edu.tw</v>
      </c>
      <c r="E2686" s="17" t="str">
        <f>IFERROR(__xludf.DUMMYFUNCTION("""COMPUTED_VALUE"""),"彰化縣溪湖鎮湖北國民小學")</f>
        <v>彰化縣溪湖鎮湖北國民小學</v>
      </c>
      <c r="F2686" s="14" t="str">
        <f>IFERROR(__xludf.DUMMYFUNCTION("""COMPUTED_VALUE"""),"六年級")</f>
        <v>六年級</v>
      </c>
      <c r="G2686" s="14" t="str">
        <f>IFERROR(__xludf.DUMMYFUNCTION("""COMPUTED_VALUE"""),"★禮券$200")</f>
        <v>★禮券$200</v>
      </c>
      <c r="H2686" s="8"/>
    </row>
    <row r="2687">
      <c r="A2687" s="18"/>
      <c r="B2687" s="14">
        <f>IFERROR(__xludf.DUMMYFUNCTION("""COMPUTED_VALUE"""),864881.0)</f>
        <v>864881</v>
      </c>
      <c r="C2687" s="14" t="str">
        <f>IFERROR(__xludf.DUMMYFUNCTION("""COMPUTED_VALUE"""),"巫昊宇")</f>
        <v>巫昊宇</v>
      </c>
      <c r="D2687" s="16" t="str">
        <f>IFERROR(__xludf.DUMMYFUNCTION("""COMPUTED_VALUE"""),"hbp*****89@mail.edu.tw")</f>
        <v>hbp*****89@mail.edu.tw</v>
      </c>
      <c r="E2687" s="17" t="str">
        <f>IFERROR(__xludf.DUMMYFUNCTION("""COMPUTED_VALUE"""),"彰化縣溪湖鎮湖北國民小學")</f>
        <v>彰化縣溪湖鎮湖北國民小學</v>
      </c>
      <c r="F2687" s="14" t="str">
        <f>IFERROR(__xludf.DUMMYFUNCTION("""COMPUTED_VALUE"""),"六年級")</f>
        <v>六年級</v>
      </c>
      <c r="G2687" s="14" t="str">
        <f>IFERROR(__xludf.DUMMYFUNCTION("""COMPUTED_VALUE"""),"獎狀")</f>
        <v>獎狀</v>
      </c>
      <c r="H2687" s="8"/>
    </row>
    <row r="2688">
      <c r="A2688" s="18"/>
      <c r="B2688" s="14">
        <f>IFERROR(__xludf.DUMMYFUNCTION("""COMPUTED_VALUE"""),864873.0)</f>
        <v>864873</v>
      </c>
      <c r="C2688" s="14" t="str">
        <f>IFERROR(__xludf.DUMMYFUNCTION("""COMPUTED_VALUE"""),"巫箐絨")</f>
        <v>巫箐絨</v>
      </c>
      <c r="D2688" s="16" t="str">
        <f>IFERROR(__xludf.DUMMYFUNCTION("""COMPUTED_VALUE"""),"hpb*****5@mail.edu.tw")</f>
        <v>hpb*****5@mail.edu.tw</v>
      </c>
      <c r="E2688" s="17" t="str">
        <f>IFERROR(__xludf.DUMMYFUNCTION("""COMPUTED_VALUE"""),"彰化縣溪湖鎮湖北國民小學")</f>
        <v>彰化縣溪湖鎮湖北國民小學</v>
      </c>
      <c r="F2688" s="14" t="str">
        <f>IFERROR(__xludf.DUMMYFUNCTION("""COMPUTED_VALUE"""),"六年級")</f>
        <v>六年級</v>
      </c>
      <c r="G2688" s="14" t="str">
        <f>IFERROR(__xludf.DUMMYFUNCTION("""COMPUTED_VALUE"""),"獎狀")</f>
        <v>獎狀</v>
      </c>
      <c r="H2688" s="8"/>
    </row>
    <row r="2689">
      <c r="A2689" s="18"/>
      <c r="B2689" s="14">
        <f>IFERROR(__xludf.DUMMYFUNCTION("""COMPUTED_VALUE"""),864876.0)</f>
        <v>864876</v>
      </c>
      <c r="C2689" s="14" t="str">
        <f>IFERROR(__xludf.DUMMYFUNCTION("""COMPUTED_VALUE"""),"周書豫")</f>
        <v>周書豫</v>
      </c>
      <c r="D2689" s="16" t="str">
        <f>IFERROR(__xludf.DUMMYFUNCTION("""COMPUTED_VALUE"""),"hbp*****16@mail.edu.tw")</f>
        <v>hbp*****16@mail.edu.tw</v>
      </c>
      <c r="E2689" s="17" t="str">
        <f>IFERROR(__xludf.DUMMYFUNCTION("""COMPUTED_VALUE"""),"彰化縣溪湖鎮湖北國民小學")</f>
        <v>彰化縣溪湖鎮湖北國民小學</v>
      </c>
      <c r="F2689" s="14" t="str">
        <f>IFERROR(__xludf.DUMMYFUNCTION("""COMPUTED_VALUE"""),"六年級")</f>
        <v>六年級</v>
      </c>
      <c r="G2689" s="14" t="str">
        <f>IFERROR(__xludf.DUMMYFUNCTION("""COMPUTED_VALUE"""),"獎狀")</f>
        <v>獎狀</v>
      </c>
      <c r="H2689" s="8"/>
    </row>
    <row r="2690">
      <c r="A2690" s="18"/>
      <c r="B2690" s="14">
        <f>IFERROR(__xludf.DUMMYFUNCTION("""COMPUTED_VALUE"""),864877.0)</f>
        <v>864877</v>
      </c>
      <c r="C2690" s="14" t="str">
        <f>IFERROR(__xludf.DUMMYFUNCTION("""COMPUTED_VALUE"""),"童均芳")</f>
        <v>童均芳</v>
      </c>
      <c r="D2690" s="16" t="str">
        <f>IFERROR(__xludf.DUMMYFUNCTION("""COMPUTED_VALUE"""),"hbp*****84@mail.edu.tw")</f>
        <v>hbp*****84@mail.edu.tw</v>
      </c>
      <c r="E2690" s="17" t="str">
        <f>IFERROR(__xludf.DUMMYFUNCTION("""COMPUTED_VALUE"""),"彰化縣溪湖鎮湖北國民小學")</f>
        <v>彰化縣溪湖鎮湖北國民小學</v>
      </c>
      <c r="F2690" s="14" t="str">
        <f>IFERROR(__xludf.DUMMYFUNCTION("""COMPUTED_VALUE"""),"六年級")</f>
        <v>六年級</v>
      </c>
      <c r="G2690" s="14" t="str">
        <f>IFERROR(__xludf.DUMMYFUNCTION("""COMPUTED_VALUE"""),"獎狀")</f>
        <v>獎狀</v>
      </c>
      <c r="H2690" s="8"/>
    </row>
    <row r="2691">
      <c r="A2691" s="18"/>
      <c r="B2691" s="14">
        <f>IFERROR(__xludf.DUMMYFUNCTION("""COMPUTED_VALUE"""),864907.0)</f>
        <v>864907</v>
      </c>
      <c r="C2691" s="14" t="str">
        <f>IFERROR(__xludf.DUMMYFUNCTION("""COMPUTED_VALUE"""),"楊浩廷")</f>
        <v>楊浩廷</v>
      </c>
      <c r="D2691" s="16" t="str">
        <f>IFERROR(__xludf.DUMMYFUNCTION("""COMPUTED_VALUE"""),"hbp*****4@mail.edu.tw")</f>
        <v>hbp*****4@mail.edu.tw</v>
      </c>
      <c r="E2691" s="17" t="str">
        <f>IFERROR(__xludf.DUMMYFUNCTION("""COMPUTED_VALUE"""),"彰化縣溪湖鎮湖北國民小學")</f>
        <v>彰化縣溪湖鎮湖北國民小學</v>
      </c>
      <c r="F2691" s="14" t="str">
        <f>IFERROR(__xludf.DUMMYFUNCTION("""COMPUTED_VALUE"""),"六年級")</f>
        <v>六年級</v>
      </c>
      <c r="G2691" s="14" t="str">
        <f>IFERROR(__xludf.DUMMYFUNCTION("""COMPUTED_VALUE"""),"獎狀")</f>
        <v>獎狀</v>
      </c>
      <c r="H2691" s="8"/>
    </row>
    <row r="2692">
      <c r="A2692" s="18"/>
      <c r="B2692" s="14">
        <f>IFERROR(__xludf.DUMMYFUNCTION("""COMPUTED_VALUE"""),867334.0)</f>
        <v>867334</v>
      </c>
      <c r="C2692" s="14" t="str">
        <f>IFERROR(__xludf.DUMMYFUNCTION("""COMPUTED_VALUE"""),"陳煒閎")</f>
        <v>陳煒閎</v>
      </c>
      <c r="D2692" s="16" t="str">
        <f>IFERROR(__xludf.DUMMYFUNCTION("""COMPUTED_VALUE"""),"way*****8@mail.edu.tw")</f>
        <v>way*****8@mail.edu.tw</v>
      </c>
      <c r="E2692" s="17" t="str">
        <f>IFERROR(__xludf.DUMMYFUNCTION("""COMPUTED_VALUE"""),"彰化縣溪湖鎮湖北國民小學")</f>
        <v>彰化縣溪湖鎮湖北國民小學</v>
      </c>
      <c r="F2692" s="14" t="str">
        <f>IFERROR(__xludf.DUMMYFUNCTION("""COMPUTED_VALUE"""),"六年級")</f>
        <v>六年級</v>
      </c>
      <c r="G2692" s="14" t="str">
        <f>IFERROR(__xludf.DUMMYFUNCTION("""COMPUTED_VALUE"""),"●小禮物")</f>
        <v>●小禮物</v>
      </c>
      <c r="H2692" s="8"/>
    </row>
    <row r="2693">
      <c r="A2693" s="18"/>
      <c r="B2693" s="14">
        <f>IFERROR(__xludf.DUMMYFUNCTION("""COMPUTED_VALUE"""),867359.0)</f>
        <v>867359</v>
      </c>
      <c r="C2693" s="14" t="str">
        <f>IFERROR(__xludf.DUMMYFUNCTION("""COMPUTED_VALUE"""),"黃詠熙")</f>
        <v>黃詠熙</v>
      </c>
      <c r="D2693" s="16" t="str">
        <f>IFERROR(__xludf.DUMMYFUNCTION("""COMPUTED_VALUE"""),"hbp*****46@mail.edu.tw")</f>
        <v>hbp*****46@mail.edu.tw</v>
      </c>
      <c r="E2693" s="17" t="str">
        <f>IFERROR(__xludf.DUMMYFUNCTION("""COMPUTED_VALUE"""),"彰化縣溪湖鎮湖北國民小學")</f>
        <v>彰化縣溪湖鎮湖北國民小學</v>
      </c>
      <c r="F2693" s="14" t="str">
        <f>IFERROR(__xludf.DUMMYFUNCTION("""COMPUTED_VALUE"""),"六年級")</f>
        <v>六年級</v>
      </c>
      <c r="G2693" s="14" t="str">
        <f>IFERROR(__xludf.DUMMYFUNCTION("""COMPUTED_VALUE"""),"●小禮物")</f>
        <v>●小禮物</v>
      </c>
      <c r="H2693" s="8"/>
    </row>
    <row r="2694">
      <c r="A2694" s="18"/>
      <c r="B2694" s="14">
        <f>IFERROR(__xludf.DUMMYFUNCTION("""COMPUTED_VALUE"""),680826.0)</f>
        <v>680826</v>
      </c>
      <c r="C2694" s="14" t="str">
        <f>IFERROR(__xludf.DUMMYFUNCTION("""COMPUTED_VALUE"""),"楊育瑄")</f>
        <v>楊育瑄</v>
      </c>
      <c r="D2694" s="16" t="str">
        <f>IFERROR(__xludf.DUMMYFUNCTION("""COMPUTED_VALUE"""),"hbp*****50@mail.edu.tw")</f>
        <v>hbp*****50@mail.edu.tw</v>
      </c>
      <c r="E2694" s="17" t="str">
        <f>IFERROR(__xludf.DUMMYFUNCTION("""COMPUTED_VALUE"""),"彰化縣溪湖鎮湖北國民小學")</f>
        <v>彰化縣溪湖鎮湖北國民小學</v>
      </c>
      <c r="F2694" s="14" t="str">
        <f>IFERROR(__xludf.DUMMYFUNCTION("""COMPUTED_VALUE"""),"六年級")</f>
        <v>六年級</v>
      </c>
      <c r="G2694" s="14" t="str">
        <f>IFERROR(__xludf.DUMMYFUNCTION("""COMPUTED_VALUE"""),"●小禮物")</f>
        <v>●小禮物</v>
      </c>
      <c r="H2694" s="8"/>
    </row>
    <row r="2695">
      <c r="A2695" s="18"/>
      <c r="B2695" s="14">
        <f>IFERROR(__xludf.DUMMYFUNCTION("""COMPUTED_VALUE"""),820082.0)</f>
        <v>820082</v>
      </c>
      <c r="C2695" s="14" t="str">
        <f>IFERROR(__xludf.DUMMYFUNCTION("""COMPUTED_VALUE"""),"楊品芮")</f>
        <v>楊品芮</v>
      </c>
      <c r="D2695" s="16" t="str">
        <f>IFERROR(__xludf.DUMMYFUNCTION("""COMPUTED_VALUE"""),"hbp*****48@mail.edu.tw")</f>
        <v>hbp*****48@mail.edu.tw</v>
      </c>
      <c r="E2695" s="17" t="str">
        <f>IFERROR(__xludf.DUMMYFUNCTION("""COMPUTED_VALUE"""),"彰化縣溪湖鎮湖北國民小學")</f>
        <v>彰化縣溪湖鎮湖北國民小學</v>
      </c>
      <c r="F2695" s="14" t="str">
        <f>IFERROR(__xludf.DUMMYFUNCTION("""COMPUTED_VALUE"""),"六年級")</f>
        <v>六年級</v>
      </c>
      <c r="G2695" s="14" t="str">
        <f>IFERROR(__xludf.DUMMYFUNCTION("""COMPUTED_VALUE"""),"●小禮物")</f>
        <v>●小禮物</v>
      </c>
      <c r="H2695" s="8"/>
    </row>
    <row r="2696">
      <c r="A2696" s="18"/>
      <c r="B2696" s="14">
        <f>IFERROR(__xludf.DUMMYFUNCTION("""COMPUTED_VALUE"""),820247.0)</f>
        <v>820247</v>
      </c>
      <c r="C2696" s="14" t="str">
        <f>IFERROR(__xludf.DUMMYFUNCTION("""COMPUTED_VALUE"""),"蘇暄雯")</f>
        <v>蘇暄雯</v>
      </c>
      <c r="D2696" s="16" t="str">
        <f>IFERROR(__xludf.DUMMYFUNCTION("""COMPUTED_VALUE"""),"hbp*****@mail.edu.tw")</f>
        <v>hbp*****@mail.edu.tw</v>
      </c>
      <c r="E2696" s="17" t="str">
        <f>IFERROR(__xludf.DUMMYFUNCTION("""COMPUTED_VALUE"""),"彰化縣溪湖鎮湖北國民小學")</f>
        <v>彰化縣溪湖鎮湖北國民小學</v>
      </c>
      <c r="F2696" s="14" t="str">
        <f>IFERROR(__xludf.DUMMYFUNCTION("""COMPUTED_VALUE"""),"六年級")</f>
        <v>六年級</v>
      </c>
      <c r="G2696" s="14" t="str">
        <f>IFERROR(__xludf.DUMMYFUNCTION("""COMPUTED_VALUE"""),"●小禮物")</f>
        <v>●小禮物</v>
      </c>
      <c r="H2696" s="8"/>
    </row>
    <row r="2697">
      <c r="A2697" s="18"/>
      <c r="B2697" s="14">
        <f>IFERROR(__xludf.DUMMYFUNCTION("""COMPUTED_VALUE"""),866535.0)</f>
        <v>866535</v>
      </c>
      <c r="C2697" s="14" t="str">
        <f>IFERROR(__xludf.DUMMYFUNCTION("""COMPUTED_VALUE"""),"巫彥璋")</f>
        <v>巫彥璋</v>
      </c>
      <c r="D2697" s="16" t="str">
        <f>IFERROR(__xludf.DUMMYFUNCTION("""COMPUTED_VALUE"""),"hbp*****03@mail.edu.tw")</f>
        <v>hbp*****03@mail.edu.tw</v>
      </c>
      <c r="E2697" s="17" t="str">
        <f>IFERROR(__xludf.DUMMYFUNCTION("""COMPUTED_VALUE"""),"彰化縣溪湖鎮湖北國民小學")</f>
        <v>彰化縣溪湖鎮湖北國民小學</v>
      </c>
      <c r="F2697" s="14" t="str">
        <f>IFERROR(__xludf.DUMMYFUNCTION("""COMPUTED_VALUE"""),"六年級")</f>
        <v>六年級</v>
      </c>
      <c r="G2697" s="14" t="str">
        <f>IFERROR(__xludf.DUMMYFUNCTION("""COMPUTED_VALUE"""),"獎狀")</f>
        <v>獎狀</v>
      </c>
      <c r="H2697" s="8"/>
    </row>
    <row r="2698">
      <c r="A2698" s="18"/>
      <c r="B2698" s="14">
        <f>IFERROR(__xludf.DUMMYFUNCTION("""COMPUTED_VALUE"""),826651.0)</f>
        <v>826651</v>
      </c>
      <c r="C2698" s="14" t="str">
        <f>IFERROR(__xludf.DUMMYFUNCTION("""COMPUTED_VALUE"""),"袁憶瑜")</f>
        <v>袁憶瑜</v>
      </c>
      <c r="D2698" s="16" t="str">
        <f>IFERROR(__xludf.DUMMYFUNCTION("""COMPUTED_VALUE"""),"hbp*****34@mail.edu.tw")</f>
        <v>hbp*****34@mail.edu.tw</v>
      </c>
      <c r="E2698" s="17" t="str">
        <f>IFERROR(__xludf.DUMMYFUNCTION("""COMPUTED_VALUE"""),"彰化縣溪湖鎮湖北國民小學")</f>
        <v>彰化縣溪湖鎮湖北國民小學</v>
      </c>
      <c r="F2698" s="14" t="str">
        <f>IFERROR(__xludf.DUMMYFUNCTION("""COMPUTED_VALUE"""),"六年級")</f>
        <v>六年級</v>
      </c>
      <c r="G2698" s="14" t="str">
        <f>IFERROR(__xludf.DUMMYFUNCTION("""COMPUTED_VALUE"""),"獎狀")</f>
        <v>獎狀</v>
      </c>
      <c r="H2698" s="8"/>
    </row>
    <row r="2699">
      <c r="A2699" s="18"/>
      <c r="B2699" s="14">
        <f>IFERROR(__xludf.DUMMYFUNCTION("""COMPUTED_VALUE"""),867330.0)</f>
        <v>867330</v>
      </c>
      <c r="C2699" s="14" t="str">
        <f>IFERROR(__xludf.DUMMYFUNCTION("""COMPUTED_VALUE"""),"陳宥誠")</f>
        <v>陳宥誠</v>
      </c>
      <c r="D2699" s="16" t="str">
        <f>IFERROR(__xludf.DUMMYFUNCTION("""COMPUTED_VALUE"""),"hbp*****10@mail.edu.tw")</f>
        <v>hbp*****10@mail.edu.tw</v>
      </c>
      <c r="E2699" s="17" t="str">
        <f>IFERROR(__xludf.DUMMYFUNCTION("""COMPUTED_VALUE"""),"彰化縣溪湖鎮湖北國民小學")</f>
        <v>彰化縣溪湖鎮湖北國民小學</v>
      </c>
      <c r="F2699" s="14" t="str">
        <f>IFERROR(__xludf.DUMMYFUNCTION("""COMPUTED_VALUE"""),"六年級")</f>
        <v>六年級</v>
      </c>
      <c r="G2699" s="14" t="str">
        <f>IFERROR(__xludf.DUMMYFUNCTION("""COMPUTED_VALUE"""),"獎狀")</f>
        <v>獎狀</v>
      </c>
      <c r="H2699" s="8"/>
    </row>
    <row r="2700">
      <c r="A2700" s="18"/>
      <c r="B2700" s="14">
        <f>IFERROR(__xludf.DUMMYFUNCTION("""COMPUTED_VALUE"""),820727.0)</f>
        <v>820727</v>
      </c>
      <c r="C2700" s="14" t="str">
        <f>IFERROR(__xludf.DUMMYFUNCTION("""COMPUTED_VALUE"""),"陳映諼")</f>
        <v>陳映諼</v>
      </c>
      <c r="D2700" s="16" t="str">
        <f>IFERROR(__xludf.DUMMYFUNCTION("""COMPUTED_VALUE"""),"hbp*****46@mail.edu.tw")</f>
        <v>hbp*****46@mail.edu.tw</v>
      </c>
      <c r="E2700" s="17" t="str">
        <f>IFERROR(__xludf.DUMMYFUNCTION("""COMPUTED_VALUE"""),"彰化縣溪湖鎮湖北國民小學")</f>
        <v>彰化縣溪湖鎮湖北國民小學</v>
      </c>
      <c r="F2700" s="14" t="str">
        <f>IFERROR(__xludf.DUMMYFUNCTION("""COMPUTED_VALUE"""),"六年級")</f>
        <v>六年級</v>
      </c>
      <c r="G2700" s="14" t="str">
        <f>IFERROR(__xludf.DUMMYFUNCTION("""COMPUTED_VALUE"""),"獎狀")</f>
        <v>獎狀</v>
      </c>
      <c r="H2700" s="8"/>
    </row>
    <row r="2701">
      <c r="A2701" s="18"/>
      <c r="B2701" s="14">
        <f>IFERROR(__xludf.DUMMYFUNCTION("""COMPUTED_VALUE"""),867327.0)</f>
        <v>867327</v>
      </c>
      <c r="C2701" s="14" t="str">
        <f>IFERROR(__xludf.DUMMYFUNCTION("""COMPUTED_VALUE"""),"游沅叡")</f>
        <v>游沅叡</v>
      </c>
      <c r="D2701" s="16" t="str">
        <f>IFERROR(__xludf.DUMMYFUNCTION("""COMPUTED_VALUE"""),"hbp*****60@mail.edu.tw")</f>
        <v>hbp*****60@mail.edu.tw</v>
      </c>
      <c r="E2701" s="17" t="str">
        <f>IFERROR(__xludf.DUMMYFUNCTION("""COMPUTED_VALUE"""),"彰化縣溪湖鎮湖北國民小學")</f>
        <v>彰化縣溪湖鎮湖北國民小學</v>
      </c>
      <c r="F2701" s="14" t="str">
        <f>IFERROR(__xludf.DUMMYFUNCTION("""COMPUTED_VALUE"""),"六年級")</f>
        <v>六年級</v>
      </c>
      <c r="G2701" s="14" t="str">
        <f>IFERROR(__xludf.DUMMYFUNCTION("""COMPUTED_VALUE"""),"獎狀")</f>
        <v>獎狀</v>
      </c>
      <c r="H2701" s="8"/>
    </row>
    <row r="2702">
      <c r="A2702" s="18"/>
      <c r="B2702" s="14">
        <f>IFERROR(__xludf.DUMMYFUNCTION("""COMPUTED_VALUE"""),680863.0)</f>
        <v>680863</v>
      </c>
      <c r="C2702" s="14" t="str">
        <f>IFERROR(__xludf.DUMMYFUNCTION("""COMPUTED_VALUE"""),"黃崇銪")</f>
        <v>黃崇銪</v>
      </c>
      <c r="D2702" s="16" t="str">
        <f>IFERROR(__xludf.DUMMYFUNCTION("""COMPUTED_VALUE"""),"hbp*****9@mail.edu.tw")</f>
        <v>hbp*****9@mail.edu.tw</v>
      </c>
      <c r="E2702" s="17" t="str">
        <f>IFERROR(__xludf.DUMMYFUNCTION("""COMPUTED_VALUE"""),"彰化縣溪湖鎮湖北國民小學")</f>
        <v>彰化縣溪湖鎮湖北國民小學</v>
      </c>
      <c r="F2702" s="14" t="str">
        <f>IFERROR(__xludf.DUMMYFUNCTION("""COMPUTED_VALUE"""),"六年級")</f>
        <v>六年級</v>
      </c>
      <c r="G2702" s="14" t="str">
        <f>IFERROR(__xludf.DUMMYFUNCTION("""COMPUTED_VALUE"""),"獎狀")</f>
        <v>獎狀</v>
      </c>
      <c r="H2702" s="8"/>
    </row>
    <row r="2703">
      <c r="A2703" s="18"/>
      <c r="B2703" s="14">
        <f>IFERROR(__xludf.DUMMYFUNCTION("""COMPUTED_VALUE"""),820987.0)</f>
        <v>820987</v>
      </c>
      <c r="C2703" s="14" t="str">
        <f>IFERROR(__xludf.DUMMYFUNCTION("""COMPUTED_VALUE"""),"楊喻琳")</f>
        <v>楊喻琳</v>
      </c>
      <c r="D2703" s="16" t="str">
        <f>IFERROR(__xludf.DUMMYFUNCTION("""COMPUTED_VALUE"""),"yan*****n906@mail.edu.tw")</f>
        <v>yan*****n906@mail.edu.tw</v>
      </c>
      <c r="E2703" s="17" t="str">
        <f>IFERROR(__xludf.DUMMYFUNCTION("""COMPUTED_VALUE"""),"彰化縣溪湖鎮湖北國民小學")</f>
        <v>彰化縣溪湖鎮湖北國民小學</v>
      </c>
      <c r="F2703" s="14" t="str">
        <f>IFERROR(__xludf.DUMMYFUNCTION("""COMPUTED_VALUE"""),"六年級")</f>
        <v>六年級</v>
      </c>
      <c r="G2703" s="14" t="str">
        <f>IFERROR(__xludf.DUMMYFUNCTION("""COMPUTED_VALUE"""),"獎狀")</f>
        <v>獎狀</v>
      </c>
      <c r="H2703" s="8"/>
    </row>
    <row r="2704">
      <c r="A2704" s="18"/>
      <c r="B2704" s="14">
        <f>IFERROR(__xludf.DUMMYFUNCTION("""COMPUTED_VALUE"""),821509.0)</f>
        <v>821509</v>
      </c>
      <c r="C2704" s="14" t="str">
        <f>IFERROR(__xludf.DUMMYFUNCTION("""COMPUTED_VALUE"""),"鄭佳恩")</f>
        <v>鄭佳恩</v>
      </c>
      <c r="D2704" s="16" t="str">
        <f>IFERROR(__xludf.DUMMYFUNCTION("""COMPUTED_VALUE"""),"hbp*****818@mail.edu.tw")</f>
        <v>hbp*****818@mail.edu.tw</v>
      </c>
      <c r="E2704" s="17" t="str">
        <f>IFERROR(__xludf.DUMMYFUNCTION("""COMPUTED_VALUE"""),"彰化縣溪湖鎮湖北國民小學")</f>
        <v>彰化縣溪湖鎮湖北國民小學</v>
      </c>
      <c r="F2704" s="14" t="str">
        <f>IFERROR(__xludf.DUMMYFUNCTION("""COMPUTED_VALUE"""),"六年級")</f>
        <v>六年級</v>
      </c>
      <c r="G2704" s="14" t="str">
        <f>IFERROR(__xludf.DUMMYFUNCTION("""COMPUTED_VALUE"""),"獎狀")</f>
        <v>獎狀</v>
      </c>
      <c r="H2704" s="8"/>
    </row>
    <row r="2705">
      <c r="A2705" s="18"/>
      <c r="B2705" s="14">
        <f>IFERROR(__xludf.DUMMYFUNCTION("""COMPUTED_VALUE"""),680960.0)</f>
        <v>680960</v>
      </c>
      <c r="C2705" s="14" t="str">
        <f>IFERROR(__xludf.DUMMYFUNCTION("""COMPUTED_VALUE"""),"蕭程擇")</f>
        <v>蕭程擇</v>
      </c>
      <c r="D2705" s="16" t="str">
        <f>IFERROR(__xludf.DUMMYFUNCTION("""COMPUTED_VALUE"""),"swe*****y10718@mail.edu.tw")</f>
        <v>swe*****y10718@mail.edu.tw</v>
      </c>
      <c r="E2705" s="17" t="str">
        <f>IFERROR(__xludf.DUMMYFUNCTION("""COMPUTED_VALUE"""),"彰化縣溪湖鎮湖北國民小學")</f>
        <v>彰化縣溪湖鎮湖北國民小學</v>
      </c>
      <c r="F2705" s="14" t="str">
        <f>IFERROR(__xludf.DUMMYFUNCTION("""COMPUTED_VALUE"""),"六年級")</f>
        <v>六年級</v>
      </c>
      <c r="G2705" s="14" t="str">
        <f>IFERROR(__xludf.DUMMYFUNCTION("""COMPUTED_VALUE"""),"獎狀")</f>
        <v>獎狀</v>
      </c>
      <c r="H2705" s="8"/>
    </row>
    <row r="2706">
      <c r="A2706" s="18"/>
      <c r="B2706" s="14">
        <f>IFERROR(__xludf.DUMMYFUNCTION("""COMPUTED_VALUE"""),135016.0)</f>
        <v>135016</v>
      </c>
      <c r="C2706" s="14" t="str">
        <f>IFERROR(__xludf.DUMMYFUNCTION("""COMPUTED_VALUE"""),"江欣穎")</f>
        <v>江欣穎</v>
      </c>
      <c r="D2706" s="16" t="str">
        <f>IFERROR(__xludf.DUMMYFUNCTION("""COMPUTED_VALUE"""),"lul*****10@hbps.chc.edu.tw")</f>
        <v>lul*****10@hbps.chc.edu.tw</v>
      </c>
      <c r="E2706" s="17" t="str">
        <f>IFERROR(__xludf.DUMMYFUNCTION("""COMPUTED_VALUE"""),"彰化縣溪湖鎮湖北國民小學")</f>
        <v>彰化縣溪湖鎮湖北國民小學</v>
      </c>
      <c r="F2706" s="14" t="str">
        <f>IFERROR(__xludf.DUMMYFUNCTION("""COMPUTED_VALUE"""),"六年級")</f>
        <v>六年級</v>
      </c>
      <c r="G2706" s="14" t="str">
        <f>IFERROR(__xludf.DUMMYFUNCTION("""COMPUTED_VALUE"""),"獎狀")</f>
        <v>獎狀</v>
      </c>
      <c r="H2706" s="8"/>
    </row>
    <row r="2707">
      <c r="A2707" s="18"/>
      <c r="B2707" s="14">
        <f>IFERROR(__xludf.DUMMYFUNCTION("""COMPUTED_VALUE"""),1116114.0)</f>
        <v>1116114</v>
      </c>
      <c r="C2707" s="14" t="str">
        <f>IFERROR(__xludf.DUMMYFUNCTION("""COMPUTED_VALUE"""),"張宸秝")</f>
        <v>張宸秝</v>
      </c>
      <c r="D2707" s="16" t="str">
        <f>IFERROR(__xludf.DUMMYFUNCTION("""COMPUTED_VALUE"""),"wen*****0410@mail.edu.tw")</f>
        <v>wen*****0410@mail.edu.tw</v>
      </c>
      <c r="E2707" s="17" t="str">
        <f>IFERROR(__xludf.DUMMYFUNCTION("""COMPUTED_VALUE"""),"彰化縣溪湖鎮湖東國民小學")</f>
        <v>彰化縣溪湖鎮湖東國民小學</v>
      </c>
      <c r="F2707" s="14" t="str">
        <f>IFERROR(__xludf.DUMMYFUNCTION("""COMPUTED_VALUE"""),"三年級")</f>
        <v>三年級</v>
      </c>
      <c r="G2707" s="14" t="str">
        <f>IFERROR(__xludf.DUMMYFUNCTION("""COMPUTED_VALUE"""),"獎狀")</f>
        <v>獎狀</v>
      </c>
      <c r="H2707" s="8"/>
    </row>
    <row r="2708">
      <c r="A2708" s="18"/>
      <c r="B2708" s="14">
        <f>IFERROR(__xludf.DUMMYFUNCTION("""COMPUTED_VALUE"""),1006602.0)</f>
        <v>1006602</v>
      </c>
      <c r="C2708" s="14" t="str">
        <f>IFERROR(__xludf.DUMMYFUNCTION("""COMPUTED_VALUE"""),"張家芸")</f>
        <v>張家芸</v>
      </c>
      <c r="D2708" s="16" t="str">
        <f>IFERROR(__xludf.DUMMYFUNCTION("""COMPUTED_VALUE"""),"man*****110@mail.edu.tw")</f>
        <v>man*****110@mail.edu.tw</v>
      </c>
      <c r="E2708" s="17" t="str">
        <f>IFERROR(__xludf.DUMMYFUNCTION("""COMPUTED_VALUE"""),"彰化縣溪湖鎮湖東國民小學")</f>
        <v>彰化縣溪湖鎮湖東國民小學</v>
      </c>
      <c r="F2708" s="14" t="str">
        <f>IFERROR(__xludf.DUMMYFUNCTION("""COMPUTED_VALUE"""),"五年級")</f>
        <v>五年級</v>
      </c>
      <c r="G2708" s="14" t="str">
        <f>IFERROR(__xludf.DUMMYFUNCTION("""COMPUTED_VALUE"""),"獎狀")</f>
        <v>獎狀</v>
      </c>
      <c r="H2708" s="8"/>
    </row>
    <row r="2709">
      <c r="A2709" s="18"/>
      <c r="B2709" s="14">
        <f>IFERROR(__xludf.DUMMYFUNCTION("""COMPUTED_VALUE"""),1094326.0)</f>
        <v>1094326</v>
      </c>
      <c r="C2709" s="14" t="str">
        <f>IFERROR(__xludf.DUMMYFUNCTION("""COMPUTED_VALUE"""),"陳彥明")</f>
        <v>陳彥明</v>
      </c>
      <c r="D2709" s="16" t="str">
        <f>IFERROR(__xludf.DUMMYFUNCTION("""COMPUTED_VALUE"""),"mte*****1@chc.edu.tw")</f>
        <v>mte*****1@chc.edu.tw</v>
      </c>
      <c r="E2709" s="17" t="str">
        <f>IFERROR(__xludf.DUMMYFUNCTION("""COMPUTED_VALUE"""),"彰化縣溪湖鎮媽厝國民小學")</f>
        <v>彰化縣溪湖鎮媽厝國民小學</v>
      </c>
      <c r="F2709" s="14" t="str">
        <f>IFERROR(__xludf.DUMMYFUNCTION("""COMPUTED_VALUE"""),"三年級")</f>
        <v>三年級</v>
      </c>
      <c r="G2709" s="14" t="str">
        <f>IFERROR(__xludf.DUMMYFUNCTION("""COMPUTED_VALUE"""),"獎狀")</f>
        <v>獎狀</v>
      </c>
      <c r="H2709" s="8"/>
    </row>
    <row r="2710">
      <c r="A2710" s="18"/>
      <c r="B2710" s="14">
        <f>IFERROR(__xludf.DUMMYFUNCTION("""COMPUTED_VALUE"""),825955.0)</f>
        <v>825955</v>
      </c>
      <c r="C2710" s="14" t="str">
        <f>IFERROR(__xludf.DUMMYFUNCTION("""COMPUTED_VALUE"""),"洪詣翔")</f>
        <v>洪詣翔</v>
      </c>
      <c r="D2710" s="16" t="str">
        <f>IFERROR(__xludf.DUMMYFUNCTION("""COMPUTED_VALUE"""),"mte*****3@mail.edu.tw")</f>
        <v>mte*****3@mail.edu.tw</v>
      </c>
      <c r="E2710" s="17" t="str">
        <f>IFERROR(__xludf.DUMMYFUNCTION("""COMPUTED_VALUE"""),"彰化縣溪湖鎮媽厝國民小學")</f>
        <v>彰化縣溪湖鎮媽厝國民小學</v>
      </c>
      <c r="F2710" s="14" t="str">
        <f>IFERROR(__xludf.DUMMYFUNCTION("""COMPUTED_VALUE"""),"五年級")</f>
        <v>五年級</v>
      </c>
      <c r="G2710" s="14" t="str">
        <f>IFERROR(__xludf.DUMMYFUNCTION("""COMPUTED_VALUE"""),"●小禮物")</f>
        <v>●小禮物</v>
      </c>
      <c r="H2710" s="8"/>
    </row>
    <row r="2711">
      <c r="A2711" s="18"/>
      <c r="B2711" s="14">
        <f>IFERROR(__xludf.DUMMYFUNCTION("""COMPUTED_VALUE"""),841196.0)</f>
        <v>841196</v>
      </c>
      <c r="C2711" s="14" t="str">
        <f>IFERROR(__xludf.DUMMYFUNCTION("""COMPUTED_VALUE"""),"陳宥甫")</f>
        <v>陳宥甫</v>
      </c>
      <c r="D2711" s="16" t="str">
        <f>IFERROR(__xludf.DUMMYFUNCTION("""COMPUTED_VALUE"""),"mte*****1@mail.edu.tw")</f>
        <v>mte*****1@mail.edu.tw</v>
      </c>
      <c r="E2711" s="17" t="str">
        <f>IFERROR(__xludf.DUMMYFUNCTION("""COMPUTED_VALUE"""),"彰化縣溪湖鎮媽厝國民小學")</f>
        <v>彰化縣溪湖鎮媽厝國民小學</v>
      </c>
      <c r="F2711" s="14" t="str">
        <f>IFERROR(__xludf.DUMMYFUNCTION("""COMPUTED_VALUE"""),"五年級")</f>
        <v>五年級</v>
      </c>
      <c r="G2711" s="14" t="str">
        <f>IFERROR(__xludf.DUMMYFUNCTION("""COMPUTED_VALUE"""),"●小禮物")</f>
        <v>●小禮物</v>
      </c>
      <c r="H2711" s="8"/>
    </row>
    <row r="2712">
      <c r="A2712" s="18"/>
      <c r="B2712" s="14">
        <f>IFERROR(__xludf.DUMMYFUNCTION("""COMPUTED_VALUE"""),886192.0)</f>
        <v>886192</v>
      </c>
      <c r="C2712" s="14" t="str">
        <f>IFERROR(__xludf.DUMMYFUNCTION("""COMPUTED_VALUE"""),"陳昱臻")</f>
        <v>陳昱臻</v>
      </c>
      <c r="D2712" s="16" t="str">
        <f>IFERROR(__xludf.DUMMYFUNCTION("""COMPUTED_VALUE"""),"mte*****6@mail.edu.tw")</f>
        <v>mte*****6@mail.edu.tw</v>
      </c>
      <c r="E2712" s="17" t="str">
        <f>IFERROR(__xludf.DUMMYFUNCTION("""COMPUTED_VALUE"""),"彰化縣溪湖鎮媽厝國民小學")</f>
        <v>彰化縣溪湖鎮媽厝國民小學</v>
      </c>
      <c r="F2712" s="14" t="str">
        <f>IFERROR(__xludf.DUMMYFUNCTION("""COMPUTED_VALUE"""),"五年級")</f>
        <v>五年級</v>
      </c>
      <c r="G2712" s="14" t="str">
        <f>IFERROR(__xludf.DUMMYFUNCTION("""COMPUTED_VALUE"""),"●小禮物")</f>
        <v>●小禮物</v>
      </c>
      <c r="H2712" s="8"/>
    </row>
    <row r="2713">
      <c r="A2713" s="18"/>
      <c r="B2713" s="14">
        <f>IFERROR(__xludf.DUMMYFUNCTION("""COMPUTED_VALUE"""),825944.0)</f>
        <v>825944</v>
      </c>
      <c r="C2713" s="14" t="str">
        <f>IFERROR(__xludf.DUMMYFUNCTION("""COMPUTED_VALUE"""),"陳啟豪")</f>
        <v>陳啟豪</v>
      </c>
      <c r="D2713" s="16" t="str">
        <f>IFERROR(__xludf.DUMMYFUNCTION("""COMPUTED_VALUE"""),"tun*****10720@mail.edu.tw")</f>
        <v>tun*****10720@mail.edu.tw</v>
      </c>
      <c r="E2713" s="17" t="str">
        <f>IFERROR(__xludf.DUMMYFUNCTION("""COMPUTED_VALUE"""),"彰化縣溪湖鎮媽厝國民小學")</f>
        <v>彰化縣溪湖鎮媽厝國民小學</v>
      </c>
      <c r="F2713" s="14" t="str">
        <f>IFERROR(__xludf.DUMMYFUNCTION("""COMPUTED_VALUE"""),"五年級")</f>
        <v>五年級</v>
      </c>
      <c r="G2713" s="14" t="str">
        <f>IFERROR(__xludf.DUMMYFUNCTION("""COMPUTED_VALUE"""),"●小禮物")</f>
        <v>●小禮物</v>
      </c>
      <c r="H2713" s="8"/>
    </row>
    <row r="2714">
      <c r="A2714" s="18"/>
      <c r="B2714" s="14">
        <f>IFERROR(__xludf.DUMMYFUNCTION("""COMPUTED_VALUE"""),950585.0)</f>
        <v>950585</v>
      </c>
      <c r="C2714" s="14" t="str">
        <f>IFERROR(__xludf.DUMMYFUNCTION("""COMPUTED_VALUE"""),"曾鈺珊")</f>
        <v>曾鈺珊</v>
      </c>
      <c r="D2714" s="16" t="str">
        <f>IFERROR(__xludf.DUMMYFUNCTION("""COMPUTED_VALUE"""),"mte*****5@mail.edu.tw")</f>
        <v>mte*****5@mail.edu.tw</v>
      </c>
      <c r="E2714" s="17" t="str">
        <f>IFERROR(__xludf.DUMMYFUNCTION("""COMPUTED_VALUE"""),"彰化縣溪湖鎮媽厝國民小學")</f>
        <v>彰化縣溪湖鎮媽厝國民小學</v>
      </c>
      <c r="F2714" s="14" t="str">
        <f>IFERROR(__xludf.DUMMYFUNCTION("""COMPUTED_VALUE"""),"五年級")</f>
        <v>五年級</v>
      </c>
      <c r="G2714" s="14" t="str">
        <f>IFERROR(__xludf.DUMMYFUNCTION("""COMPUTED_VALUE"""),"●小禮物")</f>
        <v>●小禮物</v>
      </c>
      <c r="H2714" s="8"/>
    </row>
    <row r="2715">
      <c r="A2715" s="18"/>
      <c r="B2715" s="14">
        <f>IFERROR(__xludf.DUMMYFUNCTION("""COMPUTED_VALUE"""),950617.0)</f>
        <v>950617</v>
      </c>
      <c r="C2715" s="14" t="str">
        <f>IFERROR(__xludf.DUMMYFUNCTION("""COMPUTED_VALUE"""),"江丞茵")</f>
        <v>江丞茵</v>
      </c>
      <c r="D2715" s="16" t="str">
        <f>IFERROR(__xludf.DUMMYFUNCTION("""COMPUTED_VALUE"""),"mte*****0@mail.edu.tw")</f>
        <v>mte*****0@mail.edu.tw</v>
      </c>
      <c r="E2715" s="17" t="str">
        <f>IFERROR(__xludf.DUMMYFUNCTION("""COMPUTED_VALUE"""),"彰化縣溪湖鎮媽厝國民小學")</f>
        <v>彰化縣溪湖鎮媽厝國民小學</v>
      </c>
      <c r="F2715" s="14" t="str">
        <f>IFERROR(__xludf.DUMMYFUNCTION("""COMPUTED_VALUE"""),"五年級")</f>
        <v>五年級</v>
      </c>
      <c r="G2715" s="14" t="str">
        <f>IFERROR(__xludf.DUMMYFUNCTION("""COMPUTED_VALUE"""),"獎狀")</f>
        <v>獎狀</v>
      </c>
      <c r="H2715" s="8"/>
    </row>
    <row r="2716">
      <c r="A2716" s="18"/>
      <c r="B2716" s="14">
        <f>IFERROR(__xludf.DUMMYFUNCTION("""COMPUTED_VALUE"""),950517.0)</f>
        <v>950517</v>
      </c>
      <c r="C2716" s="14" t="str">
        <f>IFERROR(__xludf.DUMMYFUNCTION("""COMPUTED_VALUE"""),"張鈞凱")</f>
        <v>張鈞凱</v>
      </c>
      <c r="D2716" s="16" t="str">
        <f>IFERROR(__xludf.DUMMYFUNCTION("""COMPUTED_VALUE"""),"mte*****8@mail.edu.tw")</f>
        <v>mte*****8@mail.edu.tw</v>
      </c>
      <c r="E2716" s="17" t="str">
        <f>IFERROR(__xludf.DUMMYFUNCTION("""COMPUTED_VALUE"""),"彰化縣溪湖鎮媽厝國民小學")</f>
        <v>彰化縣溪湖鎮媽厝國民小學</v>
      </c>
      <c r="F2716" s="14" t="str">
        <f>IFERROR(__xludf.DUMMYFUNCTION("""COMPUTED_VALUE"""),"五年級")</f>
        <v>五年級</v>
      </c>
      <c r="G2716" s="14" t="str">
        <f>IFERROR(__xludf.DUMMYFUNCTION("""COMPUTED_VALUE"""),"獎狀")</f>
        <v>獎狀</v>
      </c>
      <c r="H2716" s="8"/>
    </row>
    <row r="2717">
      <c r="A2717" s="18"/>
      <c r="B2717" s="14">
        <f>IFERROR(__xludf.DUMMYFUNCTION("""COMPUTED_VALUE"""),888949.0)</f>
        <v>888949</v>
      </c>
      <c r="C2717" s="14" t="str">
        <f>IFERROR(__xludf.DUMMYFUNCTION("""COMPUTED_VALUE"""),"陳巧妍")</f>
        <v>陳巧妍</v>
      </c>
      <c r="D2717" s="16" t="str">
        <f>IFERROR(__xludf.DUMMYFUNCTION("""COMPUTED_VALUE"""),"mte*****1@mail.edu.tw")</f>
        <v>mte*****1@mail.edu.tw</v>
      </c>
      <c r="E2717" s="17" t="str">
        <f>IFERROR(__xludf.DUMMYFUNCTION("""COMPUTED_VALUE"""),"彰化縣溪湖鎮媽厝國民小學")</f>
        <v>彰化縣溪湖鎮媽厝國民小學</v>
      </c>
      <c r="F2717" s="14" t="str">
        <f>IFERROR(__xludf.DUMMYFUNCTION("""COMPUTED_VALUE"""),"五年級")</f>
        <v>五年級</v>
      </c>
      <c r="G2717" s="14" t="str">
        <f>IFERROR(__xludf.DUMMYFUNCTION("""COMPUTED_VALUE"""),"獎狀")</f>
        <v>獎狀</v>
      </c>
      <c r="H2717" s="8"/>
    </row>
    <row r="2718">
      <c r="A2718" s="18"/>
      <c r="B2718" s="14">
        <f>IFERROR(__xludf.DUMMYFUNCTION("""COMPUTED_VALUE"""),938146.0)</f>
        <v>938146</v>
      </c>
      <c r="C2718" s="14" t="str">
        <f>IFERROR(__xludf.DUMMYFUNCTION("""COMPUTED_VALUE"""),"陳聖源")</f>
        <v>陳聖源</v>
      </c>
      <c r="D2718" s="16" t="str">
        <f>IFERROR(__xludf.DUMMYFUNCTION("""COMPUTED_VALUE"""),"mte*****7@mail.edu.tw")</f>
        <v>mte*****7@mail.edu.tw</v>
      </c>
      <c r="E2718" s="17" t="str">
        <f>IFERROR(__xludf.DUMMYFUNCTION("""COMPUTED_VALUE"""),"彰化縣溪湖鎮媽厝國民小學")</f>
        <v>彰化縣溪湖鎮媽厝國民小學</v>
      </c>
      <c r="F2718" s="14" t="str">
        <f>IFERROR(__xludf.DUMMYFUNCTION("""COMPUTED_VALUE"""),"五年級")</f>
        <v>五年級</v>
      </c>
      <c r="G2718" s="14" t="str">
        <f>IFERROR(__xludf.DUMMYFUNCTION("""COMPUTED_VALUE"""),"獎狀")</f>
        <v>獎狀</v>
      </c>
      <c r="H2718" s="8"/>
    </row>
    <row r="2719">
      <c r="A2719" s="18"/>
      <c r="B2719" s="14">
        <f>IFERROR(__xludf.DUMMYFUNCTION("""COMPUTED_VALUE"""),950579.0)</f>
        <v>950579</v>
      </c>
      <c r="C2719" s="14" t="str">
        <f>IFERROR(__xludf.DUMMYFUNCTION("""COMPUTED_VALUE"""),"葉靖筠")</f>
        <v>葉靖筠</v>
      </c>
      <c r="D2719" s="16" t="str">
        <f>IFERROR(__xludf.DUMMYFUNCTION("""COMPUTED_VALUE"""),"mte*****4@mail.edu.tw")</f>
        <v>mte*****4@mail.edu.tw</v>
      </c>
      <c r="E2719" s="17" t="str">
        <f>IFERROR(__xludf.DUMMYFUNCTION("""COMPUTED_VALUE"""),"彰化縣溪湖鎮媽厝國民小學")</f>
        <v>彰化縣溪湖鎮媽厝國民小學</v>
      </c>
      <c r="F2719" s="14" t="str">
        <f>IFERROR(__xludf.DUMMYFUNCTION("""COMPUTED_VALUE"""),"五年級")</f>
        <v>五年級</v>
      </c>
      <c r="G2719" s="14" t="str">
        <f>IFERROR(__xludf.DUMMYFUNCTION("""COMPUTED_VALUE"""),"獎狀")</f>
        <v>獎狀</v>
      </c>
      <c r="H2719" s="8"/>
    </row>
    <row r="2720">
      <c r="A2720" s="18"/>
      <c r="B2720" s="14">
        <f>IFERROR(__xludf.DUMMYFUNCTION("""COMPUTED_VALUE"""),583302.0)</f>
        <v>583302</v>
      </c>
      <c r="C2720" s="14" t="str">
        <f>IFERROR(__xludf.DUMMYFUNCTION("""COMPUTED_VALUE"""),"吳崇劭")</f>
        <v>吳崇劭</v>
      </c>
      <c r="D2720" s="16" t="str">
        <f>IFERROR(__xludf.DUMMYFUNCTION("""COMPUTED_VALUE"""),"chc*****@mail.edu.tw")</f>
        <v>chc*****@mail.edu.tw</v>
      </c>
      <c r="E2720" s="17" t="str">
        <f>IFERROR(__xludf.DUMMYFUNCTION("""COMPUTED_VALUE"""),"彰化縣溪湖鎮媽厝國民小學")</f>
        <v>彰化縣溪湖鎮媽厝國民小學</v>
      </c>
      <c r="F2720" s="14" t="str">
        <f>IFERROR(__xludf.DUMMYFUNCTION("""COMPUTED_VALUE"""),"六年級")</f>
        <v>六年級</v>
      </c>
      <c r="G2720" s="14" t="str">
        <f>IFERROR(__xludf.DUMMYFUNCTION("""COMPUTED_VALUE"""),"●小禮物")</f>
        <v>●小禮物</v>
      </c>
      <c r="H2720" s="8"/>
    </row>
    <row r="2721">
      <c r="A2721" s="18"/>
      <c r="B2721" s="14">
        <f>IFERROR(__xludf.DUMMYFUNCTION("""COMPUTED_VALUE"""),583303.0)</f>
        <v>583303</v>
      </c>
      <c r="C2721" s="14" t="str">
        <f>IFERROR(__xludf.DUMMYFUNCTION("""COMPUTED_VALUE"""),"張筠函")</f>
        <v>張筠函</v>
      </c>
      <c r="D2721" s="16" t="str">
        <f>IFERROR(__xludf.DUMMYFUNCTION("""COMPUTED_VALUE"""),"chc*****@mail.edu.tw")</f>
        <v>chc*****@mail.edu.tw</v>
      </c>
      <c r="E2721" s="17" t="str">
        <f>IFERROR(__xludf.DUMMYFUNCTION("""COMPUTED_VALUE"""),"彰化縣溪湖鎮媽厝國民小學")</f>
        <v>彰化縣溪湖鎮媽厝國民小學</v>
      </c>
      <c r="F2721" s="14" t="str">
        <f>IFERROR(__xludf.DUMMYFUNCTION("""COMPUTED_VALUE"""),"六年級")</f>
        <v>六年級</v>
      </c>
      <c r="G2721" s="14" t="str">
        <f>IFERROR(__xludf.DUMMYFUNCTION("""COMPUTED_VALUE"""),"●小禮物")</f>
        <v>●小禮物</v>
      </c>
      <c r="H2721" s="8"/>
    </row>
    <row r="2722">
      <c r="A2722" s="18"/>
      <c r="B2722" s="14">
        <f>IFERROR(__xludf.DUMMYFUNCTION("""COMPUTED_VALUE"""),543847.0)</f>
        <v>543847</v>
      </c>
      <c r="C2722" s="14" t="str">
        <f>IFERROR(__xludf.DUMMYFUNCTION("""COMPUTED_VALUE"""),"陳品妤")</f>
        <v>陳品妤</v>
      </c>
      <c r="D2722" s="16" t="str">
        <f>IFERROR(__xludf.DUMMYFUNCTION("""COMPUTED_VALUE"""),"emm*****@mail.edu.tw")</f>
        <v>emm*****@mail.edu.tw</v>
      </c>
      <c r="E2722" s="17" t="str">
        <f>IFERROR(__xludf.DUMMYFUNCTION("""COMPUTED_VALUE"""),"彰化縣溪湖鎮媽厝國民小學")</f>
        <v>彰化縣溪湖鎮媽厝國民小學</v>
      </c>
      <c r="F2722" s="14" t="str">
        <f>IFERROR(__xludf.DUMMYFUNCTION("""COMPUTED_VALUE"""),"六年級")</f>
        <v>六年級</v>
      </c>
      <c r="G2722" s="14" t="str">
        <f>IFERROR(__xludf.DUMMYFUNCTION("""COMPUTED_VALUE"""),"●小禮物")</f>
        <v>●小禮物</v>
      </c>
      <c r="H2722" s="8"/>
    </row>
    <row r="2723">
      <c r="A2723" s="18"/>
      <c r="B2723" s="14">
        <f>IFERROR(__xludf.DUMMYFUNCTION("""COMPUTED_VALUE"""),825933.0)</f>
        <v>825933</v>
      </c>
      <c r="C2723" s="14" t="str">
        <f>IFERROR(__xludf.DUMMYFUNCTION("""COMPUTED_VALUE"""),"陳渝鈞")</f>
        <v>陳渝鈞</v>
      </c>
      <c r="D2723" s="16" t="str">
        <f>IFERROR(__xludf.DUMMYFUNCTION("""COMPUTED_VALUE"""),"chc*****@mail.edu.tw")</f>
        <v>chc*****@mail.edu.tw</v>
      </c>
      <c r="E2723" s="17" t="str">
        <f>IFERROR(__xludf.DUMMYFUNCTION("""COMPUTED_VALUE"""),"彰化縣溪湖鎮媽厝國民小學")</f>
        <v>彰化縣溪湖鎮媽厝國民小學</v>
      </c>
      <c r="F2723" s="14" t="str">
        <f>IFERROR(__xludf.DUMMYFUNCTION("""COMPUTED_VALUE"""),"六年級")</f>
        <v>六年級</v>
      </c>
      <c r="G2723" s="14" t="str">
        <f>IFERROR(__xludf.DUMMYFUNCTION("""COMPUTED_VALUE"""),"●小禮物")</f>
        <v>●小禮物</v>
      </c>
      <c r="H2723" s="8"/>
    </row>
    <row r="2724">
      <c r="A2724" s="18"/>
      <c r="B2724" s="14">
        <f>IFERROR(__xludf.DUMMYFUNCTION("""COMPUTED_VALUE"""),416817.0)</f>
        <v>416817</v>
      </c>
      <c r="C2724" s="14" t="str">
        <f>IFERROR(__xludf.DUMMYFUNCTION("""COMPUTED_VALUE"""),"陳禹潔")</f>
        <v>陳禹潔</v>
      </c>
      <c r="D2724" s="16" t="str">
        <f>IFERROR(__xludf.DUMMYFUNCTION("""COMPUTED_VALUE"""),"chc*****@mail.edu.tw")</f>
        <v>chc*****@mail.edu.tw</v>
      </c>
      <c r="E2724" s="17" t="str">
        <f>IFERROR(__xludf.DUMMYFUNCTION("""COMPUTED_VALUE"""),"彰化縣溪湖鎮媽厝國民小學")</f>
        <v>彰化縣溪湖鎮媽厝國民小學</v>
      </c>
      <c r="F2724" s="14" t="str">
        <f>IFERROR(__xludf.DUMMYFUNCTION("""COMPUTED_VALUE"""),"六年級")</f>
        <v>六年級</v>
      </c>
      <c r="G2724" s="14" t="str">
        <f>IFERROR(__xludf.DUMMYFUNCTION("""COMPUTED_VALUE"""),"獎狀")</f>
        <v>獎狀</v>
      </c>
      <c r="H2724" s="8"/>
    </row>
    <row r="2725">
      <c r="A2725" s="18"/>
      <c r="B2725" s="14">
        <f>IFERROR(__xludf.DUMMYFUNCTION("""COMPUTED_VALUE"""),583301.0)</f>
        <v>583301</v>
      </c>
      <c r="C2725" s="14" t="str">
        <f>IFERROR(__xludf.DUMMYFUNCTION("""COMPUTED_VALUE"""),"陳綵希")</f>
        <v>陳綵希</v>
      </c>
      <c r="D2725" s="16" t="str">
        <f>IFERROR(__xludf.DUMMYFUNCTION("""COMPUTED_VALUE"""),"chc*****@mail.edu.tw")</f>
        <v>chc*****@mail.edu.tw</v>
      </c>
      <c r="E2725" s="17" t="str">
        <f>IFERROR(__xludf.DUMMYFUNCTION("""COMPUTED_VALUE"""),"彰化縣溪湖鎮媽厝國民小學")</f>
        <v>彰化縣溪湖鎮媽厝國民小學</v>
      </c>
      <c r="F2725" s="14" t="str">
        <f>IFERROR(__xludf.DUMMYFUNCTION("""COMPUTED_VALUE"""),"六年級")</f>
        <v>六年級</v>
      </c>
      <c r="G2725" s="14" t="str">
        <f>IFERROR(__xludf.DUMMYFUNCTION("""COMPUTED_VALUE"""),"獎狀")</f>
        <v>獎狀</v>
      </c>
      <c r="H2725" s="8"/>
    </row>
    <row r="2726">
      <c r="A2726" s="18"/>
      <c r="B2726" s="14">
        <f>IFERROR(__xludf.DUMMYFUNCTION("""COMPUTED_VALUE"""),1186497.0)</f>
        <v>1186497</v>
      </c>
      <c r="C2726" s="14" t="str">
        <f>IFERROR(__xludf.DUMMYFUNCTION("""COMPUTED_VALUE"""),"黃榆婷")</f>
        <v>黃榆婷</v>
      </c>
      <c r="D2726" s="16" t="str">
        <f>IFERROR(__xludf.DUMMYFUNCTION("""COMPUTED_VALUE"""),"lin*****21@mail.edu.tw")</f>
        <v>lin*****21@mail.edu.tw</v>
      </c>
      <c r="E2726" s="17" t="str">
        <f>IFERROR(__xludf.DUMMYFUNCTION("""COMPUTED_VALUE"""),"彰化縣大村鄉大村國民小學")</f>
        <v>彰化縣大村鄉大村國民小學</v>
      </c>
      <c r="F2726" s="14" t="str">
        <f>IFERROR(__xludf.DUMMYFUNCTION("""COMPUTED_VALUE"""),"三年級")</f>
        <v>三年級</v>
      </c>
      <c r="G2726" s="14" t="str">
        <f>IFERROR(__xludf.DUMMYFUNCTION("""COMPUTED_VALUE"""),"獎狀")</f>
        <v>獎狀</v>
      </c>
      <c r="H2726" s="8"/>
    </row>
    <row r="2727">
      <c r="A2727" s="18"/>
      <c r="B2727" s="14">
        <f>IFERROR(__xludf.DUMMYFUNCTION("""COMPUTED_VALUE"""),1093068.0)</f>
        <v>1093068</v>
      </c>
      <c r="C2727" s="14" t="str">
        <f>IFERROR(__xludf.DUMMYFUNCTION("""COMPUTED_VALUE"""),"黃裕勝")</f>
        <v>黃裕勝</v>
      </c>
      <c r="D2727" s="16" t="str">
        <f>IFERROR(__xludf.DUMMYFUNCTION("""COMPUTED_VALUE"""),"han*****05@mail.edu.tw")</f>
        <v>han*****05@mail.edu.tw</v>
      </c>
      <c r="E2727" s="17" t="str">
        <f>IFERROR(__xludf.DUMMYFUNCTION("""COMPUTED_VALUE"""),"彰化縣大村鄉大村國民小學")</f>
        <v>彰化縣大村鄉大村國民小學</v>
      </c>
      <c r="F2727" s="14" t="str">
        <f>IFERROR(__xludf.DUMMYFUNCTION("""COMPUTED_VALUE"""),"四年級")</f>
        <v>四年級</v>
      </c>
      <c r="G2727" s="14" t="str">
        <f>IFERROR(__xludf.DUMMYFUNCTION("""COMPUTED_VALUE"""),"●小禮物")</f>
        <v>●小禮物</v>
      </c>
      <c r="H2727" s="8"/>
    </row>
    <row r="2728">
      <c r="A2728" s="18"/>
      <c r="B2728" s="14">
        <f>IFERROR(__xludf.DUMMYFUNCTION("""COMPUTED_VALUE"""),582196.0)</f>
        <v>582196</v>
      </c>
      <c r="C2728" s="14" t="str">
        <f>IFERROR(__xludf.DUMMYFUNCTION("""COMPUTED_VALUE"""),"范子謙")</f>
        <v>范子謙</v>
      </c>
      <c r="D2728" s="16" t="str">
        <f>IFERROR(__xludf.DUMMYFUNCTION("""COMPUTED_VALUE"""),"wde*****7@mail.edu.tw")</f>
        <v>wde*****7@mail.edu.tw</v>
      </c>
      <c r="E2728" s="17" t="str">
        <f>IFERROR(__xludf.DUMMYFUNCTION("""COMPUTED_VALUE"""),"彰化縣埔鹽鄉南港國民小學")</f>
        <v>彰化縣埔鹽鄉南港國民小學</v>
      </c>
      <c r="F2728" s="14" t="str">
        <f>IFERROR(__xludf.DUMMYFUNCTION("""COMPUTED_VALUE"""),"五年級")</f>
        <v>五年級</v>
      </c>
      <c r="G2728" s="14" t="str">
        <f>IFERROR(__xludf.DUMMYFUNCTION("""COMPUTED_VALUE"""),"獎狀")</f>
        <v>獎狀</v>
      </c>
      <c r="H2728" s="8"/>
    </row>
    <row r="2729">
      <c r="A2729" s="18"/>
      <c r="B2729" s="14">
        <f>IFERROR(__xludf.DUMMYFUNCTION("""COMPUTED_VALUE"""),1118828.0)</f>
        <v>1118828</v>
      </c>
      <c r="C2729" s="14" t="str">
        <f>IFERROR(__xludf.DUMMYFUNCTION("""COMPUTED_VALUE"""),"王奕甯")</f>
        <v>王奕甯</v>
      </c>
      <c r="D2729" s="16" t="str">
        <f>IFERROR(__xludf.DUMMYFUNCTION("""COMPUTED_VALUE"""),"tje*****24@mail.edu.tw")</f>
        <v>tje*****24@mail.edu.tw</v>
      </c>
      <c r="E2729" s="17" t="str">
        <f>IFERROR(__xludf.DUMMYFUNCTION("""COMPUTED_VALUE"""),"彰化縣田中鎮田中國民小學")</f>
        <v>彰化縣田中鎮田中國民小學</v>
      </c>
      <c r="F2729" s="14" t="str">
        <f>IFERROR(__xludf.DUMMYFUNCTION("""COMPUTED_VALUE"""),"四年級")</f>
        <v>四年級</v>
      </c>
      <c r="G2729" s="14" t="str">
        <f>IFERROR(__xludf.DUMMYFUNCTION("""COMPUTED_VALUE"""),"獎狀")</f>
        <v>獎狀</v>
      </c>
      <c r="H2729" s="8"/>
    </row>
    <row r="2730">
      <c r="A2730" s="18"/>
      <c r="B2730" s="14">
        <f>IFERROR(__xludf.DUMMYFUNCTION("""COMPUTED_VALUE"""),1122266.0)</f>
        <v>1122266</v>
      </c>
      <c r="C2730" s="14" t="str">
        <f>IFERROR(__xludf.DUMMYFUNCTION("""COMPUTED_VALUE"""),"許奇春")</f>
        <v>許奇春</v>
      </c>
      <c r="D2730" s="16" t="str">
        <f>IFERROR(__xludf.DUMMYFUNCTION("""COMPUTED_VALUE"""),"tje*****36@mail.edu.tw")</f>
        <v>tje*****36@mail.edu.tw</v>
      </c>
      <c r="E2730" s="17" t="str">
        <f>IFERROR(__xludf.DUMMYFUNCTION("""COMPUTED_VALUE"""),"彰化縣田中鎮田中國民小學")</f>
        <v>彰化縣田中鎮田中國民小學</v>
      </c>
      <c r="F2730" s="14" t="str">
        <f>IFERROR(__xludf.DUMMYFUNCTION("""COMPUTED_VALUE"""),"五年級")</f>
        <v>五年級</v>
      </c>
      <c r="G2730" s="14" t="str">
        <f>IFERROR(__xludf.DUMMYFUNCTION("""COMPUTED_VALUE"""),"●小禮物")</f>
        <v>●小禮物</v>
      </c>
      <c r="H2730" s="8"/>
    </row>
    <row r="2731">
      <c r="A2731" s="18"/>
      <c r="B2731" s="14">
        <f>IFERROR(__xludf.DUMMYFUNCTION("""COMPUTED_VALUE"""),902472.0)</f>
        <v>902472</v>
      </c>
      <c r="C2731" s="14" t="str">
        <f>IFERROR(__xludf.DUMMYFUNCTION("""COMPUTED_VALUE"""),"王又晞")</f>
        <v>王又晞</v>
      </c>
      <c r="D2731" s="16" t="str">
        <f>IFERROR(__xludf.DUMMYFUNCTION("""COMPUTED_VALUE"""),"tje*****19@mail.edu.tw")</f>
        <v>tje*****19@mail.edu.tw</v>
      </c>
      <c r="E2731" s="17" t="str">
        <f>IFERROR(__xludf.DUMMYFUNCTION("""COMPUTED_VALUE"""),"彰化縣田中鎮田中國民小學")</f>
        <v>彰化縣田中鎮田中國民小學</v>
      </c>
      <c r="F2731" s="14" t="str">
        <f>IFERROR(__xludf.DUMMYFUNCTION("""COMPUTED_VALUE"""),"六年級")</f>
        <v>六年級</v>
      </c>
      <c r="G2731" s="14" t="str">
        <f>IFERROR(__xludf.DUMMYFUNCTION("""COMPUTED_VALUE"""),"獎狀")</f>
        <v>獎狀</v>
      </c>
      <c r="H2731" s="8"/>
    </row>
    <row r="2732">
      <c r="A2732" s="18"/>
      <c r="B2732" s="14">
        <f>IFERROR(__xludf.DUMMYFUNCTION("""COMPUTED_VALUE"""),1089947.0)</f>
        <v>1089947</v>
      </c>
      <c r="C2732" s="14" t="str">
        <f>IFERROR(__xludf.DUMMYFUNCTION("""COMPUTED_VALUE"""),"陳俐甄")</f>
        <v>陳俐甄</v>
      </c>
      <c r="D2732" s="16" t="str">
        <f>IFERROR(__xludf.DUMMYFUNCTION("""COMPUTED_VALUE"""),"a10*****@chc.edu.tw")</f>
        <v>a10*****@chc.edu.tw</v>
      </c>
      <c r="E2732" s="17" t="str">
        <f>IFERROR(__xludf.DUMMYFUNCTION("""COMPUTED_VALUE"""),"彰化縣田中鎮內安國民小學")</f>
        <v>彰化縣田中鎮內安國民小學</v>
      </c>
      <c r="F2732" s="14" t="str">
        <f>IFERROR(__xludf.DUMMYFUNCTION("""COMPUTED_VALUE"""),"五年級")</f>
        <v>五年級</v>
      </c>
      <c r="G2732" s="14" t="str">
        <f>IFERROR(__xludf.DUMMYFUNCTION("""COMPUTED_VALUE"""),"獎狀")</f>
        <v>獎狀</v>
      </c>
      <c r="H2732" s="8"/>
    </row>
    <row r="2733">
      <c r="A2733" s="18"/>
      <c r="B2733" s="14">
        <f>IFERROR(__xludf.DUMMYFUNCTION("""COMPUTED_VALUE"""),528129.0)</f>
        <v>528129</v>
      </c>
      <c r="C2733" s="14" t="str">
        <f>IFERROR(__xludf.DUMMYFUNCTION("""COMPUTED_VALUE"""),"江泳錡")</f>
        <v>江泳錡</v>
      </c>
      <c r="D2733" s="16" t="str">
        <f>IFERROR(__xludf.DUMMYFUNCTION("""COMPUTED_VALUE"""),"dss*****04@mail.edu.tw")</f>
        <v>dss*****04@mail.edu.tw</v>
      </c>
      <c r="E2733" s="17" t="str">
        <f>IFERROR(__xludf.DUMMYFUNCTION("""COMPUTED_VALUE"""),"彰化縣北斗鎮大新國民小學")</f>
        <v>彰化縣北斗鎮大新國民小學</v>
      </c>
      <c r="F2733" s="14" t="str">
        <f>IFERROR(__xludf.DUMMYFUNCTION("""COMPUTED_VALUE"""),"五年級")</f>
        <v>五年級</v>
      </c>
      <c r="G2733" s="14" t="str">
        <f>IFERROR(__xludf.DUMMYFUNCTION("""COMPUTED_VALUE"""),"●小禮物")</f>
        <v>●小禮物</v>
      </c>
      <c r="H2733" s="8"/>
    </row>
    <row r="2734">
      <c r="A2734" s="18"/>
      <c r="B2734" s="14">
        <f>IFERROR(__xludf.DUMMYFUNCTION("""COMPUTED_VALUE"""),1025570.0)</f>
        <v>1025570</v>
      </c>
      <c r="C2734" s="14" t="str">
        <f>IFERROR(__xludf.DUMMYFUNCTION("""COMPUTED_VALUE"""),"施荺絹")</f>
        <v>施荺絹</v>
      </c>
      <c r="D2734" s="16" t="str">
        <f>IFERROR(__xludf.DUMMYFUNCTION("""COMPUTED_VALUE"""),"chc*****061@mail.edu.tw")</f>
        <v>chc*****061@mail.edu.tw</v>
      </c>
      <c r="E2734" s="17" t="str">
        <f>IFERROR(__xludf.DUMMYFUNCTION("""COMPUTED_VALUE"""),"彰化縣北斗鎮螺青國民小學")</f>
        <v>彰化縣北斗鎮螺青國民小學</v>
      </c>
      <c r="F2734" s="14" t="str">
        <f>IFERROR(__xludf.DUMMYFUNCTION("""COMPUTED_VALUE"""),"五年級")</f>
        <v>五年級</v>
      </c>
      <c r="G2734" s="14" t="str">
        <f>IFERROR(__xludf.DUMMYFUNCTION("""COMPUTED_VALUE"""),"獎狀")</f>
        <v>獎狀</v>
      </c>
      <c r="H2734" s="8"/>
    </row>
    <row r="2735">
      <c r="A2735" s="18"/>
      <c r="B2735" s="14">
        <f>IFERROR(__xludf.DUMMYFUNCTION("""COMPUTED_VALUE"""),1030993.0)</f>
        <v>1030993</v>
      </c>
      <c r="C2735" s="14" t="str">
        <f>IFERROR(__xludf.DUMMYFUNCTION("""COMPUTED_VALUE"""),"林季涵")</f>
        <v>林季涵</v>
      </c>
      <c r="D2735" s="16" t="str">
        <f>IFERROR(__xludf.DUMMYFUNCTION("""COMPUTED_VALUE"""),"108*****@chc.edu.tw")</f>
        <v>108*****@chc.edu.tw</v>
      </c>
      <c r="E2735" s="17" t="str">
        <f>IFERROR(__xludf.DUMMYFUNCTION("""COMPUTED_VALUE"""),"彰化縣北斗鎮螺青國民小學")</f>
        <v>彰化縣北斗鎮螺青國民小學</v>
      </c>
      <c r="F2735" s="14" t="str">
        <f>IFERROR(__xludf.DUMMYFUNCTION("""COMPUTED_VALUE"""),"六年級")</f>
        <v>六年級</v>
      </c>
      <c r="G2735" s="14" t="str">
        <f>IFERROR(__xludf.DUMMYFUNCTION("""COMPUTED_VALUE"""),"●小禮物")</f>
        <v>●小禮物</v>
      </c>
      <c r="H2735" s="8"/>
    </row>
    <row r="2736">
      <c r="A2736" s="18"/>
      <c r="B2736" s="14">
        <f>IFERROR(__xludf.DUMMYFUNCTION("""COMPUTED_VALUE"""),1174754.0)</f>
        <v>1174754</v>
      </c>
      <c r="C2736" s="14" t="str">
        <f>IFERROR(__xludf.DUMMYFUNCTION("""COMPUTED_VALUE"""),"張哲瑜")</f>
        <v>張哲瑜</v>
      </c>
      <c r="D2736" s="16" t="str">
        <f>IFERROR(__xludf.DUMMYFUNCTION("""COMPUTED_VALUE"""),"twp*****62@mail.edu.tw")</f>
        <v>twp*****62@mail.edu.tw</v>
      </c>
      <c r="E2736" s="17" t="str">
        <f>IFERROR(__xludf.DUMMYFUNCTION("""COMPUTED_VALUE"""),"彰化縣田尾鄉田尾國民小學")</f>
        <v>彰化縣田尾鄉田尾國民小學</v>
      </c>
      <c r="F2736" s="14" t="str">
        <f>IFERROR(__xludf.DUMMYFUNCTION("""COMPUTED_VALUE"""),"四年級")</f>
        <v>四年級</v>
      </c>
      <c r="G2736" s="14" t="str">
        <f>IFERROR(__xludf.DUMMYFUNCTION("""COMPUTED_VALUE"""),"★禮券$500")</f>
        <v>★禮券$500</v>
      </c>
      <c r="H2736" s="8"/>
    </row>
    <row r="2737">
      <c r="A2737" s="18"/>
      <c r="B2737" s="14">
        <f>IFERROR(__xludf.DUMMYFUNCTION("""COMPUTED_VALUE"""),1174745.0)</f>
        <v>1174745</v>
      </c>
      <c r="C2737" s="14" t="str">
        <f>IFERROR(__xludf.DUMMYFUNCTION("""COMPUTED_VALUE"""),"張哲瑋")</f>
        <v>張哲瑋</v>
      </c>
      <c r="D2737" s="16" t="str">
        <f>IFERROR(__xludf.DUMMYFUNCTION("""COMPUTED_VALUE"""),"twp*****51@mail.edu.tw")</f>
        <v>twp*****51@mail.edu.tw</v>
      </c>
      <c r="E2737" s="17" t="str">
        <f>IFERROR(__xludf.DUMMYFUNCTION("""COMPUTED_VALUE"""),"彰化縣田尾鄉田尾國民小學")</f>
        <v>彰化縣田尾鄉田尾國民小學</v>
      </c>
      <c r="F2737" s="14" t="str">
        <f>IFERROR(__xludf.DUMMYFUNCTION("""COMPUTED_VALUE"""),"四年級")</f>
        <v>四年級</v>
      </c>
      <c r="G2737" s="14" t="str">
        <f>IFERROR(__xludf.DUMMYFUNCTION("""COMPUTED_VALUE"""),"獎狀")</f>
        <v>獎狀</v>
      </c>
      <c r="H2737" s="8"/>
    </row>
    <row r="2738">
      <c r="A2738" s="18"/>
      <c r="B2738" s="14">
        <f>IFERROR(__xludf.DUMMYFUNCTION("""COMPUTED_VALUE"""),590053.0)</f>
        <v>590053</v>
      </c>
      <c r="C2738" s="14" t="str">
        <f>IFERROR(__xludf.DUMMYFUNCTION("""COMPUTED_VALUE"""),"張芯語")</f>
        <v>張芯語</v>
      </c>
      <c r="D2738" s="16" t="str">
        <f>IFERROR(__xludf.DUMMYFUNCTION("""COMPUTED_VALUE"""),"can*****018@mail.edu.tw")</f>
        <v>can*****018@mail.edu.tw</v>
      </c>
      <c r="E2738" s="17" t="str">
        <f>IFERROR(__xludf.DUMMYFUNCTION("""COMPUTED_VALUE"""),"彰化縣埤頭鄉中和國民小學")</f>
        <v>彰化縣埤頭鄉中和國民小學</v>
      </c>
      <c r="F2738" s="14" t="str">
        <f>IFERROR(__xludf.DUMMYFUNCTION("""COMPUTED_VALUE"""),"六年級")</f>
        <v>六年級</v>
      </c>
      <c r="G2738" s="14" t="str">
        <f>IFERROR(__xludf.DUMMYFUNCTION("""COMPUTED_VALUE"""),"●小禮物")</f>
        <v>●小禮物</v>
      </c>
      <c r="H2738" s="8"/>
    </row>
    <row r="2739">
      <c r="A2739" s="18"/>
      <c r="B2739" s="14">
        <f>IFERROR(__xludf.DUMMYFUNCTION("""COMPUTED_VALUE"""),590038.0)</f>
        <v>590038</v>
      </c>
      <c r="C2739" s="14" t="str">
        <f>IFERROR(__xludf.DUMMYFUNCTION("""COMPUTED_VALUE"""),"張瑞宸")</f>
        <v>張瑞宸</v>
      </c>
      <c r="D2739" s="16" t="str">
        <f>IFERROR(__xludf.DUMMYFUNCTION("""COMPUTED_VALUE"""),"che*****3019@mail.edu.tw")</f>
        <v>che*****3019@mail.edu.tw</v>
      </c>
      <c r="E2739" s="17" t="str">
        <f>IFERROR(__xludf.DUMMYFUNCTION("""COMPUTED_VALUE"""),"彰化縣埤頭鄉中和國民小學")</f>
        <v>彰化縣埤頭鄉中和國民小學</v>
      </c>
      <c r="F2739" s="14" t="str">
        <f>IFERROR(__xludf.DUMMYFUNCTION("""COMPUTED_VALUE"""),"六年級")</f>
        <v>六年級</v>
      </c>
      <c r="G2739" s="14" t="str">
        <f>IFERROR(__xludf.DUMMYFUNCTION("""COMPUTED_VALUE"""),"●小禮物")</f>
        <v>●小禮物</v>
      </c>
      <c r="H2739" s="8"/>
    </row>
    <row r="2740">
      <c r="A2740" s="18"/>
      <c r="B2740" s="14">
        <f>IFERROR(__xludf.DUMMYFUNCTION("""COMPUTED_VALUE"""),590048.0)</f>
        <v>590048</v>
      </c>
      <c r="C2740" s="14" t="str">
        <f>IFERROR(__xludf.DUMMYFUNCTION("""COMPUTED_VALUE"""),"張懷方")</f>
        <v>張懷方</v>
      </c>
      <c r="D2740" s="16" t="str">
        <f>IFERROR(__xludf.DUMMYFUNCTION("""COMPUTED_VALUE"""),"che*****0127@mail.edu.tw")</f>
        <v>che*****0127@mail.edu.tw</v>
      </c>
      <c r="E2740" s="17" t="str">
        <f>IFERROR(__xludf.DUMMYFUNCTION("""COMPUTED_VALUE"""),"彰化縣埤頭鄉中和國民小學")</f>
        <v>彰化縣埤頭鄉中和國民小學</v>
      </c>
      <c r="F2740" s="14" t="str">
        <f>IFERROR(__xludf.DUMMYFUNCTION("""COMPUTED_VALUE"""),"六年級")</f>
        <v>六年級</v>
      </c>
      <c r="G2740" s="14" t="str">
        <f>IFERROR(__xludf.DUMMYFUNCTION("""COMPUTED_VALUE"""),"●小禮物")</f>
        <v>●小禮物</v>
      </c>
      <c r="H2740" s="8"/>
    </row>
    <row r="2741">
      <c r="A2741" s="18"/>
      <c r="B2741" s="14">
        <f>IFERROR(__xludf.DUMMYFUNCTION("""COMPUTED_VALUE"""),835805.0)</f>
        <v>835805</v>
      </c>
      <c r="C2741" s="14" t="str">
        <f>IFERROR(__xludf.DUMMYFUNCTION("""COMPUTED_VALUE"""),"黃牧凡")</f>
        <v>黃牧凡</v>
      </c>
      <c r="D2741" s="16" t="str">
        <f>IFERROR(__xludf.DUMMYFUNCTION("""COMPUTED_VALUE"""),"ona*****106@mail.edu.tw")</f>
        <v>ona*****106@mail.edu.tw</v>
      </c>
      <c r="E2741" s="17" t="str">
        <f>IFERROR(__xludf.DUMMYFUNCTION("""COMPUTED_VALUE"""),"彰化縣埤頭鄉中和國民小學")</f>
        <v>彰化縣埤頭鄉中和國民小學</v>
      </c>
      <c r="F2741" s="14" t="str">
        <f>IFERROR(__xludf.DUMMYFUNCTION("""COMPUTED_VALUE"""),"六年級")</f>
        <v>六年級</v>
      </c>
      <c r="G2741" s="14" t="str">
        <f>IFERROR(__xludf.DUMMYFUNCTION("""COMPUTED_VALUE"""),"●小禮物")</f>
        <v>●小禮物</v>
      </c>
      <c r="H2741" s="8"/>
    </row>
    <row r="2742">
      <c r="A2742" s="18"/>
      <c r="B2742" s="14">
        <f>IFERROR(__xludf.DUMMYFUNCTION("""COMPUTED_VALUE"""),1194568.0)</f>
        <v>1194568</v>
      </c>
      <c r="C2742" s="14" t="str">
        <f>IFERROR(__xludf.DUMMYFUNCTION("""COMPUTED_VALUE"""),"黃柏竣")</f>
        <v>黃柏竣</v>
      </c>
      <c r="D2742" s="16" t="str">
        <f>IFERROR(__xludf.DUMMYFUNCTION("""COMPUTED_VALUE"""),"chu*****ail.edu.tw")</f>
        <v>chu*****ail.edu.tw</v>
      </c>
      <c r="E2742" s="17" t="str">
        <f>IFERROR(__xludf.DUMMYFUNCTION("""COMPUTED_VALUE"""),"彰化縣埤頭鄉中和國民小學")</f>
        <v>彰化縣埤頭鄉中和國民小學</v>
      </c>
      <c r="F2742" s="14" t="str">
        <f>IFERROR(__xludf.DUMMYFUNCTION("""COMPUTED_VALUE"""),"六年級")</f>
        <v>六年級</v>
      </c>
      <c r="G2742" s="14" t="str">
        <f>IFERROR(__xludf.DUMMYFUNCTION("""COMPUTED_VALUE"""),"●小禮物")</f>
        <v>●小禮物</v>
      </c>
      <c r="H2742" s="8"/>
    </row>
    <row r="2743">
      <c r="A2743" s="18"/>
      <c r="B2743" s="14">
        <f>IFERROR(__xludf.DUMMYFUNCTION("""COMPUTED_VALUE"""),835807.0)</f>
        <v>835807</v>
      </c>
      <c r="C2743" s="14" t="str">
        <f>IFERROR(__xludf.DUMMYFUNCTION("""COMPUTED_VALUE"""),"劉映岑")</f>
        <v>劉映岑</v>
      </c>
      <c r="D2743" s="16" t="str">
        <f>IFERROR(__xludf.DUMMYFUNCTION("""COMPUTED_VALUE"""),"che*****0119@mail.edu.tw")</f>
        <v>che*****0119@mail.edu.tw</v>
      </c>
      <c r="E2743" s="17" t="str">
        <f>IFERROR(__xludf.DUMMYFUNCTION("""COMPUTED_VALUE"""),"彰化縣埤頭鄉中和國民小學")</f>
        <v>彰化縣埤頭鄉中和國民小學</v>
      </c>
      <c r="F2743" s="14" t="str">
        <f>IFERROR(__xludf.DUMMYFUNCTION("""COMPUTED_VALUE"""),"六年級")</f>
        <v>六年級</v>
      </c>
      <c r="G2743" s="14" t="str">
        <f>IFERROR(__xludf.DUMMYFUNCTION("""COMPUTED_VALUE"""),"●小禮物")</f>
        <v>●小禮物</v>
      </c>
      <c r="H2743" s="8"/>
    </row>
    <row r="2744">
      <c r="A2744" s="18"/>
      <c r="B2744" s="14">
        <f>IFERROR(__xludf.DUMMYFUNCTION("""COMPUTED_VALUE"""),1194569.0)</f>
        <v>1194569</v>
      </c>
      <c r="C2744" s="14" t="str">
        <f>IFERROR(__xludf.DUMMYFUNCTION("""COMPUTED_VALUE"""),"巫育汝")</f>
        <v>巫育汝</v>
      </c>
      <c r="D2744" s="16" t="str">
        <f>IFERROR(__xludf.DUMMYFUNCTION("""COMPUTED_VALUE"""),"che*****0115@mail.edu.tw")</f>
        <v>che*****0115@mail.edu.tw</v>
      </c>
      <c r="E2744" s="17" t="str">
        <f>IFERROR(__xludf.DUMMYFUNCTION("""COMPUTED_VALUE"""),"彰化縣埤頭鄉中和國民小學")</f>
        <v>彰化縣埤頭鄉中和國民小學</v>
      </c>
      <c r="F2744" s="14" t="str">
        <f>IFERROR(__xludf.DUMMYFUNCTION("""COMPUTED_VALUE"""),"六年級")</f>
        <v>六年級</v>
      </c>
      <c r="G2744" s="14" t="str">
        <f>IFERROR(__xludf.DUMMYFUNCTION("""COMPUTED_VALUE"""),"獎狀")</f>
        <v>獎狀</v>
      </c>
      <c r="H2744" s="8"/>
    </row>
    <row r="2745">
      <c r="A2745" s="18"/>
      <c r="B2745" s="14">
        <f>IFERROR(__xludf.DUMMYFUNCTION("""COMPUTED_VALUE"""),1194567.0)</f>
        <v>1194567</v>
      </c>
      <c r="C2745" s="14" t="str">
        <f>IFERROR(__xludf.DUMMYFUNCTION("""COMPUTED_VALUE"""),"張捷凱")</f>
        <v>張捷凱</v>
      </c>
      <c r="D2745" s="16" t="str">
        <f>IFERROR(__xludf.DUMMYFUNCTION("""COMPUTED_VALUE"""),"che*****0108@mail.edu.tw")</f>
        <v>che*****0108@mail.edu.tw</v>
      </c>
      <c r="E2745" s="17" t="str">
        <f>IFERROR(__xludf.DUMMYFUNCTION("""COMPUTED_VALUE"""),"彰化縣埤頭鄉中和國民小學")</f>
        <v>彰化縣埤頭鄉中和國民小學</v>
      </c>
      <c r="F2745" s="14" t="str">
        <f>IFERROR(__xludf.DUMMYFUNCTION("""COMPUTED_VALUE"""),"六年級")</f>
        <v>六年級</v>
      </c>
      <c r="G2745" s="14" t="str">
        <f>IFERROR(__xludf.DUMMYFUNCTION("""COMPUTED_VALUE"""),"獎狀")</f>
        <v>獎狀</v>
      </c>
      <c r="H2745" s="8"/>
    </row>
    <row r="2746">
      <c r="A2746" s="18"/>
      <c r="B2746" s="14">
        <f>IFERROR(__xludf.DUMMYFUNCTION("""COMPUTED_VALUE"""),1194557.0)</f>
        <v>1194557</v>
      </c>
      <c r="C2746" s="14" t="str">
        <f>IFERROR(__xludf.DUMMYFUNCTION("""COMPUTED_VALUE"""),"彭冠閔")</f>
        <v>彭冠閔</v>
      </c>
      <c r="D2746" s="16" t="str">
        <f>IFERROR(__xludf.DUMMYFUNCTION("""COMPUTED_VALUE"""),"che*****0101@mail.edu.tw")</f>
        <v>che*****0101@mail.edu.tw</v>
      </c>
      <c r="E2746" s="17" t="str">
        <f>IFERROR(__xludf.DUMMYFUNCTION("""COMPUTED_VALUE"""),"彰化縣埤頭鄉中和國民小學")</f>
        <v>彰化縣埤頭鄉中和國民小學</v>
      </c>
      <c r="F2746" s="14" t="str">
        <f>IFERROR(__xludf.DUMMYFUNCTION("""COMPUTED_VALUE"""),"六年級")</f>
        <v>六年級</v>
      </c>
      <c r="G2746" s="14" t="str">
        <f>IFERROR(__xludf.DUMMYFUNCTION("""COMPUTED_VALUE"""),"獎狀")</f>
        <v>獎狀</v>
      </c>
      <c r="H2746" s="8"/>
    </row>
    <row r="2747">
      <c r="A2747" s="18"/>
      <c r="B2747" s="14">
        <f>IFERROR(__xludf.DUMMYFUNCTION("""COMPUTED_VALUE"""),590050.0)</f>
        <v>590050</v>
      </c>
      <c r="C2747" s="14" t="str">
        <f>IFERROR(__xludf.DUMMYFUNCTION("""COMPUTED_VALUE"""),"曾宥茹")</f>
        <v>曾宥茹</v>
      </c>
      <c r="D2747" s="16" t="str">
        <f>IFERROR(__xludf.DUMMYFUNCTION("""COMPUTED_VALUE"""),"che*****0126@mail.edu.tw")</f>
        <v>che*****0126@mail.edu.tw</v>
      </c>
      <c r="E2747" s="17" t="str">
        <f>IFERROR(__xludf.DUMMYFUNCTION("""COMPUTED_VALUE"""),"彰化縣埤頭鄉中和國民小學")</f>
        <v>彰化縣埤頭鄉中和國民小學</v>
      </c>
      <c r="F2747" s="14" t="str">
        <f>IFERROR(__xludf.DUMMYFUNCTION("""COMPUTED_VALUE"""),"六年級")</f>
        <v>六年級</v>
      </c>
      <c r="G2747" s="14" t="str">
        <f>IFERROR(__xludf.DUMMYFUNCTION("""COMPUTED_VALUE"""),"獎狀")</f>
        <v>獎狀</v>
      </c>
      <c r="H2747" s="8"/>
    </row>
    <row r="2748">
      <c r="A2748" s="18"/>
      <c r="B2748" s="14">
        <f>IFERROR(__xludf.DUMMYFUNCTION("""COMPUTED_VALUE"""),835809.0)</f>
        <v>835809</v>
      </c>
      <c r="C2748" s="14" t="str">
        <f>IFERROR(__xludf.DUMMYFUNCTION("""COMPUTED_VALUE"""),"黃琦涵")</f>
        <v>黃琦涵</v>
      </c>
      <c r="D2748" s="16" t="str">
        <f>IFERROR(__xludf.DUMMYFUNCTION("""COMPUTED_VALUE"""),"che*****0125@mail.edu.tw")</f>
        <v>che*****0125@mail.edu.tw</v>
      </c>
      <c r="E2748" s="17" t="str">
        <f>IFERROR(__xludf.DUMMYFUNCTION("""COMPUTED_VALUE"""),"彰化縣埤頭鄉中和國民小學")</f>
        <v>彰化縣埤頭鄉中和國民小學</v>
      </c>
      <c r="F2748" s="14" t="str">
        <f>IFERROR(__xludf.DUMMYFUNCTION("""COMPUTED_VALUE"""),"六年級")</f>
        <v>六年級</v>
      </c>
      <c r="G2748" s="14" t="str">
        <f>IFERROR(__xludf.DUMMYFUNCTION("""COMPUTED_VALUE"""),"獎狀")</f>
        <v>獎狀</v>
      </c>
      <c r="H2748" s="8"/>
    </row>
    <row r="2749">
      <c r="A2749" s="18"/>
      <c r="B2749" s="14">
        <f>IFERROR(__xludf.DUMMYFUNCTION("""COMPUTED_VALUE"""),1194566.0)</f>
        <v>1194566</v>
      </c>
      <c r="C2749" s="14" t="str">
        <f>IFERROR(__xludf.DUMMYFUNCTION("""COMPUTED_VALUE"""),"楊釜娠")</f>
        <v>楊釜娠</v>
      </c>
      <c r="D2749" s="16" t="str">
        <f>IFERROR(__xludf.DUMMYFUNCTION("""COMPUTED_VALUE"""),"chc*****456@mail.edu.tw")</f>
        <v>chc*****456@mail.edu.tw</v>
      </c>
      <c r="E2749" s="17" t="str">
        <f>IFERROR(__xludf.DUMMYFUNCTION("""COMPUTED_VALUE"""),"彰化縣埤頭鄉中和國民小學")</f>
        <v>彰化縣埤頭鄉中和國民小學</v>
      </c>
      <c r="F2749" s="14" t="str">
        <f>IFERROR(__xludf.DUMMYFUNCTION("""COMPUTED_VALUE"""),"六年級")</f>
        <v>六年級</v>
      </c>
      <c r="G2749" s="14" t="str">
        <f>IFERROR(__xludf.DUMMYFUNCTION("""COMPUTED_VALUE"""),"獎狀")</f>
        <v>獎狀</v>
      </c>
      <c r="H2749" s="8"/>
    </row>
    <row r="2750">
      <c r="A2750" s="18"/>
      <c r="B2750" s="14">
        <f>IFERROR(__xludf.DUMMYFUNCTION("""COMPUTED_VALUE"""),1194570.0)</f>
        <v>1194570</v>
      </c>
      <c r="C2750" s="14" t="str">
        <f>IFERROR(__xludf.DUMMYFUNCTION("""COMPUTED_VALUE"""),"鄭浿妤")</f>
        <v>鄭浿妤</v>
      </c>
      <c r="D2750" s="16" t="str">
        <f>IFERROR(__xludf.DUMMYFUNCTION("""COMPUTED_VALUE"""),"che*****0116@mail.edu.tw")</f>
        <v>che*****0116@mail.edu.tw</v>
      </c>
      <c r="E2750" s="17" t="str">
        <f>IFERROR(__xludf.DUMMYFUNCTION("""COMPUTED_VALUE"""),"彰化縣埤頭鄉中和國民小學")</f>
        <v>彰化縣埤頭鄉中和國民小學</v>
      </c>
      <c r="F2750" s="14" t="str">
        <f>IFERROR(__xludf.DUMMYFUNCTION("""COMPUTED_VALUE"""),"六年級")</f>
        <v>六年級</v>
      </c>
      <c r="G2750" s="14" t="str">
        <f>IFERROR(__xludf.DUMMYFUNCTION("""COMPUTED_VALUE"""),"獎狀")</f>
        <v>獎狀</v>
      </c>
      <c r="H2750" s="8"/>
    </row>
    <row r="2751">
      <c r="A2751" s="18"/>
      <c r="B2751" s="14">
        <f>IFERROR(__xludf.DUMMYFUNCTION("""COMPUTED_VALUE"""),835804.0)</f>
        <v>835804</v>
      </c>
      <c r="C2751" s="14" t="str">
        <f>IFERROR(__xludf.DUMMYFUNCTION("""COMPUTED_VALUE"""),"鄭勝濱")</f>
        <v>鄭勝濱</v>
      </c>
      <c r="D2751" s="16" t="str">
        <f>IFERROR(__xludf.DUMMYFUNCTION("""COMPUTED_VALUE"""),"che*****0107@mail.edu.tw")</f>
        <v>che*****0107@mail.edu.tw</v>
      </c>
      <c r="E2751" s="17" t="str">
        <f>IFERROR(__xludf.DUMMYFUNCTION("""COMPUTED_VALUE"""),"彰化縣埤頭鄉中和國民小學")</f>
        <v>彰化縣埤頭鄉中和國民小學</v>
      </c>
      <c r="F2751" s="14" t="str">
        <f>IFERROR(__xludf.DUMMYFUNCTION("""COMPUTED_VALUE"""),"六年級")</f>
        <v>六年級</v>
      </c>
      <c r="G2751" s="14" t="str">
        <f>IFERROR(__xludf.DUMMYFUNCTION("""COMPUTED_VALUE"""),"獎狀")</f>
        <v>獎狀</v>
      </c>
      <c r="H2751" s="8"/>
    </row>
    <row r="2752">
      <c r="A2752" s="18"/>
      <c r="B2752" s="14">
        <f>IFERROR(__xludf.DUMMYFUNCTION("""COMPUTED_VALUE"""),835808.0)</f>
        <v>835808</v>
      </c>
      <c r="C2752" s="14" t="str">
        <f>IFERROR(__xludf.DUMMYFUNCTION("""COMPUTED_VALUE"""),"羅彬岳")</f>
        <v>羅彬岳</v>
      </c>
      <c r="D2752" s="16" t="str">
        <f>IFERROR(__xludf.DUMMYFUNCTION("""COMPUTED_VALUE"""),"che*****4@mail.edu.tw")</f>
        <v>che*****4@mail.edu.tw</v>
      </c>
      <c r="E2752" s="17" t="str">
        <f>IFERROR(__xludf.DUMMYFUNCTION("""COMPUTED_VALUE"""),"彰化縣埤頭鄉中和國民小學")</f>
        <v>彰化縣埤頭鄉中和國民小學</v>
      </c>
      <c r="F2752" s="14" t="str">
        <f>IFERROR(__xludf.DUMMYFUNCTION("""COMPUTED_VALUE"""),"六年級")</f>
        <v>六年級</v>
      </c>
      <c r="G2752" s="14" t="str">
        <f>IFERROR(__xludf.DUMMYFUNCTION("""COMPUTED_VALUE"""),"獎狀")</f>
        <v>獎狀</v>
      </c>
      <c r="H2752" s="8"/>
    </row>
    <row r="2753">
      <c r="A2753" s="18"/>
      <c r="B2753" s="14">
        <f>IFERROR(__xludf.DUMMYFUNCTION("""COMPUTED_VALUE"""),1181914.0)</f>
        <v>1181914</v>
      </c>
      <c r="C2753" s="14" t="str">
        <f>IFERROR(__xludf.DUMMYFUNCTION("""COMPUTED_VALUE"""),"吳承諺")</f>
        <v>吳承諺</v>
      </c>
      <c r="D2753" s="16" t="str">
        <f>IFERROR(__xludf.DUMMYFUNCTION("""COMPUTED_VALUE"""),"a68*****25@chc.edu.tw")</f>
        <v>a68*****25@chc.edu.tw</v>
      </c>
      <c r="E2753" s="17" t="str">
        <f>IFERROR(__xludf.DUMMYFUNCTION("""COMPUTED_VALUE"""),"彰化縣埤頭鄉中和國民小學")</f>
        <v>彰化縣埤頭鄉中和國民小學</v>
      </c>
      <c r="F2753" s="14" t="str">
        <f>IFERROR(__xludf.DUMMYFUNCTION("""COMPUTED_VALUE"""),"六年級")</f>
        <v>六年級</v>
      </c>
      <c r="G2753" s="14" t="str">
        <f>IFERROR(__xludf.DUMMYFUNCTION("""COMPUTED_VALUE"""),"獎狀")</f>
        <v>獎狀</v>
      </c>
      <c r="H2753" s="8"/>
    </row>
    <row r="2754">
      <c r="A2754" s="18"/>
      <c r="B2754" s="14">
        <f>IFERROR(__xludf.DUMMYFUNCTION("""COMPUTED_VALUE"""),1181915.0)</f>
        <v>1181915</v>
      </c>
      <c r="C2754" s="14" t="str">
        <f>IFERROR(__xludf.DUMMYFUNCTION("""COMPUTED_VALUE"""),"方子恒")</f>
        <v>方子恒</v>
      </c>
      <c r="D2754" s="16" t="str">
        <f>IFERROR(__xludf.DUMMYFUNCTION("""COMPUTED_VALUE"""),"che*****0103@chc.edu.tw")</f>
        <v>che*****0103@chc.edu.tw</v>
      </c>
      <c r="E2754" s="17" t="str">
        <f>IFERROR(__xludf.DUMMYFUNCTION("""COMPUTED_VALUE"""),"彰化縣埤頭鄉中和國民小學")</f>
        <v>彰化縣埤頭鄉中和國民小學</v>
      </c>
      <c r="F2754" s="14" t="str">
        <f>IFERROR(__xludf.DUMMYFUNCTION("""COMPUTED_VALUE"""),"六年級")</f>
        <v>六年級</v>
      </c>
      <c r="G2754" s="14" t="str">
        <f>IFERROR(__xludf.DUMMYFUNCTION("""COMPUTED_VALUE"""),"●小禮物")</f>
        <v>●小禮物</v>
      </c>
      <c r="H2754" s="8"/>
    </row>
    <row r="2755">
      <c r="A2755" s="18"/>
      <c r="B2755" s="14">
        <f>IFERROR(__xludf.DUMMYFUNCTION("""COMPUTED_VALUE"""),1181902.0)</f>
        <v>1181902</v>
      </c>
      <c r="C2755" s="14" t="str">
        <f>IFERROR(__xludf.DUMMYFUNCTION("""COMPUTED_VALUE"""),"林怡妏")</f>
        <v>林怡妏</v>
      </c>
      <c r="D2755" s="16" t="str">
        <f>IFERROR(__xludf.DUMMYFUNCTION("""COMPUTED_VALUE"""),"che*****0121@chc.edu.tw")</f>
        <v>che*****0121@chc.edu.tw</v>
      </c>
      <c r="E2755" s="17" t="str">
        <f>IFERROR(__xludf.DUMMYFUNCTION("""COMPUTED_VALUE"""),"彰化縣埤頭鄉中和國民小學")</f>
        <v>彰化縣埤頭鄉中和國民小學</v>
      </c>
      <c r="F2755" s="14" t="str">
        <f>IFERROR(__xludf.DUMMYFUNCTION("""COMPUTED_VALUE"""),"六年級")</f>
        <v>六年級</v>
      </c>
      <c r="G2755" s="14" t="str">
        <f>IFERROR(__xludf.DUMMYFUNCTION("""COMPUTED_VALUE"""),"●小禮物")</f>
        <v>●小禮物</v>
      </c>
      <c r="H2755" s="8"/>
    </row>
    <row r="2756">
      <c r="A2756" s="18"/>
      <c r="B2756" s="14">
        <f>IFERROR(__xludf.DUMMYFUNCTION("""COMPUTED_VALUE"""),1181904.0)</f>
        <v>1181904</v>
      </c>
      <c r="C2756" s="14" t="str">
        <f>IFERROR(__xludf.DUMMYFUNCTION("""COMPUTED_VALUE"""),"方亮晴")</f>
        <v>方亮晴</v>
      </c>
      <c r="D2756" s="16" t="str">
        <f>IFERROR(__xludf.DUMMYFUNCTION("""COMPUTED_VALUE"""),"che*****0122@chc.edu.tw")</f>
        <v>che*****0122@chc.edu.tw</v>
      </c>
      <c r="E2756" s="17" t="str">
        <f>IFERROR(__xludf.DUMMYFUNCTION("""COMPUTED_VALUE"""),"彰化縣埤頭鄉中和國民小學")</f>
        <v>彰化縣埤頭鄉中和國民小學</v>
      </c>
      <c r="F2756" s="14" t="str">
        <f>IFERROR(__xludf.DUMMYFUNCTION("""COMPUTED_VALUE"""),"六年級")</f>
        <v>六年級</v>
      </c>
      <c r="G2756" s="14" t="str">
        <f>IFERROR(__xludf.DUMMYFUNCTION("""COMPUTED_VALUE"""),"獎狀")</f>
        <v>獎狀</v>
      </c>
      <c r="H2756" s="8"/>
    </row>
    <row r="2757">
      <c r="A2757" s="18"/>
      <c r="B2757" s="14">
        <f>IFERROR(__xludf.DUMMYFUNCTION("""COMPUTED_VALUE"""),1181909.0)</f>
        <v>1181909</v>
      </c>
      <c r="C2757" s="14" t="str">
        <f>IFERROR(__xludf.DUMMYFUNCTION("""COMPUTED_VALUE"""),"吳宗翰")</f>
        <v>吳宗翰</v>
      </c>
      <c r="D2757" s="16" t="str">
        <f>IFERROR(__xludf.DUMMYFUNCTION("""COMPUTED_VALUE"""),"che*****0111@chc.edu.tw")</f>
        <v>che*****0111@chc.edu.tw</v>
      </c>
      <c r="E2757" s="17" t="str">
        <f>IFERROR(__xludf.DUMMYFUNCTION("""COMPUTED_VALUE"""),"彰化縣埤頭鄉中和國民小學")</f>
        <v>彰化縣埤頭鄉中和國民小學</v>
      </c>
      <c r="F2757" s="14" t="str">
        <f>IFERROR(__xludf.DUMMYFUNCTION("""COMPUTED_VALUE"""),"六年級")</f>
        <v>六年級</v>
      </c>
      <c r="G2757" s="14" t="str">
        <f>IFERROR(__xludf.DUMMYFUNCTION("""COMPUTED_VALUE"""),"獎狀")</f>
        <v>獎狀</v>
      </c>
      <c r="H2757" s="8"/>
    </row>
    <row r="2758">
      <c r="A2758" s="18"/>
      <c r="B2758" s="14">
        <f>IFERROR(__xludf.DUMMYFUNCTION("""COMPUTED_VALUE"""),1181907.0)</f>
        <v>1181907</v>
      </c>
      <c r="C2758" s="14" t="str">
        <f>IFERROR(__xludf.DUMMYFUNCTION("""COMPUTED_VALUE"""),"吳采栩")</f>
        <v>吳采栩</v>
      </c>
      <c r="D2758" s="16" t="str">
        <f>IFERROR(__xludf.DUMMYFUNCTION("""COMPUTED_VALUE"""),"che*****0114@chc.edu.tw")</f>
        <v>che*****0114@chc.edu.tw</v>
      </c>
      <c r="E2758" s="17" t="str">
        <f>IFERROR(__xludf.DUMMYFUNCTION("""COMPUTED_VALUE"""),"彰化縣埤頭鄉中和國民小學")</f>
        <v>彰化縣埤頭鄉中和國民小學</v>
      </c>
      <c r="F2758" s="14" t="str">
        <f>IFERROR(__xludf.DUMMYFUNCTION("""COMPUTED_VALUE"""),"六年級")</f>
        <v>六年級</v>
      </c>
      <c r="G2758" s="14" t="str">
        <f>IFERROR(__xludf.DUMMYFUNCTION("""COMPUTED_VALUE"""),"獎狀")</f>
        <v>獎狀</v>
      </c>
      <c r="H2758" s="8"/>
    </row>
    <row r="2759">
      <c r="A2759" s="18"/>
      <c r="B2759" s="14">
        <f>IFERROR(__xludf.DUMMYFUNCTION("""COMPUTED_VALUE"""),1181903.0)</f>
        <v>1181903</v>
      </c>
      <c r="C2759" s="14" t="str">
        <f>IFERROR(__xludf.DUMMYFUNCTION("""COMPUTED_VALUE"""),"陳俞諼")</f>
        <v>陳俞諼</v>
      </c>
      <c r="D2759" s="16" t="str">
        <f>IFERROR(__xludf.DUMMYFUNCTION("""COMPUTED_VALUE"""),"che*****0120@chc.edu.tw")</f>
        <v>che*****0120@chc.edu.tw</v>
      </c>
      <c r="E2759" s="17" t="str">
        <f>IFERROR(__xludf.DUMMYFUNCTION("""COMPUTED_VALUE"""),"彰化縣埤頭鄉中和國民小學")</f>
        <v>彰化縣埤頭鄉中和國民小學</v>
      </c>
      <c r="F2759" s="14" t="str">
        <f>IFERROR(__xludf.DUMMYFUNCTION("""COMPUTED_VALUE"""),"六年級")</f>
        <v>六年級</v>
      </c>
      <c r="G2759" s="14" t="str">
        <f>IFERROR(__xludf.DUMMYFUNCTION("""COMPUTED_VALUE"""),"獎狀")</f>
        <v>獎狀</v>
      </c>
      <c r="H2759" s="8"/>
    </row>
    <row r="2760">
      <c r="A2760" s="18"/>
      <c r="B2760" s="14">
        <f>IFERROR(__xludf.DUMMYFUNCTION("""COMPUTED_VALUE"""),1181908.0)</f>
        <v>1181908</v>
      </c>
      <c r="C2760" s="14" t="str">
        <f>IFERROR(__xludf.DUMMYFUNCTION("""COMPUTED_VALUE"""),"蔡旻翰")</f>
        <v>蔡旻翰</v>
      </c>
      <c r="D2760" s="16" t="str">
        <f>IFERROR(__xludf.DUMMYFUNCTION("""COMPUTED_VALUE"""),"che*****0102@chc.edu.tw")</f>
        <v>che*****0102@chc.edu.tw</v>
      </c>
      <c r="E2760" s="17" t="str">
        <f>IFERROR(__xludf.DUMMYFUNCTION("""COMPUTED_VALUE"""),"彰化縣埤頭鄉中和國民小學")</f>
        <v>彰化縣埤頭鄉中和國民小學</v>
      </c>
      <c r="F2760" s="14" t="str">
        <f>IFERROR(__xludf.DUMMYFUNCTION("""COMPUTED_VALUE"""),"六年級")</f>
        <v>六年級</v>
      </c>
      <c r="G2760" s="14" t="str">
        <f>IFERROR(__xludf.DUMMYFUNCTION("""COMPUTED_VALUE"""),"獎狀")</f>
        <v>獎狀</v>
      </c>
      <c r="H2760" s="8"/>
    </row>
    <row r="2761">
      <c r="A2761" s="18"/>
      <c r="B2761" s="14">
        <f>IFERROR(__xludf.DUMMYFUNCTION("""COMPUTED_VALUE"""),1181906.0)</f>
        <v>1181906</v>
      </c>
      <c r="C2761" s="14" t="str">
        <f>IFERROR(__xludf.DUMMYFUNCTION("""COMPUTED_VALUE"""),"鄭楷翰")</f>
        <v>鄭楷翰</v>
      </c>
      <c r="D2761" s="16" t="str">
        <f>IFERROR(__xludf.DUMMYFUNCTION("""COMPUTED_VALUE"""),"che*****0110@chc.edu.tw")</f>
        <v>che*****0110@chc.edu.tw</v>
      </c>
      <c r="E2761" s="17" t="str">
        <f>IFERROR(__xludf.DUMMYFUNCTION("""COMPUTED_VALUE"""),"彰化縣埤頭鄉中和國民小學")</f>
        <v>彰化縣埤頭鄉中和國民小學</v>
      </c>
      <c r="F2761" s="14" t="str">
        <f>IFERROR(__xludf.DUMMYFUNCTION("""COMPUTED_VALUE"""),"六年級")</f>
        <v>六年級</v>
      </c>
      <c r="G2761" s="14" t="str">
        <f>IFERROR(__xludf.DUMMYFUNCTION("""COMPUTED_VALUE"""),"獎狀")</f>
        <v>獎狀</v>
      </c>
      <c r="H2761" s="8"/>
    </row>
    <row r="2762">
      <c r="A2762" s="18"/>
      <c r="B2762" s="14">
        <f>IFERROR(__xludf.DUMMYFUNCTION("""COMPUTED_VALUE"""),818688.0)</f>
        <v>818688</v>
      </c>
      <c r="C2762" s="14" t="str">
        <f>IFERROR(__xludf.DUMMYFUNCTION("""COMPUTED_VALUE"""),"鄭羽恩")</f>
        <v>鄭羽恩</v>
      </c>
      <c r="D2762" s="16" t="str">
        <f>IFERROR(__xludf.DUMMYFUNCTION("""COMPUTED_VALUE"""),"n10*****ail.edu.tw")</f>
        <v>n10*****ail.edu.tw</v>
      </c>
      <c r="E2762" s="17" t="str">
        <f>IFERROR(__xludf.DUMMYFUNCTION("""COMPUTED_VALUE"""),"彰化縣溪州鄉大莊國民小學")</f>
        <v>彰化縣溪州鄉大莊國民小學</v>
      </c>
      <c r="F2762" s="14" t="str">
        <f>IFERROR(__xludf.DUMMYFUNCTION("""COMPUTED_VALUE"""),"六年級")</f>
        <v>六年級</v>
      </c>
      <c r="G2762" s="14" t="str">
        <f>IFERROR(__xludf.DUMMYFUNCTION("""COMPUTED_VALUE"""),"獎狀")</f>
        <v>獎狀</v>
      </c>
      <c r="H2762" s="8"/>
    </row>
    <row r="2763">
      <c r="A2763" s="18"/>
      <c r="B2763" s="14">
        <f>IFERROR(__xludf.DUMMYFUNCTION("""COMPUTED_VALUE"""),1181131.0)</f>
        <v>1181131</v>
      </c>
      <c r="C2763" s="14" t="str">
        <f>IFERROR(__xludf.DUMMYFUNCTION("""COMPUTED_VALUE"""),"張晉睿")</f>
        <v>張晉睿</v>
      </c>
      <c r="D2763" s="16" t="str">
        <f>IFERROR(__xludf.DUMMYFUNCTION("""COMPUTED_VALUE"""),"cye*****2@mail.edu.tw")</f>
        <v>cye*****2@mail.edu.tw</v>
      </c>
      <c r="E2763" s="17" t="str">
        <f>IFERROR(__xludf.DUMMYFUNCTION("""COMPUTED_VALUE"""),"彰化縣溪州鄉僑義國民小學")</f>
        <v>彰化縣溪州鄉僑義國民小學</v>
      </c>
      <c r="F2763" s="14" t="str">
        <f>IFERROR(__xludf.DUMMYFUNCTION("""COMPUTED_VALUE"""),"三年級")</f>
        <v>三年級</v>
      </c>
      <c r="G2763" s="14" t="str">
        <f>IFERROR(__xludf.DUMMYFUNCTION("""COMPUTED_VALUE"""),"●小禮物")</f>
        <v>●小禮物</v>
      </c>
      <c r="H2763" s="8"/>
    </row>
    <row r="2764">
      <c r="A2764" s="18"/>
      <c r="B2764" s="14">
        <f>IFERROR(__xludf.DUMMYFUNCTION("""COMPUTED_VALUE"""),1181137.0)</f>
        <v>1181137</v>
      </c>
      <c r="C2764" s="14" t="str">
        <f>IFERROR(__xludf.DUMMYFUNCTION("""COMPUTED_VALUE"""),"黃凱妘")</f>
        <v>黃凱妘</v>
      </c>
      <c r="D2764" s="16" t="str">
        <f>IFERROR(__xludf.DUMMYFUNCTION("""COMPUTED_VALUE"""),"cye*****4@mail.edu.tw")</f>
        <v>cye*****4@mail.edu.tw</v>
      </c>
      <c r="E2764" s="17" t="str">
        <f>IFERROR(__xludf.DUMMYFUNCTION("""COMPUTED_VALUE"""),"彰化縣溪州鄉僑義國民小學")</f>
        <v>彰化縣溪州鄉僑義國民小學</v>
      </c>
      <c r="F2764" s="14" t="str">
        <f>IFERROR(__xludf.DUMMYFUNCTION("""COMPUTED_VALUE"""),"三年級")</f>
        <v>三年級</v>
      </c>
      <c r="G2764" s="14" t="str">
        <f>IFERROR(__xludf.DUMMYFUNCTION("""COMPUTED_VALUE"""),"獎狀")</f>
        <v>獎狀</v>
      </c>
      <c r="H2764" s="8"/>
    </row>
    <row r="2765">
      <c r="A2765" s="18"/>
      <c r="B2765" s="14">
        <f>IFERROR(__xludf.DUMMYFUNCTION("""COMPUTED_VALUE"""),1181126.0)</f>
        <v>1181126</v>
      </c>
      <c r="C2765" s="14" t="str">
        <f>IFERROR(__xludf.DUMMYFUNCTION("""COMPUTED_VALUE"""),"鄭智騰")</f>
        <v>鄭智騰</v>
      </c>
      <c r="D2765" s="16" t="str">
        <f>IFERROR(__xludf.DUMMYFUNCTION("""COMPUTED_VALUE"""),"cye*****1@mail.edu.tw")</f>
        <v>cye*****1@mail.edu.tw</v>
      </c>
      <c r="E2765" s="17" t="str">
        <f>IFERROR(__xludf.DUMMYFUNCTION("""COMPUTED_VALUE"""),"彰化縣溪州鄉僑義國民小學")</f>
        <v>彰化縣溪州鄉僑義國民小學</v>
      </c>
      <c r="F2765" s="14" t="str">
        <f>IFERROR(__xludf.DUMMYFUNCTION("""COMPUTED_VALUE"""),"三年級")</f>
        <v>三年級</v>
      </c>
      <c r="G2765" s="14" t="str">
        <f>IFERROR(__xludf.DUMMYFUNCTION("""COMPUTED_VALUE"""),"獎狀")</f>
        <v>獎狀</v>
      </c>
      <c r="H2765" s="8"/>
    </row>
    <row r="2766">
      <c r="A2766" s="18"/>
      <c r="B2766" s="14">
        <f>IFERROR(__xludf.DUMMYFUNCTION("""COMPUTED_VALUE"""),1181143.0)</f>
        <v>1181143</v>
      </c>
      <c r="C2766" s="14" t="str">
        <f>IFERROR(__xludf.DUMMYFUNCTION("""COMPUTED_VALUE"""),"賴美如")</f>
        <v>賴美如</v>
      </c>
      <c r="D2766" s="16" t="str">
        <f>IFERROR(__xludf.DUMMYFUNCTION("""COMPUTED_VALUE"""),"cye*****5@mail.edu.tw")</f>
        <v>cye*****5@mail.edu.tw</v>
      </c>
      <c r="E2766" s="17" t="str">
        <f>IFERROR(__xludf.DUMMYFUNCTION("""COMPUTED_VALUE"""),"彰化縣溪州鄉僑義國民小學")</f>
        <v>彰化縣溪州鄉僑義國民小學</v>
      </c>
      <c r="F2766" s="14" t="str">
        <f>IFERROR(__xludf.DUMMYFUNCTION("""COMPUTED_VALUE"""),"三年級")</f>
        <v>三年級</v>
      </c>
      <c r="G2766" s="14" t="str">
        <f>IFERROR(__xludf.DUMMYFUNCTION("""COMPUTED_VALUE"""),"獎狀")</f>
        <v>獎狀</v>
      </c>
      <c r="H2766" s="8"/>
    </row>
    <row r="2767">
      <c r="A2767" s="18"/>
      <c r="B2767" s="14">
        <f>IFERROR(__xludf.DUMMYFUNCTION("""COMPUTED_VALUE"""),1017091.0)</f>
        <v>1017091</v>
      </c>
      <c r="C2767" s="14" t="str">
        <f>IFERROR(__xludf.DUMMYFUNCTION("""COMPUTED_VALUE"""),"許舜雯")</f>
        <v>許舜雯</v>
      </c>
      <c r="D2767" s="16" t="str">
        <f>IFERROR(__xludf.DUMMYFUNCTION("""COMPUTED_VALUE"""),"chc*****6@mail.edu.tw")</f>
        <v>chc*****6@mail.edu.tw</v>
      </c>
      <c r="E2767" s="17" t="str">
        <f>IFERROR(__xludf.DUMMYFUNCTION("""COMPUTED_VALUE"""),"彰化縣溪州鄉僑義國民小學")</f>
        <v>彰化縣溪州鄉僑義國民小學</v>
      </c>
      <c r="F2767" s="14" t="str">
        <f>IFERROR(__xludf.DUMMYFUNCTION("""COMPUTED_VALUE"""),"四年級")</f>
        <v>四年級</v>
      </c>
      <c r="G2767" s="14" t="str">
        <f>IFERROR(__xludf.DUMMYFUNCTION("""COMPUTED_VALUE"""),"獎狀")</f>
        <v>獎狀</v>
      </c>
      <c r="H2767" s="8"/>
    </row>
    <row r="2768">
      <c r="A2768" s="18"/>
      <c r="B2768" s="14">
        <f>IFERROR(__xludf.DUMMYFUNCTION("""COMPUTED_VALUE"""),832785.0)</f>
        <v>832785</v>
      </c>
      <c r="C2768" s="14" t="str">
        <f>IFERROR(__xludf.DUMMYFUNCTION("""COMPUTED_VALUE"""),"鄭丁華")</f>
        <v>鄭丁華</v>
      </c>
      <c r="D2768" s="16" t="str">
        <f>IFERROR(__xludf.DUMMYFUNCTION("""COMPUTED_VALUE"""),"cye*****2@mail.edu.tw")</f>
        <v>cye*****2@mail.edu.tw</v>
      </c>
      <c r="E2768" s="17" t="str">
        <f>IFERROR(__xludf.DUMMYFUNCTION("""COMPUTED_VALUE"""),"彰化縣溪州鄉僑義國民小學")</f>
        <v>彰化縣溪州鄉僑義國民小學</v>
      </c>
      <c r="F2768" s="14" t="str">
        <f>IFERROR(__xludf.DUMMYFUNCTION("""COMPUTED_VALUE"""),"五年級")</f>
        <v>五年級</v>
      </c>
      <c r="G2768" s="14" t="str">
        <f>IFERROR(__xludf.DUMMYFUNCTION("""COMPUTED_VALUE"""),"●小禮物")</f>
        <v>●小禮物</v>
      </c>
      <c r="H2768" s="8"/>
    </row>
    <row r="2769">
      <c r="A2769" s="18"/>
      <c r="B2769" s="14">
        <f>IFERROR(__xludf.DUMMYFUNCTION("""COMPUTED_VALUE"""),832783.0)</f>
        <v>832783</v>
      </c>
      <c r="C2769" s="14" t="str">
        <f>IFERROR(__xludf.DUMMYFUNCTION("""COMPUTED_VALUE"""),"鄭煜鏵")</f>
        <v>鄭煜鏵</v>
      </c>
      <c r="D2769" s="16" t="str">
        <f>IFERROR(__xludf.DUMMYFUNCTION("""COMPUTED_VALUE"""),"cye*****1@mail.edu.tw")</f>
        <v>cye*****1@mail.edu.tw</v>
      </c>
      <c r="E2769" s="17" t="str">
        <f>IFERROR(__xludf.DUMMYFUNCTION("""COMPUTED_VALUE"""),"彰化縣溪州鄉僑義國民小學")</f>
        <v>彰化縣溪州鄉僑義國民小學</v>
      </c>
      <c r="F2769" s="14" t="str">
        <f>IFERROR(__xludf.DUMMYFUNCTION("""COMPUTED_VALUE"""),"五年級")</f>
        <v>五年級</v>
      </c>
      <c r="G2769" s="14" t="str">
        <f>IFERROR(__xludf.DUMMYFUNCTION("""COMPUTED_VALUE"""),"●小禮物")</f>
        <v>●小禮物</v>
      </c>
      <c r="H2769" s="8"/>
    </row>
    <row r="2770">
      <c r="A2770" s="18"/>
      <c r="B2770" s="14">
        <f>IFERROR(__xludf.DUMMYFUNCTION("""COMPUTED_VALUE"""),832791.0)</f>
        <v>832791</v>
      </c>
      <c r="C2770" s="14" t="str">
        <f>IFERROR(__xludf.DUMMYFUNCTION("""COMPUTED_VALUE"""),"胡舜煜")</f>
        <v>胡舜煜</v>
      </c>
      <c r="D2770" s="16" t="str">
        <f>IFERROR(__xludf.DUMMYFUNCTION("""COMPUTED_VALUE"""),"cye*****3@mail.edu.tw")</f>
        <v>cye*****3@mail.edu.tw</v>
      </c>
      <c r="E2770" s="17" t="str">
        <f>IFERROR(__xludf.DUMMYFUNCTION("""COMPUTED_VALUE"""),"彰化縣溪州鄉僑義國民小學")</f>
        <v>彰化縣溪州鄉僑義國民小學</v>
      </c>
      <c r="F2770" s="14" t="str">
        <f>IFERROR(__xludf.DUMMYFUNCTION("""COMPUTED_VALUE"""),"五年級")</f>
        <v>五年級</v>
      </c>
      <c r="G2770" s="14" t="str">
        <f>IFERROR(__xludf.DUMMYFUNCTION("""COMPUTED_VALUE"""),"★禮券$200")</f>
        <v>★禮券$200</v>
      </c>
      <c r="H2770" s="8"/>
    </row>
    <row r="2771">
      <c r="A2771" s="18"/>
      <c r="B2771" s="14">
        <f>IFERROR(__xludf.DUMMYFUNCTION("""COMPUTED_VALUE"""),832787.0)</f>
        <v>832787</v>
      </c>
      <c r="C2771" s="14" t="str">
        <f>IFERROR(__xludf.DUMMYFUNCTION("""COMPUTED_VALUE"""),"黃彥莘")</f>
        <v>黃彥莘</v>
      </c>
      <c r="D2771" s="16" t="str">
        <f>IFERROR(__xludf.DUMMYFUNCTION("""COMPUTED_VALUE"""),"cye*****4@mail.edu.tw")</f>
        <v>cye*****4@mail.edu.tw</v>
      </c>
      <c r="E2771" s="17" t="str">
        <f>IFERROR(__xludf.DUMMYFUNCTION("""COMPUTED_VALUE"""),"彰化縣溪州鄉僑義國民小學")</f>
        <v>彰化縣溪州鄉僑義國民小學</v>
      </c>
      <c r="F2771" s="14" t="str">
        <f>IFERROR(__xludf.DUMMYFUNCTION("""COMPUTED_VALUE"""),"五年級")</f>
        <v>五年級</v>
      </c>
      <c r="G2771" s="14" t="str">
        <f>IFERROR(__xludf.DUMMYFUNCTION("""COMPUTED_VALUE"""),"★禮券$500")</f>
        <v>★禮券$500</v>
      </c>
      <c r="H2771" s="8"/>
    </row>
    <row r="2772">
      <c r="A2772" s="18"/>
      <c r="B2772" s="14">
        <f>IFERROR(__xludf.DUMMYFUNCTION("""COMPUTED_VALUE"""),832786.0)</f>
        <v>832786</v>
      </c>
      <c r="C2772" s="14" t="str">
        <f>IFERROR(__xludf.DUMMYFUNCTION("""COMPUTED_VALUE"""),"吳恩馨")</f>
        <v>吳恩馨</v>
      </c>
      <c r="D2772" s="16" t="str">
        <f>IFERROR(__xludf.DUMMYFUNCTION("""COMPUTED_VALUE"""),"cye*****6@mail.edu.tw")</f>
        <v>cye*****6@mail.edu.tw</v>
      </c>
      <c r="E2772" s="17" t="str">
        <f>IFERROR(__xludf.DUMMYFUNCTION("""COMPUTED_VALUE"""),"彰化縣溪州鄉僑義國民小學")</f>
        <v>彰化縣溪州鄉僑義國民小學</v>
      </c>
      <c r="F2772" s="14" t="str">
        <f>IFERROR(__xludf.DUMMYFUNCTION("""COMPUTED_VALUE"""),"五年級")</f>
        <v>五年級</v>
      </c>
      <c r="G2772" s="14" t="str">
        <f>IFERROR(__xludf.DUMMYFUNCTION("""COMPUTED_VALUE"""),"獎狀")</f>
        <v>獎狀</v>
      </c>
      <c r="H2772" s="8"/>
    </row>
    <row r="2773">
      <c r="A2773" s="18"/>
      <c r="B2773" s="14">
        <f>IFERROR(__xludf.DUMMYFUNCTION("""COMPUTED_VALUE"""),832789.0)</f>
        <v>832789</v>
      </c>
      <c r="C2773" s="14" t="str">
        <f>IFERROR(__xludf.DUMMYFUNCTION("""COMPUTED_VALUE"""),"呂冠潔")</f>
        <v>呂冠潔</v>
      </c>
      <c r="D2773" s="16" t="str">
        <f>IFERROR(__xludf.DUMMYFUNCTION("""COMPUTED_VALUE"""),"cye*****7@mail.edu.tw")</f>
        <v>cye*****7@mail.edu.tw</v>
      </c>
      <c r="E2773" s="17" t="str">
        <f>IFERROR(__xludf.DUMMYFUNCTION("""COMPUTED_VALUE"""),"彰化縣溪州鄉僑義國民小學")</f>
        <v>彰化縣溪州鄉僑義國民小學</v>
      </c>
      <c r="F2773" s="14" t="str">
        <f>IFERROR(__xludf.DUMMYFUNCTION("""COMPUTED_VALUE"""),"五年級")</f>
        <v>五年級</v>
      </c>
      <c r="G2773" s="14" t="str">
        <f>IFERROR(__xludf.DUMMYFUNCTION("""COMPUTED_VALUE"""),"獎狀")</f>
        <v>獎狀</v>
      </c>
      <c r="H2773" s="8"/>
    </row>
    <row r="2774">
      <c r="A2774" s="18"/>
      <c r="B2774" s="14">
        <f>IFERROR(__xludf.DUMMYFUNCTION("""COMPUTED_VALUE"""),832790.0)</f>
        <v>832790</v>
      </c>
      <c r="C2774" s="14" t="str">
        <f>IFERROR(__xludf.DUMMYFUNCTION("""COMPUTED_VALUE"""),"廖姿涵")</f>
        <v>廖姿涵</v>
      </c>
      <c r="D2774" s="16" t="str">
        <f>IFERROR(__xludf.DUMMYFUNCTION("""COMPUTED_VALUE"""),"cye*****5@mail.edu.tw")</f>
        <v>cye*****5@mail.edu.tw</v>
      </c>
      <c r="E2774" s="17" t="str">
        <f>IFERROR(__xludf.DUMMYFUNCTION("""COMPUTED_VALUE"""),"彰化縣溪州鄉僑義國民小學")</f>
        <v>彰化縣溪州鄉僑義國民小學</v>
      </c>
      <c r="F2774" s="14" t="str">
        <f>IFERROR(__xludf.DUMMYFUNCTION("""COMPUTED_VALUE"""),"五年級")</f>
        <v>五年級</v>
      </c>
      <c r="G2774" s="14" t="str">
        <f>IFERROR(__xludf.DUMMYFUNCTION("""COMPUTED_VALUE"""),"獎狀")</f>
        <v>獎狀</v>
      </c>
      <c r="H2774" s="8"/>
    </row>
    <row r="2775">
      <c r="A2775" s="18"/>
      <c r="B2775" s="14">
        <f>IFERROR(__xludf.DUMMYFUNCTION("""COMPUTED_VALUE"""),971449.0)</f>
        <v>971449</v>
      </c>
      <c r="C2775" s="14" t="str">
        <f>IFERROR(__xludf.DUMMYFUNCTION("""COMPUTED_VALUE"""),"鄭鈺庭")</f>
        <v>鄭鈺庭</v>
      </c>
      <c r="D2775" s="16" t="str">
        <f>IFERROR(__xludf.DUMMYFUNCTION("""COMPUTED_VALUE"""),"kik*****@mail.edu.tw")</f>
        <v>kik*****@mail.edu.tw</v>
      </c>
      <c r="E2775" s="17" t="str">
        <f>IFERROR(__xludf.DUMMYFUNCTION("""COMPUTED_VALUE"""),"彰化縣溪州鄉僑義國民小學")</f>
        <v>彰化縣溪州鄉僑義國民小學</v>
      </c>
      <c r="F2775" s="14" t="str">
        <f>IFERROR(__xludf.DUMMYFUNCTION("""COMPUTED_VALUE"""),"五年級")</f>
        <v>五年級</v>
      </c>
      <c r="G2775" s="14" t="str">
        <f>IFERROR(__xludf.DUMMYFUNCTION("""COMPUTED_VALUE"""),"獎狀")</f>
        <v>獎狀</v>
      </c>
      <c r="H2775" s="8"/>
    </row>
    <row r="2776">
      <c r="A2776" s="18"/>
      <c r="B2776" s="14">
        <f>IFERROR(__xludf.DUMMYFUNCTION("""COMPUTED_VALUE"""),585921.0)</f>
        <v>585921</v>
      </c>
      <c r="C2776" s="14" t="str">
        <f>IFERROR(__xludf.DUMMYFUNCTION("""COMPUTED_VALUE"""),"許哲維")</f>
        <v>許哲維</v>
      </c>
      <c r="D2776" s="16" t="str">
        <f>IFERROR(__xludf.DUMMYFUNCTION("""COMPUTED_VALUE"""),"cye*****1@mail.edu.tw")</f>
        <v>cye*****1@mail.edu.tw</v>
      </c>
      <c r="E2776" s="17" t="str">
        <f>IFERROR(__xludf.DUMMYFUNCTION("""COMPUTED_VALUE"""),"彰化縣溪州鄉僑義國民小學")</f>
        <v>彰化縣溪州鄉僑義國民小學</v>
      </c>
      <c r="F2776" s="14" t="str">
        <f>IFERROR(__xludf.DUMMYFUNCTION("""COMPUTED_VALUE"""),"六年級")</f>
        <v>六年級</v>
      </c>
      <c r="G2776" s="14" t="str">
        <f>IFERROR(__xludf.DUMMYFUNCTION("""COMPUTED_VALUE"""),"●小禮物")</f>
        <v>●小禮物</v>
      </c>
      <c r="H2776" s="8"/>
    </row>
    <row r="2777">
      <c r="A2777" s="18"/>
      <c r="B2777" s="14">
        <f>IFERROR(__xludf.DUMMYFUNCTION("""COMPUTED_VALUE"""),585920.0)</f>
        <v>585920</v>
      </c>
      <c r="C2777" s="14" t="str">
        <f>IFERROR(__xludf.DUMMYFUNCTION("""COMPUTED_VALUE"""),"曾暐倫")</f>
        <v>曾暐倫</v>
      </c>
      <c r="D2777" s="16" t="str">
        <f>IFERROR(__xludf.DUMMYFUNCTION("""COMPUTED_VALUE"""),"cye*****2@mail.edu.tw")</f>
        <v>cye*****2@mail.edu.tw</v>
      </c>
      <c r="E2777" s="17" t="str">
        <f>IFERROR(__xludf.DUMMYFUNCTION("""COMPUTED_VALUE"""),"彰化縣溪州鄉僑義國民小學")</f>
        <v>彰化縣溪州鄉僑義國民小學</v>
      </c>
      <c r="F2777" s="14" t="str">
        <f>IFERROR(__xludf.DUMMYFUNCTION("""COMPUTED_VALUE"""),"六年級")</f>
        <v>六年級</v>
      </c>
      <c r="G2777" s="14" t="str">
        <f>IFERROR(__xludf.DUMMYFUNCTION("""COMPUTED_VALUE"""),"●小禮物")</f>
        <v>●小禮物</v>
      </c>
      <c r="H2777" s="8"/>
    </row>
    <row r="2778">
      <c r="A2778" s="18"/>
      <c r="B2778" s="14">
        <f>IFERROR(__xludf.DUMMYFUNCTION("""COMPUTED_VALUE"""),585922.0)</f>
        <v>585922</v>
      </c>
      <c r="C2778" s="14" t="str">
        <f>IFERROR(__xludf.DUMMYFUNCTION("""COMPUTED_VALUE"""),"何承祐")</f>
        <v>何承祐</v>
      </c>
      <c r="D2778" s="16" t="str">
        <f>IFERROR(__xludf.DUMMYFUNCTION("""COMPUTED_VALUE"""),"cye*****4@mail.edu.tw")</f>
        <v>cye*****4@mail.edu.tw</v>
      </c>
      <c r="E2778" s="17" t="str">
        <f>IFERROR(__xludf.DUMMYFUNCTION("""COMPUTED_VALUE"""),"彰化縣溪州鄉僑義國民小學")</f>
        <v>彰化縣溪州鄉僑義國民小學</v>
      </c>
      <c r="F2778" s="14" t="str">
        <f>IFERROR(__xludf.DUMMYFUNCTION("""COMPUTED_VALUE"""),"六年級")</f>
        <v>六年級</v>
      </c>
      <c r="G2778" s="14" t="str">
        <f>IFERROR(__xludf.DUMMYFUNCTION("""COMPUTED_VALUE"""),"獎狀")</f>
        <v>獎狀</v>
      </c>
      <c r="H2778" s="8"/>
    </row>
    <row r="2779">
      <c r="A2779" s="18"/>
      <c r="B2779" s="14">
        <f>IFERROR(__xludf.DUMMYFUNCTION("""COMPUTED_VALUE"""),416931.0)</f>
        <v>416931</v>
      </c>
      <c r="C2779" s="14" t="str">
        <f>IFERROR(__xludf.DUMMYFUNCTION("""COMPUTED_VALUE"""),"張晉綸")</f>
        <v>張晉綸</v>
      </c>
      <c r="D2779" s="16" t="str">
        <f>IFERROR(__xludf.DUMMYFUNCTION("""COMPUTED_VALUE"""),"cge*****007@mail.edu.tw")</f>
        <v>cge*****007@mail.edu.tw</v>
      </c>
      <c r="E2779" s="17" t="str">
        <f>IFERROR(__xludf.DUMMYFUNCTION("""COMPUTED_VALUE"""),"彰化縣溪州鄉僑義國民小學")</f>
        <v>彰化縣溪州鄉僑義國民小學</v>
      </c>
      <c r="F2779" s="14" t="str">
        <f>IFERROR(__xludf.DUMMYFUNCTION("""COMPUTED_VALUE"""),"六年級")</f>
        <v>六年級</v>
      </c>
      <c r="G2779" s="14" t="str">
        <f>IFERROR(__xludf.DUMMYFUNCTION("""COMPUTED_VALUE"""),"獎狀")</f>
        <v>獎狀</v>
      </c>
      <c r="H2779" s="8"/>
    </row>
    <row r="2780">
      <c r="A2780" s="18"/>
      <c r="B2780" s="14">
        <f>IFERROR(__xludf.DUMMYFUNCTION("""COMPUTED_VALUE"""),585913.0)</f>
        <v>585913</v>
      </c>
      <c r="C2780" s="14" t="str">
        <f>IFERROR(__xludf.DUMMYFUNCTION("""COMPUTED_VALUE"""),"黃熠芮")</f>
        <v>黃熠芮</v>
      </c>
      <c r="D2780" s="16" t="str">
        <f>IFERROR(__xludf.DUMMYFUNCTION("""COMPUTED_VALUE"""),"cye*****6@mail.edu.tw")</f>
        <v>cye*****6@mail.edu.tw</v>
      </c>
      <c r="E2780" s="17" t="str">
        <f>IFERROR(__xludf.DUMMYFUNCTION("""COMPUTED_VALUE"""),"彰化縣溪州鄉僑義國民小學")</f>
        <v>彰化縣溪州鄉僑義國民小學</v>
      </c>
      <c r="F2780" s="14" t="str">
        <f>IFERROR(__xludf.DUMMYFUNCTION("""COMPUTED_VALUE"""),"六年級")</f>
        <v>六年級</v>
      </c>
      <c r="G2780" s="14" t="str">
        <f>IFERROR(__xludf.DUMMYFUNCTION("""COMPUTED_VALUE"""),"獎狀")</f>
        <v>獎狀</v>
      </c>
      <c r="H2780" s="8"/>
    </row>
    <row r="2781">
      <c r="A2781" s="18"/>
      <c r="B2781" s="14">
        <f>IFERROR(__xludf.DUMMYFUNCTION("""COMPUTED_VALUE"""),585914.0)</f>
        <v>585914</v>
      </c>
      <c r="C2781" s="14" t="str">
        <f>IFERROR(__xludf.DUMMYFUNCTION("""COMPUTED_VALUE"""),"蘇奕璁")</f>
        <v>蘇奕璁</v>
      </c>
      <c r="D2781" s="16" t="str">
        <f>IFERROR(__xludf.DUMMYFUNCTION("""COMPUTED_VALUE"""),"cye*****3@mail.edu.tw")</f>
        <v>cye*****3@mail.edu.tw</v>
      </c>
      <c r="E2781" s="17" t="str">
        <f>IFERROR(__xludf.DUMMYFUNCTION("""COMPUTED_VALUE"""),"彰化縣溪州鄉僑義國民小學")</f>
        <v>彰化縣溪州鄉僑義國民小學</v>
      </c>
      <c r="F2781" s="14" t="str">
        <f>IFERROR(__xludf.DUMMYFUNCTION("""COMPUTED_VALUE"""),"六年級")</f>
        <v>六年級</v>
      </c>
      <c r="G2781" s="14" t="str">
        <f>IFERROR(__xludf.DUMMYFUNCTION("""COMPUTED_VALUE"""),"獎狀")</f>
        <v>獎狀</v>
      </c>
      <c r="H2781" s="8"/>
    </row>
    <row r="2782">
      <c r="A2782" s="18"/>
      <c r="B2782" s="14">
        <f>IFERROR(__xludf.DUMMYFUNCTION("""COMPUTED_VALUE"""),757827.0)</f>
        <v>757827</v>
      </c>
      <c r="C2782" s="14" t="str">
        <f>IFERROR(__xludf.DUMMYFUNCTION("""COMPUTED_VALUE"""),"廖尹彣")</f>
        <v>廖尹彣</v>
      </c>
      <c r="D2782" s="16" t="str">
        <f>IFERROR(__xludf.DUMMYFUNCTION("""COMPUTED_VALUE"""),"njp*****6@mail.edu.tw")</f>
        <v>njp*****6@mail.edu.tw</v>
      </c>
      <c r="E2782" s="17" t="str">
        <f>IFERROR(__xludf.DUMMYFUNCTION("""COMPUTED_VALUE"""),"彰化縣溪州鄉南州國民小學")</f>
        <v>彰化縣溪州鄉南州國民小學</v>
      </c>
      <c r="F2782" s="14" t="str">
        <f>IFERROR(__xludf.DUMMYFUNCTION("""COMPUTED_VALUE"""),"五年級")</f>
        <v>五年級</v>
      </c>
      <c r="G2782" s="14" t="str">
        <f>IFERROR(__xludf.DUMMYFUNCTION("""COMPUTED_VALUE"""),"獎狀")</f>
        <v>獎狀</v>
      </c>
      <c r="H2782" s="8"/>
    </row>
    <row r="2783">
      <c r="A2783" s="18"/>
      <c r="B2783" s="14">
        <f>IFERROR(__xludf.DUMMYFUNCTION("""COMPUTED_VALUE"""),757788.0)</f>
        <v>757788</v>
      </c>
      <c r="C2783" s="14" t="str">
        <f>IFERROR(__xludf.DUMMYFUNCTION("""COMPUTED_VALUE"""),"廖尹梓")</f>
        <v>廖尹梓</v>
      </c>
      <c r="D2783" s="16" t="str">
        <f>IFERROR(__xludf.DUMMYFUNCTION("""COMPUTED_VALUE"""),"njp*****5@mail.edu.tw")</f>
        <v>njp*****5@mail.edu.tw</v>
      </c>
      <c r="E2783" s="17" t="str">
        <f>IFERROR(__xludf.DUMMYFUNCTION("""COMPUTED_VALUE"""),"彰化縣溪州鄉南州國民小學")</f>
        <v>彰化縣溪州鄉南州國民小學</v>
      </c>
      <c r="F2783" s="14" t="str">
        <f>IFERROR(__xludf.DUMMYFUNCTION("""COMPUTED_VALUE"""),"五年級")</f>
        <v>五年級</v>
      </c>
      <c r="G2783" s="14" t="str">
        <f>IFERROR(__xludf.DUMMYFUNCTION("""COMPUTED_VALUE"""),"獎狀")</f>
        <v>獎狀</v>
      </c>
      <c r="H2783" s="8"/>
    </row>
    <row r="2784">
      <c r="A2784" s="18"/>
      <c r="B2784" s="14">
        <f>IFERROR(__xludf.DUMMYFUNCTION("""COMPUTED_VALUE"""),775121.0)</f>
        <v>775121</v>
      </c>
      <c r="C2784" s="14" t="str">
        <f>IFERROR(__xludf.DUMMYFUNCTION("""COMPUTED_VALUE"""),"王紫瑜")</f>
        <v>王紫瑜</v>
      </c>
      <c r="D2784" s="16" t="str">
        <f>IFERROR(__xludf.DUMMYFUNCTION("""COMPUTED_VALUE"""),"cye*****5@mail.edu.tw")</f>
        <v>cye*****5@mail.edu.tw</v>
      </c>
      <c r="E2784" s="17" t="str">
        <f>IFERROR(__xludf.DUMMYFUNCTION("""COMPUTED_VALUE"""),"彰化縣溪州鄉南州國民小學")</f>
        <v>彰化縣溪州鄉南州國民小學</v>
      </c>
      <c r="F2784" s="14" t="str">
        <f>IFERROR(__xludf.DUMMYFUNCTION("""COMPUTED_VALUE"""),"六年級")</f>
        <v>六年級</v>
      </c>
      <c r="G2784" s="14" t="str">
        <f>IFERROR(__xludf.DUMMYFUNCTION("""COMPUTED_VALUE"""),"獎狀")</f>
        <v>獎狀</v>
      </c>
      <c r="H2784" s="8"/>
    </row>
    <row r="2785">
      <c r="A2785" s="18"/>
      <c r="B2785" s="14">
        <f>IFERROR(__xludf.DUMMYFUNCTION("""COMPUTED_VALUE"""),806833.0)</f>
        <v>806833</v>
      </c>
      <c r="C2785" s="14" t="str">
        <f>IFERROR(__xludf.DUMMYFUNCTION("""COMPUTED_VALUE"""),"陳帟玲")</f>
        <v>陳帟玲</v>
      </c>
      <c r="D2785" s="16" t="str">
        <f>IFERROR(__xludf.DUMMYFUNCTION("""COMPUTED_VALUE"""),"nj1*****mail.edu.tw")</f>
        <v>nj1*****mail.edu.tw</v>
      </c>
      <c r="E2785" s="17" t="str">
        <f>IFERROR(__xludf.DUMMYFUNCTION("""COMPUTED_VALUE"""),"彰化縣溪州鄉南州國民小學")</f>
        <v>彰化縣溪州鄉南州國民小學</v>
      </c>
      <c r="F2785" s="14" t="str">
        <f>IFERROR(__xludf.DUMMYFUNCTION("""COMPUTED_VALUE"""),"六年級")</f>
        <v>六年級</v>
      </c>
      <c r="G2785" s="14" t="str">
        <f>IFERROR(__xludf.DUMMYFUNCTION("""COMPUTED_VALUE"""),"獎狀")</f>
        <v>獎狀</v>
      </c>
      <c r="H2785" s="8"/>
    </row>
    <row r="2786">
      <c r="A2786" s="18"/>
      <c r="B2786" s="14">
        <f>IFERROR(__xludf.DUMMYFUNCTION("""COMPUTED_VALUE"""),806841.0)</f>
        <v>806841</v>
      </c>
      <c r="C2786" s="14" t="str">
        <f>IFERROR(__xludf.DUMMYFUNCTION("""COMPUTED_VALUE"""),"廖禹陶")</f>
        <v>廖禹陶</v>
      </c>
      <c r="D2786" s="16" t="str">
        <f>IFERROR(__xludf.DUMMYFUNCTION("""COMPUTED_VALUE"""),"rye*****8@mail.edu.tw")</f>
        <v>rye*****8@mail.edu.tw</v>
      </c>
      <c r="E2786" s="17" t="str">
        <f>IFERROR(__xludf.DUMMYFUNCTION("""COMPUTED_VALUE"""),"彰化縣溪州鄉南州國民小學")</f>
        <v>彰化縣溪州鄉南州國民小學</v>
      </c>
      <c r="F2786" s="14" t="str">
        <f>IFERROR(__xludf.DUMMYFUNCTION("""COMPUTED_VALUE"""),"六年級")</f>
        <v>六年級</v>
      </c>
      <c r="G2786" s="14" t="str">
        <f>IFERROR(__xludf.DUMMYFUNCTION("""COMPUTED_VALUE"""),"獎狀")</f>
        <v>獎狀</v>
      </c>
      <c r="H2786" s="8"/>
    </row>
    <row r="2787">
      <c r="A2787" s="18"/>
      <c r="B2787" s="14">
        <f>IFERROR(__xludf.DUMMYFUNCTION("""COMPUTED_VALUE"""),1186898.0)</f>
        <v>1186898</v>
      </c>
      <c r="C2787" s="14" t="str">
        <f>IFERROR(__xludf.DUMMYFUNCTION("""COMPUTED_VALUE"""),"宋尚恩")</f>
        <v>宋尚恩</v>
      </c>
      <c r="D2787" s="16" t="str">
        <f>IFERROR(__xludf.DUMMYFUNCTION("""COMPUTED_VALUE"""),"cge*****06@mail.edu.tw")</f>
        <v>cge*****06@mail.edu.tw</v>
      </c>
      <c r="E2787" s="17" t="str">
        <f>IFERROR(__xludf.DUMMYFUNCTION("""COMPUTED_VALUE"""),"彰化縣溪州鄉成功國民小學")</f>
        <v>彰化縣溪州鄉成功國民小學</v>
      </c>
      <c r="F2787" s="14" t="str">
        <f>IFERROR(__xludf.DUMMYFUNCTION("""COMPUTED_VALUE"""),"三年級")</f>
        <v>三年級</v>
      </c>
      <c r="G2787" s="14" t="str">
        <f>IFERROR(__xludf.DUMMYFUNCTION("""COMPUTED_VALUE"""),"獎狀")</f>
        <v>獎狀</v>
      </c>
      <c r="H2787" s="8"/>
    </row>
    <row r="2788">
      <c r="A2788" s="18"/>
      <c r="B2788" s="14">
        <f>IFERROR(__xludf.DUMMYFUNCTION("""COMPUTED_VALUE"""),532733.0)</f>
        <v>532733</v>
      </c>
      <c r="C2788" s="14" t="str">
        <f>IFERROR(__xludf.DUMMYFUNCTION("""COMPUTED_VALUE"""),"徐彩榕")</f>
        <v>徐彩榕</v>
      </c>
      <c r="D2788" s="16" t="str">
        <f>IFERROR(__xludf.DUMMYFUNCTION("""COMPUTED_VALUE"""),"cge*****22@mail.edu.tw")</f>
        <v>cge*****22@mail.edu.tw</v>
      </c>
      <c r="E2788" s="17" t="str">
        <f>IFERROR(__xludf.DUMMYFUNCTION("""COMPUTED_VALUE"""),"彰化縣溪州鄉成功國民小學")</f>
        <v>彰化縣溪州鄉成功國民小學</v>
      </c>
      <c r="F2788" s="14" t="str">
        <f>IFERROR(__xludf.DUMMYFUNCTION("""COMPUTED_VALUE"""),"四年級")</f>
        <v>四年級</v>
      </c>
      <c r="G2788" s="14" t="str">
        <f>IFERROR(__xludf.DUMMYFUNCTION("""COMPUTED_VALUE"""),"★禮券$500")</f>
        <v>★禮券$500</v>
      </c>
      <c r="H2788" s="8"/>
    </row>
    <row r="2789">
      <c r="A2789" s="18"/>
      <c r="B2789" s="14">
        <f>IFERROR(__xludf.DUMMYFUNCTION("""COMPUTED_VALUE"""),1106988.0)</f>
        <v>1106988</v>
      </c>
      <c r="C2789" s="14" t="str">
        <f>IFERROR(__xludf.DUMMYFUNCTION("""COMPUTED_VALUE"""),"王彥博")</f>
        <v>王彥博</v>
      </c>
      <c r="D2789" s="16" t="str">
        <f>IFERROR(__xludf.DUMMYFUNCTION("""COMPUTED_VALUE"""),"cge*****02@mail.edu.tw")</f>
        <v>cge*****02@mail.edu.tw</v>
      </c>
      <c r="E2789" s="17" t="str">
        <f>IFERROR(__xludf.DUMMYFUNCTION("""COMPUTED_VALUE"""),"彰化縣溪州鄉成功國民小學")</f>
        <v>彰化縣溪州鄉成功國民小學</v>
      </c>
      <c r="F2789" s="14" t="str">
        <f>IFERROR(__xludf.DUMMYFUNCTION("""COMPUTED_VALUE"""),"四年級")</f>
        <v>四年級</v>
      </c>
      <c r="G2789" s="14" t="str">
        <f>IFERROR(__xludf.DUMMYFUNCTION("""COMPUTED_VALUE"""),"獎狀")</f>
        <v>獎狀</v>
      </c>
      <c r="H2789" s="8"/>
    </row>
    <row r="2790">
      <c r="A2790" s="18"/>
      <c r="B2790" s="14">
        <f>IFERROR(__xludf.DUMMYFUNCTION("""COMPUTED_VALUE"""),1107019.0)</f>
        <v>1107019</v>
      </c>
      <c r="C2790" s="14" t="str">
        <f>IFERROR(__xludf.DUMMYFUNCTION("""COMPUTED_VALUE"""),"鄭沛莘")</f>
        <v>鄭沛莘</v>
      </c>
      <c r="D2790" s="16" t="str">
        <f>IFERROR(__xludf.DUMMYFUNCTION("""COMPUTED_VALUE"""),"cge*****20@mail.edu.tw")</f>
        <v>cge*****20@mail.edu.tw</v>
      </c>
      <c r="E2790" s="17" t="str">
        <f>IFERROR(__xludf.DUMMYFUNCTION("""COMPUTED_VALUE"""),"彰化縣溪州鄉成功國民小學")</f>
        <v>彰化縣溪州鄉成功國民小學</v>
      </c>
      <c r="F2790" s="14" t="str">
        <f>IFERROR(__xludf.DUMMYFUNCTION("""COMPUTED_VALUE"""),"四年級")</f>
        <v>四年級</v>
      </c>
      <c r="G2790" s="14" t="str">
        <f>IFERROR(__xludf.DUMMYFUNCTION("""COMPUTED_VALUE"""),"獎狀")</f>
        <v>獎狀</v>
      </c>
      <c r="H2790" s="8"/>
    </row>
    <row r="2791">
      <c r="A2791" s="18"/>
      <c r="B2791" s="14">
        <f>IFERROR(__xludf.DUMMYFUNCTION("""COMPUTED_VALUE"""),1106966.0)</f>
        <v>1106966</v>
      </c>
      <c r="C2791" s="14" t="str">
        <f>IFERROR(__xludf.DUMMYFUNCTION("""COMPUTED_VALUE"""),"鄭凱蓬")</f>
        <v>鄭凱蓬</v>
      </c>
      <c r="D2791" s="16" t="str">
        <f>IFERROR(__xludf.DUMMYFUNCTION("""COMPUTED_VALUE"""),"cge*****12@mail.edu.tw")</f>
        <v>cge*****12@mail.edu.tw</v>
      </c>
      <c r="E2791" s="17" t="str">
        <f>IFERROR(__xludf.DUMMYFUNCTION("""COMPUTED_VALUE"""),"彰化縣溪州鄉成功國民小學")</f>
        <v>彰化縣溪州鄉成功國民小學</v>
      </c>
      <c r="F2791" s="14" t="str">
        <f>IFERROR(__xludf.DUMMYFUNCTION("""COMPUTED_VALUE"""),"四年級")</f>
        <v>四年級</v>
      </c>
      <c r="G2791" s="14" t="str">
        <f>IFERROR(__xludf.DUMMYFUNCTION("""COMPUTED_VALUE"""),"獎狀")</f>
        <v>獎狀</v>
      </c>
      <c r="H2791" s="8"/>
    </row>
    <row r="2792">
      <c r="A2792" s="18"/>
      <c r="B2792" s="14">
        <f>IFERROR(__xludf.DUMMYFUNCTION("""COMPUTED_VALUE"""),654357.0)</f>
        <v>654357</v>
      </c>
      <c r="C2792" s="14" t="str">
        <f>IFERROR(__xludf.DUMMYFUNCTION("""COMPUTED_VALUE"""),"鄭期升")</f>
        <v>鄭期升</v>
      </c>
      <c r="D2792" s="16" t="str">
        <f>IFERROR(__xludf.DUMMYFUNCTION("""COMPUTED_VALUE"""),"cge*****05@mail.edu.tw")</f>
        <v>cge*****05@mail.edu.tw</v>
      </c>
      <c r="E2792" s="17" t="str">
        <f>IFERROR(__xludf.DUMMYFUNCTION("""COMPUTED_VALUE"""),"彰化縣溪州鄉成功國民小學")</f>
        <v>彰化縣溪州鄉成功國民小學</v>
      </c>
      <c r="F2792" s="14" t="str">
        <f>IFERROR(__xludf.DUMMYFUNCTION("""COMPUTED_VALUE"""),"四年級")</f>
        <v>四年級</v>
      </c>
      <c r="G2792" s="14" t="str">
        <f>IFERROR(__xludf.DUMMYFUNCTION("""COMPUTED_VALUE"""),"獎狀")</f>
        <v>獎狀</v>
      </c>
      <c r="H2792" s="8"/>
    </row>
    <row r="2793">
      <c r="A2793" s="18"/>
      <c r="B2793" s="14">
        <f>IFERROR(__xludf.DUMMYFUNCTION("""COMPUTED_VALUE"""),1106979.0)</f>
        <v>1106979</v>
      </c>
      <c r="C2793" s="14" t="str">
        <f>IFERROR(__xludf.DUMMYFUNCTION("""COMPUTED_VALUE"""),"謝進傑")</f>
        <v>謝進傑</v>
      </c>
      <c r="D2793" s="16" t="str">
        <f>IFERROR(__xludf.DUMMYFUNCTION("""COMPUTED_VALUE"""),"cge*****10@mail.edu.tw")</f>
        <v>cge*****10@mail.edu.tw</v>
      </c>
      <c r="E2793" s="17" t="str">
        <f>IFERROR(__xludf.DUMMYFUNCTION("""COMPUTED_VALUE"""),"彰化縣溪州鄉成功國民小學")</f>
        <v>彰化縣溪州鄉成功國民小學</v>
      </c>
      <c r="F2793" s="14" t="str">
        <f>IFERROR(__xludf.DUMMYFUNCTION("""COMPUTED_VALUE"""),"四年級")</f>
        <v>四年級</v>
      </c>
      <c r="G2793" s="14" t="str">
        <f>IFERROR(__xludf.DUMMYFUNCTION("""COMPUTED_VALUE"""),"獎狀")</f>
        <v>獎狀</v>
      </c>
      <c r="H2793" s="8"/>
    </row>
    <row r="2794">
      <c r="A2794" s="18"/>
      <c r="B2794" s="14">
        <f>IFERROR(__xludf.DUMMYFUNCTION("""COMPUTED_VALUE"""),819410.0)</f>
        <v>819410</v>
      </c>
      <c r="C2794" s="14" t="str">
        <f>IFERROR(__xludf.DUMMYFUNCTION("""COMPUTED_VALUE"""),"彭育淋")</f>
        <v>彭育淋</v>
      </c>
      <c r="D2794" s="16" t="str">
        <f>IFERROR(__xludf.DUMMYFUNCTION("""COMPUTED_VALUE"""),"cge*****25@mail.edu.tw")</f>
        <v>cge*****25@mail.edu.tw</v>
      </c>
      <c r="E2794" s="17" t="str">
        <f>IFERROR(__xludf.DUMMYFUNCTION("""COMPUTED_VALUE"""),"彰化縣溪州鄉成功國民小學")</f>
        <v>彰化縣溪州鄉成功國民小學</v>
      </c>
      <c r="F2794" s="14" t="str">
        <f>IFERROR(__xludf.DUMMYFUNCTION("""COMPUTED_VALUE"""),"五年級")</f>
        <v>五年級</v>
      </c>
      <c r="G2794" s="14" t="str">
        <f>IFERROR(__xludf.DUMMYFUNCTION("""COMPUTED_VALUE"""),"●小禮物")</f>
        <v>●小禮物</v>
      </c>
      <c r="H2794" s="8"/>
    </row>
    <row r="2795">
      <c r="A2795" s="18"/>
      <c r="B2795" s="14">
        <f>IFERROR(__xludf.DUMMYFUNCTION("""COMPUTED_VALUE"""),825514.0)</f>
        <v>825514</v>
      </c>
      <c r="C2795" s="14" t="str">
        <f>IFERROR(__xludf.DUMMYFUNCTION("""COMPUTED_VALUE"""),"鄭甬紳")</f>
        <v>鄭甬紳</v>
      </c>
      <c r="D2795" s="16" t="str">
        <f>IFERROR(__xludf.DUMMYFUNCTION("""COMPUTED_VALUE"""),"cge*****24@mail.edu.tw")</f>
        <v>cge*****24@mail.edu.tw</v>
      </c>
      <c r="E2795" s="17" t="str">
        <f>IFERROR(__xludf.DUMMYFUNCTION("""COMPUTED_VALUE"""),"彰化縣溪州鄉成功國民小學")</f>
        <v>彰化縣溪州鄉成功國民小學</v>
      </c>
      <c r="F2795" s="14" t="str">
        <f>IFERROR(__xludf.DUMMYFUNCTION("""COMPUTED_VALUE"""),"五年級")</f>
        <v>五年級</v>
      </c>
      <c r="G2795" s="14" t="str">
        <f>IFERROR(__xludf.DUMMYFUNCTION("""COMPUTED_VALUE"""),"●小禮物")</f>
        <v>●小禮物</v>
      </c>
      <c r="H2795" s="8"/>
    </row>
    <row r="2796">
      <c r="A2796" s="18"/>
      <c r="B2796" s="14">
        <f>IFERROR(__xludf.DUMMYFUNCTION("""COMPUTED_VALUE"""),819393.0)</f>
        <v>819393</v>
      </c>
      <c r="C2796" s="14" t="str">
        <f>IFERROR(__xludf.DUMMYFUNCTION("""COMPUTED_VALUE"""),"王亞傳")</f>
        <v>王亞傳</v>
      </c>
      <c r="D2796" s="16" t="str">
        <f>IFERROR(__xludf.DUMMYFUNCTION("""COMPUTED_VALUE"""),"cge*****27@mail.edu.tw")</f>
        <v>cge*****27@mail.edu.tw</v>
      </c>
      <c r="E2796" s="17" t="str">
        <f>IFERROR(__xludf.DUMMYFUNCTION("""COMPUTED_VALUE"""),"彰化縣溪州鄉成功國民小學")</f>
        <v>彰化縣溪州鄉成功國民小學</v>
      </c>
      <c r="F2796" s="14" t="str">
        <f>IFERROR(__xludf.DUMMYFUNCTION("""COMPUTED_VALUE"""),"五年級")</f>
        <v>五年級</v>
      </c>
      <c r="G2796" s="14" t="str">
        <f>IFERROR(__xludf.DUMMYFUNCTION("""COMPUTED_VALUE"""),"獎狀")</f>
        <v>獎狀</v>
      </c>
      <c r="H2796" s="8"/>
    </row>
    <row r="2797">
      <c r="A2797" s="18"/>
      <c r="B2797" s="14">
        <f>IFERROR(__xludf.DUMMYFUNCTION("""COMPUTED_VALUE"""),471849.0)</f>
        <v>471849</v>
      </c>
      <c r="C2797" s="14" t="str">
        <f>IFERROR(__xludf.DUMMYFUNCTION("""COMPUTED_VALUE"""),"鄭昕榮")</f>
        <v>鄭昕榮</v>
      </c>
      <c r="D2797" s="16" t="str">
        <f>IFERROR(__xludf.DUMMYFUNCTION("""COMPUTED_VALUE"""),"sr1*****ail.edu.tw")</f>
        <v>sr1*****ail.edu.tw</v>
      </c>
      <c r="E2797" s="17" t="str">
        <f>IFERROR(__xludf.DUMMYFUNCTION("""COMPUTED_VALUE"""),"彰化縣溪州鄉成功國民小學")</f>
        <v>彰化縣溪州鄉成功國民小學</v>
      </c>
      <c r="F2797" s="14" t="str">
        <f>IFERROR(__xludf.DUMMYFUNCTION("""COMPUTED_VALUE"""),"五年級")</f>
        <v>五年級</v>
      </c>
      <c r="G2797" s="14" t="str">
        <f>IFERROR(__xludf.DUMMYFUNCTION("""COMPUTED_VALUE"""),"獎狀")</f>
        <v>獎狀</v>
      </c>
      <c r="H2797" s="8"/>
    </row>
    <row r="2798">
      <c r="A2798" s="18"/>
      <c r="B2798" s="14">
        <f>IFERROR(__xludf.DUMMYFUNCTION("""COMPUTED_VALUE"""),819419.0)</f>
        <v>819419</v>
      </c>
      <c r="C2798" s="14" t="str">
        <f>IFERROR(__xludf.DUMMYFUNCTION("""COMPUTED_VALUE"""),"鄭喬亘")</f>
        <v>鄭喬亘</v>
      </c>
      <c r="D2798" s="16" t="str">
        <f>IFERROR(__xludf.DUMMYFUNCTION("""COMPUTED_VALUE"""),"cge*****33@mail.edu.tw")</f>
        <v>cge*****33@mail.edu.tw</v>
      </c>
      <c r="E2798" s="17" t="str">
        <f>IFERROR(__xludf.DUMMYFUNCTION("""COMPUTED_VALUE"""),"彰化縣溪州鄉成功國民小學")</f>
        <v>彰化縣溪州鄉成功國民小學</v>
      </c>
      <c r="F2798" s="14" t="str">
        <f>IFERROR(__xludf.DUMMYFUNCTION("""COMPUTED_VALUE"""),"五年級")</f>
        <v>五年級</v>
      </c>
      <c r="G2798" s="14" t="str">
        <f>IFERROR(__xludf.DUMMYFUNCTION("""COMPUTED_VALUE"""),"獎狀")</f>
        <v>獎狀</v>
      </c>
      <c r="H2798" s="8"/>
    </row>
    <row r="2799">
      <c r="A2799" s="18"/>
      <c r="B2799" s="14">
        <f>IFERROR(__xludf.DUMMYFUNCTION("""COMPUTED_VALUE"""),819066.0)</f>
        <v>819066</v>
      </c>
      <c r="C2799" s="14" t="str">
        <f>IFERROR(__xludf.DUMMYFUNCTION("""COMPUTED_VALUE"""),"宋芯羽")</f>
        <v>宋芯羽</v>
      </c>
      <c r="D2799" s="16" t="str">
        <f>IFERROR(__xludf.DUMMYFUNCTION("""COMPUTED_VALUE"""),"cge*****4@mail.edu.tw")</f>
        <v>cge*****4@mail.edu.tw</v>
      </c>
      <c r="E2799" s="17" t="str">
        <f>IFERROR(__xludf.DUMMYFUNCTION("""COMPUTED_VALUE"""),"彰化縣溪州鄉成功國民小學")</f>
        <v>彰化縣溪州鄉成功國民小學</v>
      </c>
      <c r="F2799" s="14" t="str">
        <f>IFERROR(__xludf.DUMMYFUNCTION("""COMPUTED_VALUE"""),"五年級")</f>
        <v>五年級</v>
      </c>
      <c r="G2799" s="14" t="str">
        <f>IFERROR(__xludf.DUMMYFUNCTION("""COMPUTED_VALUE"""),"●小禮物")</f>
        <v>●小禮物</v>
      </c>
      <c r="H2799" s="8"/>
    </row>
    <row r="2800">
      <c r="A2800" s="18"/>
      <c r="B2800" s="14">
        <f>IFERROR(__xludf.DUMMYFUNCTION("""COMPUTED_VALUE"""),819085.0)</f>
        <v>819085</v>
      </c>
      <c r="C2800" s="14" t="str">
        <f>IFERROR(__xludf.DUMMYFUNCTION("""COMPUTED_VALUE"""),"吳宥承")</f>
        <v>吳宥承</v>
      </c>
      <c r="D2800" s="16" t="str">
        <f>IFERROR(__xludf.DUMMYFUNCTION("""COMPUTED_VALUE"""),"cge*****06@mail.edu.tw")</f>
        <v>cge*****06@mail.edu.tw</v>
      </c>
      <c r="E2800" s="17" t="str">
        <f>IFERROR(__xludf.DUMMYFUNCTION("""COMPUTED_VALUE"""),"彰化縣溪州鄉成功國民小學")</f>
        <v>彰化縣溪州鄉成功國民小學</v>
      </c>
      <c r="F2800" s="14" t="str">
        <f>IFERROR(__xludf.DUMMYFUNCTION("""COMPUTED_VALUE"""),"五年級")</f>
        <v>五年級</v>
      </c>
      <c r="G2800" s="14" t="str">
        <f>IFERROR(__xludf.DUMMYFUNCTION("""COMPUTED_VALUE"""),"獎狀")</f>
        <v>獎狀</v>
      </c>
      <c r="H2800" s="8"/>
    </row>
    <row r="2801">
      <c r="A2801" s="18"/>
      <c r="B2801" s="14">
        <f>IFERROR(__xludf.DUMMYFUNCTION("""COMPUTED_VALUE"""),819062.0)</f>
        <v>819062</v>
      </c>
      <c r="C2801" s="14" t="str">
        <f>IFERROR(__xludf.DUMMYFUNCTION("""COMPUTED_VALUE"""),"葉家豪")</f>
        <v>葉家豪</v>
      </c>
      <c r="D2801" s="16" t="str">
        <f>IFERROR(__xludf.DUMMYFUNCTION("""COMPUTED_VALUE"""),"cge*****08@mail.edu.tw")</f>
        <v>cge*****08@mail.edu.tw</v>
      </c>
      <c r="E2801" s="17" t="str">
        <f>IFERROR(__xludf.DUMMYFUNCTION("""COMPUTED_VALUE"""),"彰化縣溪州鄉成功國民小學")</f>
        <v>彰化縣溪州鄉成功國民小學</v>
      </c>
      <c r="F2801" s="14" t="str">
        <f>IFERROR(__xludf.DUMMYFUNCTION("""COMPUTED_VALUE"""),"五年級")</f>
        <v>五年級</v>
      </c>
      <c r="G2801" s="14" t="str">
        <f>IFERROR(__xludf.DUMMYFUNCTION("""COMPUTED_VALUE"""),"獎狀")</f>
        <v>獎狀</v>
      </c>
      <c r="H2801" s="8"/>
    </row>
    <row r="2802">
      <c r="A2802" s="18"/>
      <c r="B2802" s="14">
        <f>IFERROR(__xludf.DUMMYFUNCTION("""COMPUTED_VALUE"""),819072.0)</f>
        <v>819072</v>
      </c>
      <c r="C2802" s="14" t="str">
        <f>IFERROR(__xludf.DUMMYFUNCTION("""COMPUTED_VALUE"""),"鄭宇勝")</f>
        <v>鄭宇勝</v>
      </c>
      <c r="D2802" s="16" t="str">
        <f>IFERROR(__xludf.DUMMYFUNCTION("""COMPUTED_VALUE"""),"cge*****09@mail.edu.tw")</f>
        <v>cge*****09@mail.edu.tw</v>
      </c>
      <c r="E2802" s="17" t="str">
        <f>IFERROR(__xludf.DUMMYFUNCTION("""COMPUTED_VALUE"""),"彰化縣溪州鄉成功國民小學")</f>
        <v>彰化縣溪州鄉成功國民小學</v>
      </c>
      <c r="F2802" s="14" t="str">
        <f>IFERROR(__xludf.DUMMYFUNCTION("""COMPUTED_VALUE"""),"五年級")</f>
        <v>五年級</v>
      </c>
      <c r="G2802" s="14" t="str">
        <f>IFERROR(__xludf.DUMMYFUNCTION("""COMPUTED_VALUE"""),"獎狀")</f>
        <v>獎狀</v>
      </c>
      <c r="H2802" s="8"/>
    </row>
    <row r="2803">
      <c r="A2803" s="18"/>
      <c r="B2803" s="14">
        <f>IFERROR(__xludf.DUMMYFUNCTION("""COMPUTED_VALUE"""),559337.0)</f>
        <v>559337</v>
      </c>
      <c r="C2803" s="14" t="str">
        <f>IFERROR(__xludf.DUMMYFUNCTION("""COMPUTED_VALUE"""),"鄭至皓")</f>
        <v>鄭至皓</v>
      </c>
      <c r="D2803" s="16" t="str">
        <f>IFERROR(__xludf.DUMMYFUNCTION("""COMPUTED_VALUE"""),"cge*****03@mail.edu.tw")</f>
        <v>cge*****03@mail.edu.tw</v>
      </c>
      <c r="E2803" s="17" t="str">
        <f>IFERROR(__xludf.DUMMYFUNCTION("""COMPUTED_VALUE"""),"彰化縣溪州鄉成功國民小學")</f>
        <v>彰化縣溪州鄉成功國民小學</v>
      </c>
      <c r="F2803" s="14" t="str">
        <f>IFERROR(__xludf.DUMMYFUNCTION("""COMPUTED_VALUE"""),"五年級")</f>
        <v>五年級</v>
      </c>
      <c r="G2803" s="14" t="str">
        <f>IFERROR(__xludf.DUMMYFUNCTION("""COMPUTED_VALUE"""),"獎狀")</f>
        <v>獎狀</v>
      </c>
      <c r="H2803" s="8"/>
    </row>
    <row r="2804">
      <c r="A2804" s="18"/>
      <c r="B2804" s="14">
        <f>IFERROR(__xludf.DUMMYFUNCTION("""COMPUTED_VALUE"""),819065.0)</f>
        <v>819065</v>
      </c>
      <c r="C2804" s="14" t="str">
        <f>IFERROR(__xludf.DUMMYFUNCTION("""COMPUTED_VALUE"""),"鄭忻汝")</f>
        <v>鄭忻汝</v>
      </c>
      <c r="D2804" s="16" t="str">
        <f>IFERROR(__xludf.DUMMYFUNCTION("""COMPUTED_VALUE"""),"cge*****10@mail.edu.tw")</f>
        <v>cge*****10@mail.edu.tw</v>
      </c>
      <c r="E2804" s="17" t="str">
        <f>IFERROR(__xludf.DUMMYFUNCTION("""COMPUTED_VALUE"""),"彰化縣溪州鄉成功國民小學")</f>
        <v>彰化縣溪州鄉成功國民小學</v>
      </c>
      <c r="F2804" s="14" t="str">
        <f>IFERROR(__xludf.DUMMYFUNCTION("""COMPUTED_VALUE"""),"五年級")</f>
        <v>五年級</v>
      </c>
      <c r="G2804" s="14" t="str">
        <f>IFERROR(__xludf.DUMMYFUNCTION("""COMPUTED_VALUE"""),"獎狀")</f>
        <v>獎狀</v>
      </c>
      <c r="H2804" s="8"/>
    </row>
    <row r="2805">
      <c r="A2805" s="18"/>
      <c r="B2805" s="14">
        <f>IFERROR(__xludf.DUMMYFUNCTION("""COMPUTED_VALUE"""),801811.0)</f>
        <v>801811</v>
      </c>
      <c r="C2805" s="14" t="str">
        <f>IFERROR(__xludf.DUMMYFUNCTION("""COMPUTED_VALUE"""),"呂峻維")</f>
        <v>呂峻維</v>
      </c>
      <c r="D2805" s="16" t="str">
        <f>IFERROR(__xludf.DUMMYFUNCTION("""COMPUTED_VALUE"""),"cge*****029@mail.edu.tw")</f>
        <v>cge*****029@mail.edu.tw</v>
      </c>
      <c r="E2805" s="17" t="str">
        <f>IFERROR(__xludf.DUMMYFUNCTION("""COMPUTED_VALUE"""),"彰化縣溪州鄉成功國民小學")</f>
        <v>彰化縣溪州鄉成功國民小學</v>
      </c>
      <c r="F2805" s="14" t="str">
        <f>IFERROR(__xludf.DUMMYFUNCTION("""COMPUTED_VALUE"""),"六年級")</f>
        <v>六年級</v>
      </c>
      <c r="G2805" s="14" t="str">
        <f>IFERROR(__xludf.DUMMYFUNCTION("""COMPUTED_VALUE"""),"●小禮物")</f>
        <v>●小禮物</v>
      </c>
      <c r="H2805" s="8"/>
    </row>
    <row r="2806">
      <c r="A2806" s="18"/>
      <c r="B2806" s="14">
        <f>IFERROR(__xludf.DUMMYFUNCTION("""COMPUTED_VALUE"""),801821.0)</f>
        <v>801821</v>
      </c>
      <c r="C2806" s="14" t="str">
        <f>IFERROR(__xludf.DUMMYFUNCTION("""COMPUTED_VALUE"""),"邱沛淳")</f>
        <v>邱沛淳</v>
      </c>
      <c r="D2806" s="16" t="str">
        <f>IFERROR(__xludf.DUMMYFUNCTION("""COMPUTED_VALUE"""),"cge*****022@mail.edu.tw")</f>
        <v>cge*****022@mail.edu.tw</v>
      </c>
      <c r="E2806" s="17" t="str">
        <f>IFERROR(__xludf.DUMMYFUNCTION("""COMPUTED_VALUE"""),"彰化縣溪州鄉成功國民小學")</f>
        <v>彰化縣溪州鄉成功國民小學</v>
      </c>
      <c r="F2806" s="14" t="str">
        <f>IFERROR(__xludf.DUMMYFUNCTION("""COMPUTED_VALUE"""),"六年級")</f>
        <v>六年級</v>
      </c>
      <c r="G2806" s="14" t="str">
        <f>IFERROR(__xludf.DUMMYFUNCTION("""COMPUTED_VALUE"""),"●小禮物")</f>
        <v>●小禮物</v>
      </c>
      <c r="H2806" s="8"/>
    </row>
    <row r="2807">
      <c r="A2807" s="18"/>
      <c r="B2807" s="14">
        <f>IFERROR(__xludf.DUMMYFUNCTION("""COMPUTED_VALUE"""),801810.0)</f>
        <v>801810</v>
      </c>
      <c r="C2807" s="14" t="str">
        <f>IFERROR(__xludf.DUMMYFUNCTION("""COMPUTED_VALUE"""),"陳羿嫣")</f>
        <v>陳羿嫣</v>
      </c>
      <c r="D2807" s="16" t="str">
        <f>IFERROR(__xludf.DUMMYFUNCTION("""COMPUTED_VALUE"""),"cge*****015@mail.edu.tw")</f>
        <v>cge*****015@mail.edu.tw</v>
      </c>
      <c r="E2807" s="17" t="str">
        <f>IFERROR(__xludf.DUMMYFUNCTION("""COMPUTED_VALUE"""),"彰化縣溪州鄉成功國民小學")</f>
        <v>彰化縣溪州鄉成功國民小學</v>
      </c>
      <c r="F2807" s="14" t="str">
        <f>IFERROR(__xludf.DUMMYFUNCTION("""COMPUTED_VALUE"""),"六年級")</f>
        <v>六年級</v>
      </c>
      <c r="G2807" s="14" t="str">
        <f>IFERROR(__xludf.DUMMYFUNCTION("""COMPUTED_VALUE"""),"●小禮物")</f>
        <v>●小禮物</v>
      </c>
      <c r="H2807" s="8"/>
    </row>
    <row r="2808">
      <c r="A2808" s="18"/>
      <c r="B2808" s="14">
        <f>IFERROR(__xludf.DUMMYFUNCTION("""COMPUTED_VALUE"""),801818.0)</f>
        <v>801818</v>
      </c>
      <c r="C2808" s="14" t="str">
        <f>IFERROR(__xludf.DUMMYFUNCTION("""COMPUTED_VALUE"""),"鄭雅馨")</f>
        <v>鄭雅馨</v>
      </c>
      <c r="D2808" s="16" t="str">
        <f>IFERROR(__xludf.DUMMYFUNCTION("""COMPUTED_VALUE"""),"cge*****019@mail.edu.tw")</f>
        <v>cge*****019@mail.edu.tw</v>
      </c>
      <c r="E2808" s="17" t="str">
        <f>IFERROR(__xludf.DUMMYFUNCTION("""COMPUTED_VALUE"""),"彰化縣溪州鄉成功國民小學")</f>
        <v>彰化縣溪州鄉成功國民小學</v>
      </c>
      <c r="F2808" s="14" t="str">
        <f>IFERROR(__xludf.DUMMYFUNCTION("""COMPUTED_VALUE"""),"六年級")</f>
        <v>六年級</v>
      </c>
      <c r="G2808" s="14" t="str">
        <f>IFERROR(__xludf.DUMMYFUNCTION("""COMPUTED_VALUE"""),"●小禮物")</f>
        <v>●小禮物</v>
      </c>
      <c r="H2808" s="8"/>
    </row>
    <row r="2809">
      <c r="A2809" s="18"/>
      <c r="B2809" s="14">
        <f>IFERROR(__xludf.DUMMYFUNCTION("""COMPUTED_VALUE"""),559961.0)</f>
        <v>559961</v>
      </c>
      <c r="C2809" s="14" t="str">
        <f>IFERROR(__xludf.DUMMYFUNCTION("""COMPUTED_VALUE"""),"王彥鈞")</f>
        <v>王彥鈞</v>
      </c>
      <c r="D2809" s="16" t="str">
        <f>IFERROR(__xludf.DUMMYFUNCTION("""COMPUTED_VALUE"""),"cge*****009@mail.edu.tw")</f>
        <v>cge*****009@mail.edu.tw</v>
      </c>
      <c r="E2809" s="17" t="str">
        <f>IFERROR(__xludf.DUMMYFUNCTION("""COMPUTED_VALUE"""),"彰化縣溪州鄉成功國民小學")</f>
        <v>彰化縣溪州鄉成功國民小學</v>
      </c>
      <c r="F2809" s="14" t="str">
        <f>IFERROR(__xludf.DUMMYFUNCTION("""COMPUTED_VALUE"""),"六年級")</f>
        <v>六年級</v>
      </c>
      <c r="G2809" s="14" t="str">
        <f>IFERROR(__xludf.DUMMYFUNCTION("""COMPUTED_VALUE"""),"獎狀")</f>
        <v>獎狀</v>
      </c>
      <c r="H2809" s="8"/>
    </row>
    <row r="2810">
      <c r="A2810" s="18"/>
      <c r="B2810" s="14">
        <f>IFERROR(__xludf.DUMMYFUNCTION("""COMPUTED_VALUE"""),801812.0)</f>
        <v>801812</v>
      </c>
      <c r="C2810" s="14" t="str">
        <f>IFERROR(__xludf.DUMMYFUNCTION("""COMPUTED_VALUE"""),"邱浿蓁")</f>
        <v>邱浿蓁</v>
      </c>
      <c r="D2810" s="16" t="str">
        <f>IFERROR(__xludf.DUMMYFUNCTION("""COMPUTED_VALUE"""),"cge*****016@mail.edu.tw")</f>
        <v>cge*****016@mail.edu.tw</v>
      </c>
      <c r="E2810" s="17" t="str">
        <f>IFERROR(__xludf.DUMMYFUNCTION("""COMPUTED_VALUE"""),"彰化縣溪州鄉成功國民小學")</f>
        <v>彰化縣溪州鄉成功國民小學</v>
      </c>
      <c r="F2810" s="14" t="str">
        <f>IFERROR(__xludf.DUMMYFUNCTION("""COMPUTED_VALUE"""),"六年級")</f>
        <v>六年級</v>
      </c>
      <c r="G2810" s="14" t="str">
        <f>IFERROR(__xludf.DUMMYFUNCTION("""COMPUTED_VALUE"""),"獎狀")</f>
        <v>獎狀</v>
      </c>
      <c r="H2810" s="8"/>
    </row>
    <row r="2811">
      <c r="A2811" s="18"/>
      <c r="B2811" s="14">
        <f>IFERROR(__xludf.DUMMYFUNCTION("""COMPUTED_VALUE"""),801814.0)</f>
        <v>801814</v>
      </c>
      <c r="C2811" s="14" t="str">
        <f>IFERROR(__xludf.DUMMYFUNCTION("""COMPUTED_VALUE"""),"陳亭羽")</f>
        <v>陳亭羽</v>
      </c>
      <c r="D2811" s="16" t="str">
        <f>IFERROR(__xludf.DUMMYFUNCTION("""COMPUTED_VALUE"""),"cge*****012@mail.edu.tw")</f>
        <v>cge*****012@mail.edu.tw</v>
      </c>
      <c r="E2811" s="17" t="str">
        <f>IFERROR(__xludf.DUMMYFUNCTION("""COMPUTED_VALUE"""),"彰化縣溪州鄉成功國民小學")</f>
        <v>彰化縣溪州鄉成功國民小學</v>
      </c>
      <c r="F2811" s="14" t="str">
        <f>IFERROR(__xludf.DUMMYFUNCTION("""COMPUTED_VALUE"""),"六年級")</f>
        <v>六年級</v>
      </c>
      <c r="G2811" s="14" t="str">
        <f>IFERROR(__xludf.DUMMYFUNCTION("""COMPUTED_VALUE"""),"獎狀")</f>
        <v>獎狀</v>
      </c>
      <c r="H2811" s="8"/>
    </row>
    <row r="2812">
      <c r="A2812" s="18"/>
      <c r="B2812" s="14">
        <f>IFERROR(__xludf.DUMMYFUNCTION("""COMPUTED_VALUE"""),559962.0)</f>
        <v>559962</v>
      </c>
      <c r="C2812" s="14" t="str">
        <f>IFERROR(__xludf.DUMMYFUNCTION("""COMPUTED_VALUE"""),"陳宥臻")</f>
        <v>陳宥臻</v>
      </c>
      <c r="D2812" s="16" t="str">
        <f>IFERROR(__xludf.DUMMYFUNCTION("""COMPUTED_VALUE"""),"cge*****020@mail.edu.tw")</f>
        <v>cge*****020@mail.edu.tw</v>
      </c>
      <c r="E2812" s="17" t="str">
        <f>IFERROR(__xludf.DUMMYFUNCTION("""COMPUTED_VALUE"""),"彰化縣溪州鄉成功國民小學")</f>
        <v>彰化縣溪州鄉成功國民小學</v>
      </c>
      <c r="F2812" s="14" t="str">
        <f>IFERROR(__xludf.DUMMYFUNCTION("""COMPUTED_VALUE"""),"六年級")</f>
        <v>六年級</v>
      </c>
      <c r="G2812" s="14" t="str">
        <f>IFERROR(__xludf.DUMMYFUNCTION("""COMPUTED_VALUE"""),"獎狀")</f>
        <v>獎狀</v>
      </c>
      <c r="H2812" s="8"/>
    </row>
    <row r="2813">
      <c r="A2813" s="18"/>
      <c r="B2813" s="14">
        <f>IFERROR(__xludf.DUMMYFUNCTION("""COMPUTED_VALUE"""),560000.0)</f>
        <v>560000</v>
      </c>
      <c r="C2813" s="14" t="str">
        <f>IFERROR(__xludf.DUMMYFUNCTION("""COMPUTED_VALUE"""),"鄭安妤")</f>
        <v>鄭安妤</v>
      </c>
      <c r="D2813" s="16" t="str">
        <f>IFERROR(__xludf.DUMMYFUNCTION("""COMPUTED_VALUE"""),"cge*****018@mail.edu.tw")</f>
        <v>cge*****018@mail.edu.tw</v>
      </c>
      <c r="E2813" s="17" t="str">
        <f>IFERROR(__xludf.DUMMYFUNCTION("""COMPUTED_VALUE"""),"彰化縣溪州鄉成功國民小學")</f>
        <v>彰化縣溪州鄉成功國民小學</v>
      </c>
      <c r="F2813" s="14" t="str">
        <f>IFERROR(__xludf.DUMMYFUNCTION("""COMPUTED_VALUE"""),"六年級")</f>
        <v>六年級</v>
      </c>
      <c r="G2813" s="14" t="str">
        <f>IFERROR(__xludf.DUMMYFUNCTION("""COMPUTED_VALUE"""),"獎狀")</f>
        <v>獎狀</v>
      </c>
      <c r="H2813" s="8"/>
    </row>
    <row r="2814">
      <c r="A2814" s="18"/>
      <c r="B2814" s="14">
        <f>IFERROR(__xludf.DUMMYFUNCTION("""COMPUTED_VALUE"""),559968.0)</f>
        <v>559968</v>
      </c>
      <c r="C2814" s="14" t="str">
        <f>IFERROR(__xludf.DUMMYFUNCTION("""COMPUTED_VALUE"""),"鄭凱方")</f>
        <v>鄭凱方</v>
      </c>
      <c r="D2814" s="16" t="str">
        <f>IFERROR(__xludf.DUMMYFUNCTION("""COMPUTED_VALUE"""),"cge*****014@mail.edu.tw")</f>
        <v>cge*****014@mail.edu.tw</v>
      </c>
      <c r="E2814" s="17" t="str">
        <f>IFERROR(__xludf.DUMMYFUNCTION("""COMPUTED_VALUE"""),"彰化縣溪州鄉成功國民小學")</f>
        <v>彰化縣溪州鄉成功國民小學</v>
      </c>
      <c r="F2814" s="14" t="str">
        <f>IFERROR(__xludf.DUMMYFUNCTION("""COMPUTED_VALUE"""),"六年級")</f>
        <v>六年級</v>
      </c>
      <c r="G2814" s="14" t="str">
        <f>IFERROR(__xludf.DUMMYFUNCTION("""COMPUTED_VALUE"""),"獎狀")</f>
        <v>獎狀</v>
      </c>
      <c r="H2814" s="8"/>
    </row>
    <row r="2815">
      <c r="A2815" s="18"/>
      <c r="B2815" s="14">
        <f>IFERROR(__xludf.DUMMYFUNCTION("""COMPUTED_VALUE"""),441751.0)</f>
        <v>441751</v>
      </c>
      <c r="C2815" s="14" t="str">
        <f>IFERROR(__xludf.DUMMYFUNCTION("""COMPUTED_VALUE"""),"鄭瑜沛")</f>
        <v>鄭瑜沛</v>
      </c>
      <c r="D2815" s="16" t="str">
        <f>IFERROR(__xludf.DUMMYFUNCTION("""COMPUTED_VALUE"""),"cge*****017@mail.edu.tw")</f>
        <v>cge*****017@mail.edu.tw</v>
      </c>
      <c r="E2815" s="17" t="str">
        <f>IFERROR(__xludf.DUMMYFUNCTION("""COMPUTED_VALUE"""),"彰化縣溪州鄉成功國民小學")</f>
        <v>彰化縣溪州鄉成功國民小學</v>
      </c>
      <c r="F2815" s="14" t="str">
        <f>IFERROR(__xludf.DUMMYFUNCTION("""COMPUTED_VALUE"""),"六年級")</f>
        <v>六年級</v>
      </c>
      <c r="G2815" s="14" t="str">
        <f>IFERROR(__xludf.DUMMYFUNCTION("""COMPUTED_VALUE"""),"獎狀")</f>
        <v>獎狀</v>
      </c>
      <c r="H2815" s="8"/>
    </row>
    <row r="2816">
      <c r="A2816" s="18"/>
      <c r="B2816" s="14">
        <f>IFERROR(__xludf.DUMMYFUNCTION("""COMPUTED_VALUE"""),517311.0)</f>
        <v>517311</v>
      </c>
      <c r="C2816" s="14" t="str">
        <f>IFERROR(__xludf.DUMMYFUNCTION("""COMPUTED_VALUE"""),"鐘芳妤")</f>
        <v>鐘芳妤</v>
      </c>
      <c r="D2816" s="16" t="str">
        <f>IFERROR(__xludf.DUMMYFUNCTION("""COMPUTED_VALUE"""),"cge*****013@mail.edu.tw")</f>
        <v>cge*****013@mail.edu.tw</v>
      </c>
      <c r="E2816" s="17" t="str">
        <f>IFERROR(__xludf.DUMMYFUNCTION("""COMPUTED_VALUE"""),"彰化縣溪州鄉成功國民小學")</f>
        <v>彰化縣溪州鄉成功國民小學</v>
      </c>
      <c r="F2816" s="14" t="str">
        <f>IFERROR(__xludf.DUMMYFUNCTION("""COMPUTED_VALUE"""),"六年級")</f>
        <v>六年級</v>
      </c>
      <c r="G2816" s="14" t="str">
        <f>IFERROR(__xludf.DUMMYFUNCTION("""COMPUTED_VALUE"""),"獎狀")</f>
        <v>獎狀</v>
      </c>
      <c r="H2816" s="8"/>
    </row>
    <row r="2817">
      <c r="A2817" s="18"/>
      <c r="B2817" s="14">
        <f>IFERROR(__xludf.DUMMYFUNCTION("""COMPUTED_VALUE"""),862844.0)</f>
        <v>862844</v>
      </c>
      <c r="C2817" s="14" t="str">
        <f>IFERROR(__xludf.DUMMYFUNCTION("""COMPUTED_VALUE"""),"劉忻慈")</f>
        <v>劉忻慈</v>
      </c>
      <c r="D2817" s="16" t="str">
        <f>IFERROR(__xludf.DUMMYFUNCTION("""COMPUTED_VALUE"""),"sjp*****14@chc.edu.tw")</f>
        <v>sjp*****14@chc.edu.tw</v>
      </c>
      <c r="E2817" s="17" t="str">
        <f>IFERROR(__xludf.DUMMYFUNCTION("""COMPUTED_VALUE"""),"彰化縣溪州鄉溪州國民小學")</f>
        <v>彰化縣溪州鄉溪州國民小學</v>
      </c>
      <c r="F2817" s="14" t="str">
        <f>IFERROR(__xludf.DUMMYFUNCTION("""COMPUTED_VALUE"""),"六年級")</f>
        <v>六年級</v>
      </c>
      <c r="G2817" s="14" t="str">
        <f>IFERROR(__xludf.DUMMYFUNCTION("""COMPUTED_VALUE"""),"獎狀")</f>
        <v>獎狀</v>
      </c>
      <c r="H2817" s="8"/>
    </row>
    <row r="2818">
      <c r="A2818" s="18"/>
      <c r="B2818" s="14">
        <f>IFERROR(__xludf.DUMMYFUNCTION("""COMPUTED_VALUE"""),815067.0)</f>
        <v>815067</v>
      </c>
      <c r="C2818" s="14" t="str">
        <f>IFERROR(__xludf.DUMMYFUNCTION("""COMPUTED_VALUE"""),"吳沛純")</f>
        <v>吳沛純</v>
      </c>
      <c r="D2818" s="16" t="str">
        <f>IFERROR(__xludf.DUMMYFUNCTION("""COMPUTED_VALUE"""),"amy*****113@gmail.com")</f>
        <v>amy*****113@gmail.com</v>
      </c>
      <c r="E2818" s="17" t="str">
        <f>IFERROR(__xludf.DUMMYFUNCTION("""COMPUTED_VALUE"""),"彰化縣溪州鄉溪州國民小學")</f>
        <v>彰化縣溪州鄉溪州國民小學</v>
      </c>
      <c r="F2818" s="14" t="str">
        <f>IFERROR(__xludf.DUMMYFUNCTION("""COMPUTED_VALUE"""),"六年級")</f>
        <v>六年級</v>
      </c>
      <c r="G2818" s="14" t="str">
        <f>IFERROR(__xludf.DUMMYFUNCTION("""COMPUTED_VALUE"""),"●小禮物")</f>
        <v>●小禮物</v>
      </c>
      <c r="H2818" s="8"/>
    </row>
    <row r="2819">
      <c r="A2819" s="18"/>
      <c r="B2819" s="14">
        <f>IFERROR(__xludf.DUMMYFUNCTION("""COMPUTED_VALUE"""),550661.0)</f>
        <v>550661</v>
      </c>
      <c r="C2819" s="14" t="str">
        <f>IFERROR(__xludf.DUMMYFUNCTION("""COMPUTED_VALUE"""),"洪辰威")</f>
        <v>洪辰威</v>
      </c>
      <c r="D2819" s="16" t="str">
        <f>IFERROR(__xludf.DUMMYFUNCTION("""COMPUTED_VALUE"""),"elp*****18@mail.edu.tw")</f>
        <v>elp*****18@mail.edu.tw</v>
      </c>
      <c r="E2819" s="17" t="str">
        <f>IFERROR(__xludf.DUMMYFUNCTION("""COMPUTED_VALUE"""),"彰化縣二林鎮二林國民小學")</f>
        <v>彰化縣二林鎮二林國民小學</v>
      </c>
      <c r="F2819" s="14" t="str">
        <f>IFERROR(__xludf.DUMMYFUNCTION("""COMPUTED_VALUE"""),"六年級")</f>
        <v>六年級</v>
      </c>
      <c r="G2819" s="14" t="str">
        <f>IFERROR(__xludf.DUMMYFUNCTION("""COMPUTED_VALUE"""),"獎狀")</f>
        <v>獎狀</v>
      </c>
      <c r="H2819" s="8"/>
    </row>
    <row r="2820">
      <c r="A2820" s="18"/>
      <c r="B2820" s="14">
        <f>IFERROR(__xludf.DUMMYFUNCTION("""COMPUTED_VALUE"""),1177246.0)</f>
        <v>1177246</v>
      </c>
      <c r="C2820" s="14" t="str">
        <f>IFERROR(__xludf.DUMMYFUNCTION("""COMPUTED_VALUE"""),"林安倫")</f>
        <v>林安倫</v>
      </c>
      <c r="D2820" s="16" t="str">
        <f>IFERROR(__xludf.DUMMYFUNCTION("""COMPUTED_VALUE"""),"all*****7@mail.edu.tw")</f>
        <v>all*****7@mail.edu.tw</v>
      </c>
      <c r="E2820" s="17" t="str">
        <f>IFERROR(__xludf.DUMMYFUNCTION("""COMPUTED_VALUE"""),"彰化縣二林鎮二林國民小學")</f>
        <v>彰化縣二林鎮二林國民小學</v>
      </c>
      <c r="F2820" s="14" t="str">
        <f>IFERROR(__xludf.DUMMYFUNCTION("""COMPUTED_VALUE"""),"六年級")</f>
        <v>六年級</v>
      </c>
      <c r="G2820" s="14" t="str">
        <f>IFERROR(__xludf.DUMMYFUNCTION("""COMPUTED_VALUE"""),"獎狀")</f>
        <v>獎狀</v>
      </c>
      <c r="H2820" s="8"/>
    </row>
    <row r="2821">
      <c r="A2821" s="18"/>
      <c r="B2821" s="14">
        <f>IFERROR(__xludf.DUMMYFUNCTION("""COMPUTED_VALUE"""),462108.0)</f>
        <v>462108</v>
      </c>
      <c r="C2821" s="14" t="str">
        <f>IFERROR(__xludf.DUMMYFUNCTION("""COMPUTED_VALUE"""),"謝東育")</f>
        <v>謝東育</v>
      </c>
      <c r="D2821" s="16" t="str">
        <f>IFERROR(__xludf.DUMMYFUNCTION("""COMPUTED_VALUE"""),"she*****02@mail.edu.tw")</f>
        <v>she*****02@mail.edu.tw</v>
      </c>
      <c r="E2821" s="17" t="str">
        <f>IFERROR(__xludf.DUMMYFUNCTION("""COMPUTED_VALUE"""),"彰化縣二林鎮興華國民小學")</f>
        <v>彰化縣二林鎮興華國民小學</v>
      </c>
      <c r="F2821" s="14" t="str">
        <f>IFERROR(__xludf.DUMMYFUNCTION("""COMPUTED_VALUE"""),"四年級")</f>
        <v>四年級</v>
      </c>
      <c r="G2821" s="14" t="str">
        <f>IFERROR(__xludf.DUMMYFUNCTION("""COMPUTED_VALUE"""),"獎狀")</f>
        <v>獎狀</v>
      </c>
      <c r="H2821" s="8"/>
    </row>
    <row r="2822">
      <c r="A2822" s="18"/>
      <c r="B2822" s="14">
        <f>IFERROR(__xludf.DUMMYFUNCTION("""COMPUTED_VALUE"""),462151.0)</f>
        <v>462151</v>
      </c>
      <c r="C2822" s="14" t="str">
        <f>IFERROR(__xludf.DUMMYFUNCTION("""COMPUTED_VALUE"""),"林琪潁")</f>
        <v>林琪潁</v>
      </c>
      <c r="D2822" s="16" t="str">
        <f>IFERROR(__xludf.DUMMYFUNCTION("""COMPUTED_VALUE"""),"she*****15@mail.edu.tw")</f>
        <v>she*****15@mail.edu.tw</v>
      </c>
      <c r="E2822" s="17" t="str">
        <f>IFERROR(__xludf.DUMMYFUNCTION("""COMPUTED_VALUE"""),"彰化縣二林鎮興華國民小學")</f>
        <v>彰化縣二林鎮興華國民小學</v>
      </c>
      <c r="F2822" s="14" t="str">
        <f>IFERROR(__xludf.DUMMYFUNCTION("""COMPUTED_VALUE"""),"五年級")</f>
        <v>五年級</v>
      </c>
      <c r="G2822" s="14" t="str">
        <f>IFERROR(__xludf.DUMMYFUNCTION("""COMPUTED_VALUE"""),"●小禮物")</f>
        <v>●小禮物</v>
      </c>
      <c r="H2822" s="8"/>
    </row>
    <row r="2823">
      <c r="A2823" s="18"/>
      <c r="B2823" s="14">
        <f>IFERROR(__xludf.DUMMYFUNCTION("""COMPUTED_VALUE"""),462150.0)</f>
        <v>462150</v>
      </c>
      <c r="C2823" s="14" t="str">
        <f>IFERROR(__xludf.DUMMYFUNCTION("""COMPUTED_VALUE"""),"曾苡瑄")</f>
        <v>曾苡瑄</v>
      </c>
      <c r="D2823" s="16" t="str">
        <f>IFERROR(__xludf.DUMMYFUNCTION("""COMPUTED_VALUE"""),"she*****14@mail.edu.tw")</f>
        <v>she*****14@mail.edu.tw</v>
      </c>
      <c r="E2823" s="17" t="str">
        <f>IFERROR(__xludf.DUMMYFUNCTION("""COMPUTED_VALUE"""),"彰化縣二林鎮興華國民小學")</f>
        <v>彰化縣二林鎮興華國民小學</v>
      </c>
      <c r="F2823" s="14" t="str">
        <f>IFERROR(__xludf.DUMMYFUNCTION("""COMPUTED_VALUE"""),"五年級")</f>
        <v>五年級</v>
      </c>
      <c r="G2823" s="14" t="str">
        <f>IFERROR(__xludf.DUMMYFUNCTION("""COMPUTED_VALUE"""),"●小禮物")</f>
        <v>●小禮物</v>
      </c>
      <c r="H2823" s="8"/>
    </row>
    <row r="2824">
      <c r="A2824" s="18"/>
      <c r="B2824" s="14">
        <f>IFERROR(__xludf.DUMMYFUNCTION("""COMPUTED_VALUE"""),462140.0)</f>
        <v>462140</v>
      </c>
      <c r="C2824" s="14" t="str">
        <f>IFERROR(__xludf.DUMMYFUNCTION("""COMPUTED_VALUE"""),"謝明翰")</f>
        <v>謝明翰</v>
      </c>
      <c r="D2824" s="16" t="str">
        <f>IFERROR(__xludf.DUMMYFUNCTION("""COMPUTED_VALUE"""),"she*****08@mail.edu.tw")</f>
        <v>she*****08@mail.edu.tw</v>
      </c>
      <c r="E2824" s="17" t="str">
        <f>IFERROR(__xludf.DUMMYFUNCTION("""COMPUTED_VALUE"""),"彰化縣二林鎮興華國民小學")</f>
        <v>彰化縣二林鎮興華國民小學</v>
      </c>
      <c r="F2824" s="14" t="str">
        <f>IFERROR(__xludf.DUMMYFUNCTION("""COMPUTED_VALUE"""),"五年級")</f>
        <v>五年級</v>
      </c>
      <c r="G2824" s="14" t="str">
        <f>IFERROR(__xludf.DUMMYFUNCTION("""COMPUTED_VALUE"""),"●小禮物")</f>
        <v>●小禮物</v>
      </c>
      <c r="H2824" s="8"/>
    </row>
    <row r="2825">
      <c r="A2825" s="18"/>
      <c r="B2825" s="14">
        <f>IFERROR(__xludf.DUMMYFUNCTION("""COMPUTED_VALUE"""),462159.0)</f>
        <v>462159</v>
      </c>
      <c r="C2825" s="14" t="str">
        <f>IFERROR(__xludf.DUMMYFUNCTION("""COMPUTED_VALUE"""),"林誠義")</f>
        <v>林誠義</v>
      </c>
      <c r="D2825" s="16" t="str">
        <f>IFERROR(__xludf.DUMMYFUNCTION("""COMPUTED_VALUE"""),"she*****16@mail.edu.tw")</f>
        <v>she*****16@mail.edu.tw</v>
      </c>
      <c r="E2825" s="17" t="str">
        <f>IFERROR(__xludf.DUMMYFUNCTION("""COMPUTED_VALUE"""),"彰化縣二林鎮興華國民小學")</f>
        <v>彰化縣二林鎮興華國民小學</v>
      </c>
      <c r="F2825" s="14" t="str">
        <f>IFERROR(__xludf.DUMMYFUNCTION("""COMPUTED_VALUE"""),"五年級")</f>
        <v>五年級</v>
      </c>
      <c r="G2825" s="14" t="str">
        <f>IFERROR(__xludf.DUMMYFUNCTION("""COMPUTED_VALUE"""),"獎狀")</f>
        <v>獎狀</v>
      </c>
      <c r="H2825" s="8"/>
    </row>
    <row r="2826">
      <c r="A2826" s="18"/>
      <c r="B2826" s="14">
        <f>IFERROR(__xludf.DUMMYFUNCTION("""COMPUTED_VALUE"""),462145.0)</f>
        <v>462145</v>
      </c>
      <c r="C2826" s="14" t="str">
        <f>IFERROR(__xludf.DUMMYFUNCTION("""COMPUTED_VALUE"""),"洪梓芸")</f>
        <v>洪梓芸</v>
      </c>
      <c r="D2826" s="16" t="str">
        <f>IFERROR(__xludf.DUMMYFUNCTION("""COMPUTED_VALUE"""),"she*****11@mail.edu.tw")</f>
        <v>she*****11@mail.edu.tw</v>
      </c>
      <c r="E2826" s="17" t="str">
        <f>IFERROR(__xludf.DUMMYFUNCTION("""COMPUTED_VALUE"""),"彰化縣二林鎮興華國民小學")</f>
        <v>彰化縣二林鎮興華國民小學</v>
      </c>
      <c r="F2826" s="14" t="str">
        <f>IFERROR(__xludf.DUMMYFUNCTION("""COMPUTED_VALUE"""),"五年級")</f>
        <v>五年級</v>
      </c>
      <c r="G2826" s="14" t="str">
        <f>IFERROR(__xludf.DUMMYFUNCTION("""COMPUTED_VALUE"""),"獎狀")</f>
        <v>獎狀</v>
      </c>
      <c r="H2826" s="8"/>
    </row>
    <row r="2827">
      <c r="A2827" s="18"/>
      <c r="B2827" s="14">
        <f>IFERROR(__xludf.DUMMYFUNCTION("""COMPUTED_VALUE"""),976460.0)</f>
        <v>976460</v>
      </c>
      <c r="C2827" s="14" t="str">
        <f>IFERROR(__xludf.DUMMYFUNCTION("""COMPUTED_VALUE"""),"莊子涵")</f>
        <v>莊子涵</v>
      </c>
      <c r="D2827" s="16" t="str">
        <f>IFERROR(__xludf.DUMMYFUNCTION("""COMPUTED_VALUE"""),"elp*****53@mail.edu.tw")</f>
        <v>elp*****53@mail.edu.tw</v>
      </c>
      <c r="E2827" s="17" t="str">
        <f>IFERROR(__xludf.DUMMYFUNCTION("""COMPUTED_VALUE"""),"彰化縣二林鎮興華國民小學")</f>
        <v>彰化縣二林鎮興華國民小學</v>
      </c>
      <c r="F2827" s="14" t="str">
        <f>IFERROR(__xludf.DUMMYFUNCTION("""COMPUTED_VALUE"""),"五年級")</f>
        <v>五年級</v>
      </c>
      <c r="G2827" s="14" t="str">
        <f>IFERROR(__xludf.DUMMYFUNCTION("""COMPUTED_VALUE"""),"獎狀")</f>
        <v>獎狀</v>
      </c>
      <c r="H2827" s="8"/>
    </row>
    <row r="2828">
      <c r="A2828" s="18"/>
      <c r="B2828" s="14">
        <f>IFERROR(__xludf.DUMMYFUNCTION("""COMPUTED_VALUE"""),462132.0)</f>
        <v>462132</v>
      </c>
      <c r="C2828" s="14" t="str">
        <f>IFERROR(__xludf.DUMMYFUNCTION("""COMPUTED_VALUE"""),"蔡濰璟")</f>
        <v>蔡濰璟</v>
      </c>
      <c r="D2828" s="16" t="str">
        <f>IFERROR(__xludf.DUMMYFUNCTION("""COMPUTED_VALUE"""),"she*****01@mail.edu.tw")</f>
        <v>she*****01@mail.edu.tw</v>
      </c>
      <c r="E2828" s="17" t="str">
        <f>IFERROR(__xludf.DUMMYFUNCTION("""COMPUTED_VALUE"""),"彰化縣二林鎮興華國民小學")</f>
        <v>彰化縣二林鎮興華國民小學</v>
      </c>
      <c r="F2828" s="14" t="str">
        <f>IFERROR(__xludf.DUMMYFUNCTION("""COMPUTED_VALUE"""),"五年級")</f>
        <v>五年級</v>
      </c>
      <c r="G2828" s="14" t="str">
        <f>IFERROR(__xludf.DUMMYFUNCTION("""COMPUTED_VALUE"""),"獎狀")</f>
        <v>獎狀</v>
      </c>
      <c r="H2828" s="8"/>
    </row>
    <row r="2829">
      <c r="A2829" s="18"/>
      <c r="B2829" s="14">
        <f>IFERROR(__xludf.DUMMYFUNCTION("""COMPUTED_VALUE"""),462187.0)</f>
        <v>462187</v>
      </c>
      <c r="C2829" s="14" t="str">
        <f>IFERROR(__xludf.DUMMYFUNCTION("""COMPUTED_VALUE"""),"林向洋")</f>
        <v>林向洋</v>
      </c>
      <c r="D2829" s="16" t="str">
        <f>IFERROR(__xludf.DUMMYFUNCTION("""COMPUTED_VALUE"""),"she*****04@mail.edu.tw")</f>
        <v>she*****04@mail.edu.tw</v>
      </c>
      <c r="E2829" s="17" t="str">
        <f>IFERROR(__xludf.DUMMYFUNCTION("""COMPUTED_VALUE"""),"彰化縣二林鎮興華國民小學")</f>
        <v>彰化縣二林鎮興華國民小學</v>
      </c>
      <c r="F2829" s="14" t="str">
        <f>IFERROR(__xludf.DUMMYFUNCTION("""COMPUTED_VALUE"""),"六年級")</f>
        <v>六年級</v>
      </c>
      <c r="G2829" s="14" t="str">
        <f>IFERROR(__xludf.DUMMYFUNCTION("""COMPUTED_VALUE"""),"●小禮物")</f>
        <v>●小禮物</v>
      </c>
      <c r="H2829" s="8"/>
    </row>
    <row r="2830">
      <c r="A2830" s="18"/>
      <c r="B2830" s="14">
        <f>IFERROR(__xludf.DUMMYFUNCTION("""COMPUTED_VALUE"""),462199.0)</f>
        <v>462199</v>
      </c>
      <c r="C2830" s="14" t="str">
        <f>IFERROR(__xludf.DUMMYFUNCTION("""COMPUTED_VALUE"""),"顏榆樺")</f>
        <v>顏榆樺</v>
      </c>
      <c r="D2830" s="16" t="str">
        <f>IFERROR(__xludf.DUMMYFUNCTION("""COMPUTED_VALUE"""),"s10*****mail.edu.tw")</f>
        <v>s10*****mail.edu.tw</v>
      </c>
      <c r="E2830" s="17" t="str">
        <f>IFERROR(__xludf.DUMMYFUNCTION("""COMPUTED_VALUE"""),"彰化縣二林鎮興華國民小學")</f>
        <v>彰化縣二林鎮興華國民小學</v>
      </c>
      <c r="F2830" s="14" t="str">
        <f>IFERROR(__xludf.DUMMYFUNCTION("""COMPUTED_VALUE"""),"六年級")</f>
        <v>六年級</v>
      </c>
      <c r="G2830" s="14" t="str">
        <f>IFERROR(__xludf.DUMMYFUNCTION("""COMPUTED_VALUE"""),"●小禮物")</f>
        <v>●小禮物</v>
      </c>
      <c r="H2830" s="8"/>
    </row>
    <row r="2831">
      <c r="A2831" s="18"/>
      <c r="B2831" s="14">
        <f>IFERROR(__xludf.DUMMYFUNCTION("""COMPUTED_VALUE"""),462181.0)</f>
        <v>462181</v>
      </c>
      <c r="C2831" s="14" t="str">
        <f>IFERROR(__xludf.DUMMYFUNCTION("""COMPUTED_VALUE"""),"沈柏佑")</f>
        <v>沈柏佑</v>
      </c>
      <c r="D2831" s="16" t="str">
        <f>IFERROR(__xludf.DUMMYFUNCTION("""COMPUTED_VALUE"""),"she*****12@mail.edu.tw")</f>
        <v>she*****12@mail.edu.tw</v>
      </c>
      <c r="E2831" s="17" t="str">
        <f>IFERROR(__xludf.DUMMYFUNCTION("""COMPUTED_VALUE"""),"彰化縣二林鎮興華國民小學")</f>
        <v>彰化縣二林鎮興華國民小學</v>
      </c>
      <c r="F2831" s="14" t="str">
        <f>IFERROR(__xludf.DUMMYFUNCTION("""COMPUTED_VALUE"""),"六年級")</f>
        <v>六年級</v>
      </c>
      <c r="G2831" s="14" t="str">
        <f>IFERROR(__xludf.DUMMYFUNCTION("""COMPUTED_VALUE"""),"★禮券$200")</f>
        <v>★禮券$200</v>
      </c>
      <c r="H2831" s="8"/>
    </row>
    <row r="2832">
      <c r="A2832" s="18"/>
      <c r="B2832" s="14">
        <f>IFERROR(__xludf.DUMMYFUNCTION("""COMPUTED_VALUE"""),462203.0)</f>
        <v>462203</v>
      </c>
      <c r="C2832" s="14" t="str">
        <f>IFERROR(__xludf.DUMMYFUNCTION("""COMPUTED_VALUE"""),"洪婕甯")</f>
        <v>洪婕甯</v>
      </c>
      <c r="D2832" s="16" t="str">
        <f>IFERROR(__xludf.DUMMYFUNCTION("""COMPUTED_VALUE"""),"she*****13@mail.edu.tw")</f>
        <v>she*****13@mail.edu.tw</v>
      </c>
      <c r="E2832" s="17" t="str">
        <f>IFERROR(__xludf.DUMMYFUNCTION("""COMPUTED_VALUE"""),"彰化縣二林鎮興華國民小學")</f>
        <v>彰化縣二林鎮興華國民小學</v>
      </c>
      <c r="F2832" s="14" t="str">
        <f>IFERROR(__xludf.DUMMYFUNCTION("""COMPUTED_VALUE"""),"六年級")</f>
        <v>六年級</v>
      </c>
      <c r="G2832" s="14" t="str">
        <f>IFERROR(__xludf.DUMMYFUNCTION("""COMPUTED_VALUE"""),"獎狀")</f>
        <v>獎狀</v>
      </c>
      <c r="H2832" s="8"/>
    </row>
    <row r="2833">
      <c r="A2833" s="18"/>
      <c r="B2833" s="14">
        <f>IFERROR(__xludf.DUMMYFUNCTION("""COMPUTED_VALUE"""),462214.0)</f>
        <v>462214</v>
      </c>
      <c r="C2833" s="14" t="str">
        <f>IFERROR(__xludf.DUMMYFUNCTION("""COMPUTED_VALUE"""),"洪詩芸")</f>
        <v>洪詩芸</v>
      </c>
      <c r="D2833" s="16" t="str">
        <f>IFERROR(__xludf.DUMMYFUNCTION("""COMPUTED_VALUE"""),"she*****08@mail.edu.tw")</f>
        <v>she*****08@mail.edu.tw</v>
      </c>
      <c r="E2833" s="17" t="str">
        <f>IFERROR(__xludf.DUMMYFUNCTION("""COMPUTED_VALUE"""),"彰化縣二林鎮興華國民小學")</f>
        <v>彰化縣二林鎮興華國民小學</v>
      </c>
      <c r="F2833" s="14" t="str">
        <f>IFERROR(__xludf.DUMMYFUNCTION("""COMPUTED_VALUE"""),"六年級")</f>
        <v>六年級</v>
      </c>
      <c r="G2833" s="14" t="str">
        <f>IFERROR(__xludf.DUMMYFUNCTION("""COMPUTED_VALUE"""),"獎狀")</f>
        <v>獎狀</v>
      </c>
      <c r="H2833" s="8"/>
    </row>
    <row r="2834">
      <c r="A2834" s="18"/>
      <c r="B2834" s="14">
        <f>IFERROR(__xludf.DUMMYFUNCTION("""COMPUTED_VALUE"""),462169.0)</f>
        <v>462169</v>
      </c>
      <c r="C2834" s="14" t="str">
        <f>IFERROR(__xludf.DUMMYFUNCTION("""COMPUTED_VALUE"""),"洪嘉駿")</f>
        <v>洪嘉駿</v>
      </c>
      <c r="D2834" s="16" t="str">
        <f>IFERROR(__xludf.DUMMYFUNCTION("""COMPUTED_VALUE"""),"she*****01@mail.edu.tw")</f>
        <v>she*****01@mail.edu.tw</v>
      </c>
      <c r="E2834" s="17" t="str">
        <f>IFERROR(__xludf.DUMMYFUNCTION("""COMPUTED_VALUE"""),"彰化縣二林鎮興華國民小學")</f>
        <v>彰化縣二林鎮興華國民小學</v>
      </c>
      <c r="F2834" s="14" t="str">
        <f>IFERROR(__xludf.DUMMYFUNCTION("""COMPUTED_VALUE"""),"六年級")</f>
        <v>六年級</v>
      </c>
      <c r="G2834" s="14" t="str">
        <f>IFERROR(__xludf.DUMMYFUNCTION("""COMPUTED_VALUE"""),"獎狀")</f>
        <v>獎狀</v>
      </c>
      <c r="H2834" s="8"/>
    </row>
    <row r="2835">
      <c r="A2835" s="18"/>
      <c r="B2835" s="14">
        <f>IFERROR(__xludf.DUMMYFUNCTION("""COMPUTED_VALUE"""),462171.0)</f>
        <v>462171</v>
      </c>
      <c r="C2835" s="14" t="str">
        <f>IFERROR(__xludf.DUMMYFUNCTION("""COMPUTED_VALUE"""),"高槊澤")</f>
        <v>高槊澤</v>
      </c>
      <c r="D2835" s="16" t="str">
        <f>IFERROR(__xludf.DUMMYFUNCTION("""COMPUTED_VALUE"""),"she*****02@mail.edu.tw")</f>
        <v>she*****02@mail.edu.tw</v>
      </c>
      <c r="E2835" s="17" t="str">
        <f>IFERROR(__xludf.DUMMYFUNCTION("""COMPUTED_VALUE"""),"彰化縣二林鎮興華國民小學")</f>
        <v>彰化縣二林鎮興華國民小學</v>
      </c>
      <c r="F2835" s="14" t="str">
        <f>IFERROR(__xludf.DUMMYFUNCTION("""COMPUTED_VALUE"""),"六年級")</f>
        <v>六年級</v>
      </c>
      <c r="G2835" s="14" t="str">
        <f>IFERROR(__xludf.DUMMYFUNCTION("""COMPUTED_VALUE"""),"獎狀")</f>
        <v>獎狀</v>
      </c>
      <c r="H2835" s="8"/>
    </row>
    <row r="2836">
      <c r="A2836" s="18"/>
      <c r="B2836" s="14">
        <f>IFERROR(__xludf.DUMMYFUNCTION("""COMPUTED_VALUE"""),462174.0)</f>
        <v>462174</v>
      </c>
      <c r="C2836" s="14" t="str">
        <f>IFERROR(__xludf.DUMMYFUNCTION("""COMPUTED_VALUE"""),"陳品叡")</f>
        <v>陳品叡</v>
      </c>
      <c r="D2836" s="16" t="str">
        <f>IFERROR(__xludf.DUMMYFUNCTION("""COMPUTED_VALUE"""),"she*****11@mail.edu.tw")</f>
        <v>she*****11@mail.edu.tw</v>
      </c>
      <c r="E2836" s="17" t="str">
        <f>IFERROR(__xludf.DUMMYFUNCTION("""COMPUTED_VALUE"""),"彰化縣二林鎮興華國民小學")</f>
        <v>彰化縣二林鎮興華國民小學</v>
      </c>
      <c r="F2836" s="14" t="str">
        <f>IFERROR(__xludf.DUMMYFUNCTION("""COMPUTED_VALUE"""),"六年級")</f>
        <v>六年級</v>
      </c>
      <c r="G2836" s="14" t="str">
        <f>IFERROR(__xludf.DUMMYFUNCTION("""COMPUTED_VALUE"""),"獎狀")</f>
        <v>獎狀</v>
      </c>
      <c r="H2836" s="8"/>
    </row>
    <row r="2837">
      <c r="A2837" s="18"/>
      <c r="B2837" s="14">
        <f>IFERROR(__xludf.DUMMYFUNCTION("""COMPUTED_VALUE"""),462216.0)</f>
        <v>462216</v>
      </c>
      <c r="C2837" s="14" t="str">
        <f>IFERROR(__xludf.DUMMYFUNCTION("""COMPUTED_VALUE"""),"葉怡嫻")</f>
        <v>葉怡嫻</v>
      </c>
      <c r="D2837" s="16" t="str">
        <f>IFERROR(__xludf.DUMMYFUNCTION("""COMPUTED_VALUE"""),"she*****09@mail.edu.tw")</f>
        <v>she*****09@mail.edu.tw</v>
      </c>
      <c r="E2837" s="17" t="str">
        <f>IFERROR(__xludf.DUMMYFUNCTION("""COMPUTED_VALUE"""),"彰化縣二林鎮興華國民小學")</f>
        <v>彰化縣二林鎮興華國民小學</v>
      </c>
      <c r="F2837" s="14" t="str">
        <f>IFERROR(__xludf.DUMMYFUNCTION("""COMPUTED_VALUE"""),"六年級")</f>
        <v>六年級</v>
      </c>
      <c r="G2837" s="14" t="str">
        <f>IFERROR(__xludf.DUMMYFUNCTION("""COMPUTED_VALUE"""),"獎狀")</f>
        <v>獎狀</v>
      </c>
      <c r="H2837" s="8"/>
    </row>
    <row r="2838">
      <c r="A2838" s="18"/>
      <c r="B2838" s="14">
        <f>IFERROR(__xludf.DUMMYFUNCTION("""COMPUTED_VALUE"""),462201.0)</f>
        <v>462201</v>
      </c>
      <c r="C2838" s="14" t="str">
        <f>IFERROR(__xludf.DUMMYFUNCTION("""COMPUTED_VALUE"""),"謝沛璇")</f>
        <v>謝沛璇</v>
      </c>
      <c r="D2838" s="16" t="str">
        <f>IFERROR(__xludf.DUMMYFUNCTION("""COMPUTED_VALUE"""),"she*****05@mail.edu.tw")</f>
        <v>she*****05@mail.edu.tw</v>
      </c>
      <c r="E2838" s="17" t="str">
        <f>IFERROR(__xludf.DUMMYFUNCTION("""COMPUTED_VALUE"""),"彰化縣二林鎮興華國民小學")</f>
        <v>彰化縣二林鎮興華國民小學</v>
      </c>
      <c r="F2838" s="14" t="str">
        <f>IFERROR(__xludf.DUMMYFUNCTION("""COMPUTED_VALUE"""),"六年級")</f>
        <v>六年級</v>
      </c>
      <c r="G2838" s="14" t="str">
        <f>IFERROR(__xludf.DUMMYFUNCTION("""COMPUTED_VALUE"""),"獎狀")</f>
        <v>獎狀</v>
      </c>
      <c r="H2838" s="8"/>
    </row>
    <row r="2839">
      <c r="A2839" s="18"/>
      <c r="B2839" s="14">
        <f>IFERROR(__xludf.DUMMYFUNCTION("""COMPUTED_VALUE"""),462204.0)</f>
        <v>462204</v>
      </c>
      <c r="C2839" s="14" t="str">
        <f>IFERROR(__xludf.DUMMYFUNCTION("""COMPUTED_VALUE"""),"羅宇涵")</f>
        <v>羅宇涵</v>
      </c>
      <c r="D2839" s="16" t="str">
        <f>IFERROR(__xludf.DUMMYFUNCTION("""COMPUTED_VALUE"""),"she*****10@mail.edu.tw")</f>
        <v>she*****10@mail.edu.tw</v>
      </c>
      <c r="E2839" s="17" t="str">
        <f>IFERROR(__xludf.DUMMYFUNCTION("""COMPUTED_VALUE"""),"彰化縣二林鎮興華國民小學")</f>
        <v>彰化縣二林鎮興華國民小學</v>
      </c>
      <c r="F2839" s="14" t="str">
        <f>IFERROR(__xludf.DUMMYFUNCTION("""COMPUTED_VALUE"""),"六年級")</f>
        <v>六年級</v>
      </c>
      <c r="G2839" s="14" t="str">
        <f>IFERROR(__xludf.DUMMYFUNCTION("""COMPUTED_VALUE"""),"獎狀")</f>
        <v>獎狀</v>
      </c>
      <c r="H2839" s="8"/>
    </row>
    <row r="2840">
      <c r="A2840" s="18"/>
      <c r="B2840" s="14">
        <f>IFERROR(__xludf.DUMMYFUNCTION("""COMPUTED_VALUE"""),1122242.0)</f>
        <v>1122242</v>
      </c>
      <c r="C2840" s="14" t="str">
        <f>IFERROR(__xludf.DUMMYFUNCTION("""COMPUTED_VALUE"""),"王冠沛")</f>
        <v>王冠沛</v>
      </c>
      <c r="D2840" s="16" t="str">
        <f>IFERROR(__xludf.DUMMYFUNCTION("""COMPUTED_VALUE"""),"gsp*****14@mail.edu.tw")</f>
        <v>gsp*****14@mail.edu.tw</v>
      </c>
      <c r="E2840" s="17" t="str">
        <f>IFERROR(__xludf.DUMMYFUNCTION("""COMPUTED_VALUE"""),"彰化縣二林鎮廣興國民小學")</f>
        <v>彰化縣二林鎮廣興國民小學</v>
      </c>
      <c r="F2840" s="14" t="str">
        <f>IFERROR(__xludf.DUMMYFUNCTION("""COMPUTED_VALUE"""),"三年級")</f>
        <v>三年級</v>
      </c>
      <c r="G2840" s="14" t="str">
        <f>IFERROR(__xludf.DUMMYFUNCTION("""COMPUTED_VALUE"""),"●小禮物")</f>
        <v>●小禮物</v>
      </c>
      <c r="H2840" s="8"/>
    </row>
    <row r="2841">
      <c r="A2841" s="18"/>
      <c r="B2841" s="14">
        <f>IFERROR(__xludf.DUMMYFUNCTION("""COMPUTED_VALUE"""),1090470.0)</f>
        <v>1090470</v>
      </c>
      <c r="C2841" s="14" t="str">
        <f>IFERROR(__xludf.DUMMYFUNCTION("""COMPUTED_VALUE"""),"許恩碩")</f>
        <v>許恩碩</v>
      </c>
      <c r="D2841" s="16" t="str">
        <f>IFERROR(__xludf.DUMMYFUNCTION("""COMPUTED_VALUE"""),"gsp*****03@mail.edu.tw")</f>
        <v>gsp*****03@mail.edu.tw</v>
      </c>
      <c r="E2841" s="17" t="str">
        <f>IFERROR(__xludf.DUMMYFUNCTION("""COMPUTED_VALUE"""),"彰化縣二林鎮廣興國民小學")</f>
        <v>彰化縣二林鎮廣興國民小學</v>
      </c>
      <c r="F2841" s="14" t="str">
        <f>IFERROR(__xludf.DUMMYFUNCTION("""COMPUTED_VALUE"""),"三年級")</f>
        <v>三年級</v>
      </c>
      <c r="G2841" s="14" t="str">
        <f>IFERROR(__xludf.DUMMYFUNCTION("""COMPUTED_VALUE"""),"●小禮物")</f>
        <v>●小禮物</v>
      </c>
      <c r="H2841" s="8"/>
    </row>
    <row r="2842">
      <c r="A2842" s="18"/>
      <c r="B2842" s="14">
        <f>IFERROR(__xludf.DUMMYFUNCTION("""COMPUTED_VALUE"""),1075981.0)</f>
        <v>1075981</v>
      </c>
      <c r="C2842" s="14" t="str">
        <f>IFERROR(__xludf.DUMMYFUNCTION("""COMPUTED_VALUE"""),"陳艾青")</f>
        <v>陳艾青</v>
      </c>
      <c r="D2842" s="16" t="str">
        <f>IFERROR(__xludf.DUMMYFUNCTION("""COMPUTED_VALUE"""),"gsp*****16@mail.edu.tw")</f>
        <v>gsp*****16@mail.edu.tw</v>
      </c>
      <c r="E2842" s="17" t="str">
        <f>IFERROR(__xludf.DUMMYFUNCTION("""COMPUTED_VALUE"""),"彰化縣二林鎮廣興國民小學")</f>
        <v>彰化縣二林鎮廣興國民小學</v>
      </c>
      <c r="F2842" s="14" t="str">
        <f>IFERROR(__xludf.DUMMYFUNCTION("""COMPUTED_VALUE"""),"三年級")</f>
        <v>三年級</v>
      </c>
      <c r="G2842" s="14" t="str">
        <f>IFERROR(__xludf.DUMMYFUNCTION("""COMPUTED_VALUE"""),"●小禮物")</f>
        <v>●小禮物</v>
      </c>
      <c r="H2842" s="8"/>
    </row>
    <row r="2843">
      <c r="A2843" s="18"/>
      <c r="B2843" s="14">
        <f>IFERROR(__xludf.DUMMYFUNCTION("""COMPUTED_VALUE"""),1066741.0)</f>
        <v>1066741</v>
      </c>
      <c r="C2843" s="14" t="str">
        <f>IFERROR(__xludf.DUMMYFUNCTION("""COMPUTED_VALUE"""),"洪詩惠")</f>
        <v>洪詩惠</v>
      </c>
      <c r="D2843" s="16" t="str">
        <f>IFERROR(__xludf.DUMMYFUNCTION("""COMPUTED_VALUE"""),"gsp*****09@mail.edu.tw")</f>
        <v>gsp*****09@mail.edu.tw</v>
      </c>
      <c r="E2843" s="17" t="str">
        <f>IFERROR(__xludf.DUMMYFUNCTION("""COMPUTED_VALUE"""),"彰化縣二林鎮廣興國民小學")</f>
        <v>彰化縣二林鎮廣興國民小學</v>
      </c>
      <c r="F2843" s="14" t="str">
        <f>IFERROR(__xludf.DUMMYFUNCTION("""COMPUTED_VALUE"""),"三年級")</f>
        <v>三年級</v>
      </c>
      <c r="G2843" s="14" t="str">
        <f>IFERROR(__xludf.DUMMYFUNCTION("""COMPUTED_VALUE"""),"獎狀")</f>
        <v>獎狀</v>
      </c>
      <c r="H2843" s="8"/>
    </row>
    <row r="2844">
      <c r="A2844" s="18"/>
      <c r="B2844" s="14">
        <f>IFERROR(__xludf.DUMMYFUNCTION("""COMPUTED_VALUE"""),1070876.0)</f>
        <v>1070876</v>
      </c>
      <c r="C2844" s="14" t="str">
        <f>IFERROR(__xludf.DUMMYFUNCTION("""COMPUTED_VALUE"""),"陳宥嘉")</f>
        <v>陳宥嘉</v>
      </c>
      <c r="D2844" s="16" t="str">
        <f>IFERROR(__xludf.DUMMYFUNCTION("""COMPUTED_VALUE"""),"gsp*****04@mail.edu.tw")</f>
        <v>gsp*****04@mail.edu.tw</v>
      </c>
      <c r="E2844" s="17" t="str">
        <f>IFERROR(__xludf.DUMMYFUNCTION("""COMPUTED_VALUE"""),"彰化縣二林鎮廣興國民小學")</f>
        <v>彰化縣二林鎮廣興國民小學</v>
      </c>
      <c r="F2844" s="14" t="str">
        <f>IFERROR(__xludf.DUMMYFUNCTION("""COMPUTED_VALUE"""),"三年級")</f>
        <v>三年級</v>
      </c>
      <c r="G2844" s="14" t="str">
        <f>IFERROR(__xludf.DUMMYFUNCTION("""COMPUTED_VALUE"""),"獎狀")</f>
        <v>獎狀</v>
      </c>
      <c r="H2844" s="8"/>
    </row>
    <row r="2845">
      <c r="A2845" s="18"/>
      <c r="B2845" s="14">
        <f>IFERROR(__xludf.DUMMYFUNCTION("""COMPUTED_VALUE"""),1065922.0)</f>
        <v>1065922</v>
      </c>
      <c r="C2845" s="14" t="str">
        <f>IFERROR(__xludf.DUMMYFUNCTION("""COMPUTED_VALUE"""),"楊承叡")</f>
        <v>楊承叡</v>
      </c>
      <c r="D2845" s="16" t="str">
        <f>IFERROR(__xludf.DUMMYFUNCTION("""COMPUTED_VALUE"""),"gsp*****02@mail.edu.tw")</f>
        <v>gsp*****02@mail.edu.tw</v>
      </c>
      <c r="E2845" s="17" t="str">
        <f>IFERROR(__xludf.DUMMYFUNCTION("""COMPUTED_VALUE"""),"彰化縣二林鎮廣興國民小學")</f>
        <v>彰化縣二林鎮廣興國民小學</v>
      </c>
      <c r="F2845" s="14" t="str">
        <f>IFERROR(__xludf.DUMMYFUNCTION("""COMPUTED_VALUE"""),"三年級")</f>
        <v>三年級</v>
      </c>
      <c r="G2845" s="14" t="str">
        <f>IFERROR(__xludf.DUMMYFUNCTION("""COMPUTED_VALUE"""),"獎狀")</f>
        <v>獎狀</v>
      </c>
      <c r="H2845" s="8"/>
    </row>
    <row r="2846">
      <c r="A2846" s="18"/>
      <c r="B2846" s="14">
        <f>IFERROR(__xludf.DUMMYFUNCTION("""COMPUTED_VALUE"""),1011376.0)</f>
        <v>1011376</v>
      </c>
      <c r="C2846" s="14" t="str">
        <f>IFERROR(__xludf.DUMMYFUNCTION("""COMPUTED_VALUE"""),"施弈廷")</f>
        <v>施弈廷</v>
      </c>
      <c r="D2846" s="16" t="str">
        <f>IFERROR(__xludf.DUMMYFUNCTION("""COMPUTED_VALUE"""),"ccp*****7@mail.edu.tw")</f>
        <v>ccp*****7@mail.edu.tw</v>
      </c>
      <c r="E2846" s="17" t="str">
        <f>IFERROR(__xludf.DUMMYFUNCTION("""COMPUTED_VALUE"""),"彰化縣二林鎮廣興國民小學")</f>
        <v>彰化縣二林鎮廣興國民小學</v>
      </c>
      <c r="F2846" s="14" t="str">
        <f>IFERROR(__xludf.DUMMYFUNCTION("""COMPUTED_VALUE"""),"四年級")</f>
        <v>四年級</v>
      </c>
      <c r="G2846" s="14" t="str">
        <f>IFERROR(__xludf.DUMMYFUNCTION("""COMPUTED_VALUE"""),"●小禮物")</f>
        <v>●小禮物</v>
      </c>
      <c r="H2846" s="8"/>
    </row>
    <row r="2847">
      <c r="A2847" s="18"/>
      <c r="B2847" s="14">
        <f>IFERROR(__xludf.DUMMYFUNCTION("""COMPUTED_VALUE"""),1011734.0)</f>
        <v>1011734</v>
      </c>
      <c r="C2847" s="14" t="str">
        <f>IFERROR(__xludf.DUMMYFUNCTION("""COMPUTED_VALUE"""),"陳俊瑋")</f>
        <v>陳俊瑋</v>
      </c>
      <c r="D2847" s="16" t="str">
        <f>IFERROR(__xludf.DUMMYFUNCTION("""COMPUTED_VALUE"""),"gsp*****21@mail.edu.tw")</f>
        <v>gsp*****21@mail.edu.tw</v>
      </c>
      <c r="E2847" s="17" t="str">
        <f>IFERROR(__xludf.DUMMYFUNCTION("""COMPUTED_VALUE"""),"彰化縣二林鎮廣興國民小學")</f>
        <v>彰化縣二林鎮廣興國民小學</v>
      </c>
      <c r="F2847" s="14" t="str">
        <f>IFERROR(__xludf.DUMMYFUNCTION("""COMPUTED_VALUE"""),"四年級")</f>
        <v>四年級</v>
      </c>
      <c r="G2847" s="14" t="str">
        <f>IFERROR(__xludf.DUMMYFUNCTION("""COMPUTED_VALUE"""),"●小禮物")</f>
        <v>●小禮物</v>
      </c>
      <c r="H2847" s="8"/>
    </row>
    <row r="2848">
      <c r="A2848" s="18"/>
      <c r="B2848" s="14">
        <f>IFERROR(__xludf.DUMMYFUNCTION("""COMPUTED_VALUE"""),1045987.0)</f>
        <v>1045987</v>
      </c>
      <c r="C2848" s="14" t="str">
        <f>IFERROR(__xludf.DUMMYFUNCTION("""COMPUTED_VALUE"""),"楊博丞")</f>
        <v>楊博丞</v>
      </c>
      <c r="D2848" s="16" t="str">
        <f>IFERROR(__xludf.DUMMYFUNCTION("""COMPUTED_VALUE"""),"gsp*****03@chc.edu.tw")</f>
        <v>gsp*****03@chc.edu.tw</v>
      </c>
      <c r="E2848" s="17" t="str">
        <f>IFERROR(__xludf.DUMMYFUNCTION("""COMPUTED_VALUE"""),"彰化縣二林鎮廣興國民小學")</f>
        <v>彰化縣二林鎮廣興國民小學</v>
      </c>
      <c r="F2848" s="14" t="str">
        <f>IFERROR(__xludf.DUMMYFUNCTION("""COMPUTED_VALUE"""),"四年級")</f>
        <v>四年級</v>
      </c>
      <c r="G2848" s="14" t="str">
        <f>IFERROR(__xludf.DUMMYFUNCTION("""COMPUTED_VALUE"""),"獎狀")</f>
        <v>獎狀</v>
      </c>
      <c r="H2848" s="8"/>
    </row>
    <row r="2849">
      <c r="A2849" s="18"/>
      <c r="B2849" s="14">
        <f>IFERROR(__xludf.DUMMYFUNCTION("""COMPUTED_VALUE"""),1011367.0)</f>
        <v>1011367</v>
      </c>
      <c r="C2849" s="14" t="str">
        <f>IFERROR(__xludf.DUMMYFUNCTION("""COMPUTED_VALUE"""),"林韋岑")</f>
        <v>林韋岑</v>
      </c>
      <c r="D2849" s="16" t="str">
        <f>IFERROR(__xludf.DUMMYFUNCTION("""COMPUTED_VALUE"""),"gsp*****18@mail.edu.tw")</f>
        <v>gsp*****18@mail.edu.tw</v>
      </c>
      <c r="E2849" s="17" t="str">
        <f>IFERROR(__xludf.DUMMYFUNCTION("""COMPUTED_VALUE"""),"彰化縣二林鎮廣興國民小學")</f>
        <v>彰化縣二林鎮廣興國民小學</v>
      </c>
      <c r="F2849" s="14" t="str">
        <f>IFERROR(__xludf.DUMMYFUNCTION("""COMPUTED_VALUE"""),"四年級")</f>
        <v>四年級</v>
      </c>
      <c r="G2849" s="14" t="str">
        <f>IFERROR(__xludf.DUMMYFUNCTION("""COMPUTED_VALUE"""),"●小禮物")</f>
        <v>●小禮物</v>
      </c>
      <c r="H2849" s="8"/>
    </row>
    <row r="2850">
      <c r="A2850" s="18"/>
      <c r="B2850" s="14">
        <f>IFERROR(__xludf.DUMMYFUNCTION("""COMPUTED_VALUE"""),1020709.0)</f>
        <v>1020709</v>
      </c>
      <c r="C2850" s="14" t="str">
        <f>IFERROR(__xludf.DUMMYFUNCTION("""COMPUTED_VALUE"""),"林奕維")</f>
        <v>林奕維</v>
      </c>
      <c r="D2850" s="16" t="str">
        <f>IFERROR(__xludf.DUMMYFUNCTION("""COMPUTED_VALUE"""),"ccp*****1@mail.edu.tw")</f>
        <v>ccp*****1@mail.edu.tw</v>
      </c>
      <c r="E2850" s="17" t="str">
        <f>IFERROR(__xludf.DUMMYFUNCTION("""COMPUTED_VALUE"""),"彰化縣二林鎮廣興國民小學")</f>
        <v>彰化縣二林鎮廣興國民小學</v>
      </c>
      <c r="F2850" s="14" t="str">
        <f>IFERROR(__xludf.DUMMYFUNCTION("""COMPUTED_VALUE"""),"四年級")</f>
        <v>四年級</v>
      </c>
      <c r="G2850" s="14" t="str">
        <f>IFERROR(__xludf.DUMMYFUNCTION("""COMPUTED_VALUE"""),"獎狀")</f>
        <v>獎狀</v>
      </c>
      <c r="H2850" s="8"/>
    </row>
    <row r="2851">
      <c r="A2851" s="18"/>
      <c r="B2851" s="14">
        <f>IFERROR(__xludf.DUMMYFUNCTION("""COMPUTED_VALUE"""),1033694.0)</f>
        <v>1033694</v>
      </c>
      <c r="C2851" s="14" t="str">
        <f>IFERROR(__xludf.DUMMYFUNCTION("""COMPUTED_VALUE"""),"洪子瀚")</f>
        <v>洪子瀚</v>
      </c>
      <c r="D2851" s="16" t="str">
        <f>IFERROR(__xludf.DUMMYFUNCTION("""COMPUTED_VALUE"""),"gsp*****01@mail.edu.tw")</f>
        <v>gsp*****01@mail.edu.tw</v>
      </c>
      <c r="E2851" s="17" t="str">
        <f>IFERROR(__xludf.DUMMYFUNCTION("""COMPUTED_VALUE"""),"彰化縣二林鎮廣興國民小學")</f>
        <v>彰化縣二林鎮廣興國民小學</v>
      </c>
      <c r="F2851" s="14" t="str">
        <f>IFERROR(__xludf.DUMMYFUNCTION("""COMPUTED_VALUE"""),"四年級")</f>
        <v>四年級</v>
      </c>
      <c r="G2851" s="14" t="str">
        <f>IFERROR(__xludf.DUMMYFUNCTION("""COMPUTED_VALUE"""),"獎狀")</f>
        <v>獎狀</v>
      </c>
      <c r="H2851" s="8"/>
    </row>
    <row r="2852">
      <c r="A2852" s="18"/>
      <c r="B2852" s="14">
        <f>IFERROR(__xludf.DUMMYFUNCTION("""COMPUTED_VALUE"""),980947.0)</f>
        <v>980947</v>
      </c>
      <c r="C2852" s="14" t="str">
        <f>IFERROR(__xludf.DUMMYFUNCTION("""COMPUTED_VALUE"""),"陳品瑄")</f>
        <v>陳品瑄</v>
      </c>
      <c r="D2852" s="16" t="str">
        <f>IFERROR(__xludf.DUMMYFUNCTION("""COMPUTED_VALUE"""),"gsp*****14@mail.edu.tw")</f>
        <v>gsp*****14@mail.edu.tw</v>
      </c>
      <c r="E2852" s="17" t="str">
        <f>IFERROR(__xludf.DUMMYFUNCTION("""COMPUTED_VALUE"""),"彰化縣二林鎮廣興國民小學")</f>
        <v>彰化縣二林鎮廣興國民小學</v>
      </c>
      <c r="F2852" s="14" t="str">
        <f>IFERROR(__xludf.DUMMYFUNCTION("""COMPUTED_VALUE"""),"四年級")</f>
        <v>四年級</v>
      </c>
      <c r="G2852" s="14" t="str">
        <f>IFERROR(__xludf.DUMMYFUNCTION("""COMPUTED_VALUE"""),"獎狀")</f>
        <v>獎狀</v>
      </c>
      <c r="H2852" s="8"/>
    </row>
    <row r="2853">
      <c r="A2853" s="18"/>
      <c r="B2853" s="14">
        <f>IFERROR(__xludf.DUMMYFUNCTION("""COMPUTED_VALUE"""),1020622.0)</f>
        <v>1020622</v>
      </c>
      <c r="C2853" s="14" t="str">
        <f>IFERROR(__xludf.DUMMYFUNCTION("""COMPUTED_VALUE"""),"謝宥鈞")</f>
        <v>謝宥鈞</v>
      </c>
      <c r="D2853" s="16" t="str">
        <f>IFERROR(__xludf.DUMMYFUNCTION("""COMPUTED_VALUE"""),"gsp*****16@mail.edu.tw")</f>
        <v>gsp*****16@mail.edu.tw</v>
      </c>
      <c r="E2853" s="17" t="str">
        <f>IFERROR(__xludf.DUMMYFUNCTION("""COMPUTED_VALUE"""),"彰化縣二林鎮廣興國民小學")</f>
        <v>彰化縣二林鎮廣興國民小學</v>
      </c>
      <c r="F2853" s="14" t="str">
        <f>IFERROR(__xludf.DUMMYFUNCTION("""COMPUTED_VALUE"""),"四年級")</f>
        <v>四年級</v>
      </c>
      <c r="G2853" s="14" t="str">
        <f>IFERROR(__xludf.DUMMYFUNCTION("""COMPUTED_VALUE"""),"獎狀")</f>
        <v>獎狀</v>
      </c>
      <c r="H2853" s="8"/>
    </row>
    <row r="2854">
      <c r="A2854" s="18"/>
      <c r="B2854" s="14">
        <f>IFERROR(__xludf.DUMMYFUNCTION("""COMPUTED_VALUE"""),1011249.0)</f>
        <v>1011249</v>
      </c>
      <c r="C2854" s="14" t="str">
        <f>IFERROR(__xludf.DUMMYFUNCTION("""COMPUTED_VALUE"""),"吳姒櫻")</f>
        <v>吳姒櫻</v>
      </c>
      <c r="D2854" s="16" t="str">
        <f>IFERROR(__xludf.DUMMYFUNCTION("""COMPUTED_VALUE"""),"gsp*****13@mail.edu.tw")</f>
        <v>gsp*****13@mail.edu.tw</v>
      </c>
      <c r="E2854" s="17" t="str">
        <f>IFERROR(__xludf.DUMMYFUNCTION("""COMPUTED_VALUE"""),"彰化縣二林鎮廣興國民小學")</f>
        <v>彰化縣二林鎮廣興國民小學</v>
      </c>
      <c r="F2854" s="14" t="str">
        <f>IFERROR(__xludf.DUMMYFUNCTION("""COMPUTED_VALUE"""),"四年級")</f>
        <v>四年級</v>
      </c>
      <c r="G2854" s="14" t="str">
        <f>IFERROR(__xludf.DUMMYFUNCTION("""COMPUTED_VALUE"""),"獎狀")</f>
        <v>獎狀</v>
      </c>
      <c r="H2854" s="8"/>
    </row>
    <row r="2855">
      <c r="A2855" s="18"/>
      <c r="B2855" s="14">
        <f>IFERROR(__xludf.DUMMYFUNCTION("""COMPUTED_VALUE"""),1011731.0)</f>
        <v>1011731</v>
      </c>
      <c r="C2855" s="14" t="str">
        <f>IFERROR(__xludf.DUMMYFUNCTION("""COMPUTED_VALUE"""),"陳昱軒")</f>
        <v>陳昱軒</v>
      </c>
      <c r="D2855" s="16" t="str">
        <f>IFERROR(__xludf.DUMMYFUNCTION("""COMPUTED_VALUE"""),"gsp*****09@mail.edu.tw")</f>
        <v>gsp*****09@mail.edu.tw</v>
      </c>
      <c r="E2855" s="17" t="str">
        <f>IFERROR(__xludf.DUMMYFUNCTION("""COMPUTED_VALUE"""),"彰化縣二林鎮廣興國民小學")</f>
        <v>彰化縣二林鎮廣興國民小學</v>
      </c>
      <c r="F2855" s="14" t="str">
        <f>IFERROR(__xludf.DUMMYFUNCTION("""COMPUTED_VALUE"""),"四年級")</f>
        <v>四年級</v>
      </c>
      <c r="G2855" s="14" t="str">
        <f>IFERROR(__xludf.DUMMYFUNCTION("""COMPUTED_VALUE"""),"獎狀")</f>
        <v>獎狀</v>
      </c>
      <c r="H2855" s="8"/>
    </row>
    <row r="2856">
      <c r="A2856" s="18"/>
      <c r="B2856" s="14">
        <f>IFERROR(__xludf.DUMMYFUNCTION("""COMPUTED_VALUE"""),1011736.0)</f>
        <v>1011736</v>
      </c>
      <c r="C2856" s="14" t="str">
        <f>IFERROR(__xludf.DUMMYFUNCTION("""COMPUTED_VALUE"""),"鄭沛潔")</f>
        <v>鄭沛潔</v>
      </c>
      <c r="D2856" s="16" t="str">
        <f>IFERROR(__xludf.DUMMYFUNCTION("""COMPUTED_VALUE"""),"gsp*****11@mail.edu.tw")</f>
        <v>gsp*****11@mail.edu.tw</v>
      </c>
      <c r="E2856" s="17" t="str">
        <f>IFERROR(__xludf.DUMMYFUNCTION("""COMPUTED_VALUE"""),"彰化縣二林鎮廣興國民小學")</f>
        <v>彰化縣二林鎮廣興國民小學</v>
      </c>
      <c r="F2856" s="14" t="str">
        <f>IFERROR(__xludf.DUMMYFUNCTION("""COMPUTED_VALUE"""),"四年級")</f>
        <v>四年級</v>
      </c>
      <c r="G2856" s="14" t="str">
        <f>IFERROR(__xludf.DUMMYFUNCTION("""COMPUTED_VALUE"""),"獎狀")</f>
        <v>獎狀</v>
      </c>
      <c r="H2856" s="8"/>
    </row>
    <row r="2857">
      <c r="A2857" s="18"/>
      <c r="B2857" s="14">
        <f>IFERROR(__xludf.DUMMYFUNCTION("""COMPUTED_VALUE"""),980946.0)</f>
        <v>980946</v>
      </c>
      <c r="C2857" s="14" t="str">
        <f>IFERROR(__xludf.DUMMYFUNCTION("""COMPUTED_VALUE"""),"顏宜珊")</f>
        <v>顏宜珊</v>
      </c>
      <c r="D2857" s="16" t="str">
        <f>IFERROR(__xludf.DUMMYFUNCTION("""COMPUTED_VALUE"""),"gsp*****19@mail.edu.tw")</f>
        <v>gsp*****19@mail.edu.tw</v>
      </c>
      <c r="E2857" s="17" t="str">
        <f>IFERROR(__xludf.DUMMYFUNCTION("""COMPUTED_VALUE"""),"彰化縣二林鎮廣興國民小學")</f>
        <v>彰化縣二林鎮廣興國民小學</v>
      </c>
      <c r="F2857" s="14" t="str">
        <f>IFERROR(__xludf.DUMMYFUNCTION("""COMPUTED_VALUE"""),"四年級")</f>
        <v>四年級</v>
      </c>
      <c r="G2857" s="14" t="str">
        <f>IFERROR(__xludf.DUMMYFUNCTION("""COMPUTED_VALUE"""),"獎狀")</f>
        <v>獎狀</v>
      </c>
      <c r="H2857" s="8"/>
    </row>
    <row r="2858">
      <c r="A2858" s="18"/>
      <c r="B2858" s="14">
        <f>IFERROR(__xludf.DUMMYFUNCTION("""COMPUTED_VALUE"""),531616.0)</f>
        <v>531616</v>
      </c>
      <c r="C2858" s="14" t="str">
        <f>IFERROR(__xludf.DUMMYFUNCTION("""COMPUTED_VALUE"""),"王韋棠")</f>
        <v>王韋棠</v>
      </c>
      <c r="D2858" s="16" t="str">
        <f>IFERROR(__xludf.DUMMYFUNCTION("""COMPUTED_VALUE"""),"gsp*****2@mail.edu.tw")</f>
        <v>gsp*****2@mail.edu.tw</v>
      </c>
      <c r="E2858" s="17" t="str">
        <f>IFERROR(__xludf.DUMMYFUNCTION("""COMPUTED_VALUE"""),"彰化縣二林鎮廣興國民小學")</f>
        <v>彰化縣二林鎮廣興國民小學</v>
      </c>
      <c r="F2858" s="14" t="str">
        <f>IFERROR(__xludf.DUMMYFUNCTION("""COMPUTED_VALUE"""),"五年級")</f>
        <v>五年級</v>
      </c>
      <c r="G2858" s="14" t="str">
        <f>IFERROR(__xludf.DUMMYFUNCTION("""COMPUTED_VALUE"""),"●小禮物")</f>
        <v>●小禮物</v>
      </c>
      <c r="H2858" s="8"/>
    </row>
    <row r="2859">
      <c r="A2859" s="18"/>
      <c r="B2859" s="14">
        <f>IFERROR(__xludf.DUMMYFUNCTION("""COMPUTED_VALUE"""),462133.0)</f>
        <v>462133</v>
      </c>
      <c r="C2859" s="14" t="str">
        <f>IFERROR(__xludf.DUMMYFUNCTION("""COMPUTED_VALUE"""),"洪定宏")</f>
        <v>洪定宏</v>
      </c>
      <c r="D2859" s="16" t="str">
        <f>IFERROR(__xludf.DUMMYFUNCTION("""COMPUTED_VALUE"""),"she*****02@mail.edu.tw")</f>
        <v>she*****02@mail.edu.tw</v>
      </c>
      <c r="E2859" s="17" t="str">
        <f>IFERROR(__xludf.DUMMYFUNCTION("""COMPUTED_VALUE"""),"彰化縣二林鎮廣興國民小學")</f>
        <v>彰化縣二林鎮廣興國民小學</v>
      </c>
      <c r="F2859" s="14" t="str">
        <f>IFERROR(__xludf.DUMMYFUNCTION("""COMPUTED_VALUE"""),"五年級")</f>
        <v>五年級</v>
      </c>
      <c r="G2859" s="14" t="str">
        <f>IFERROR(__xludf.DUMMYFUNCTION("""COMPUTED_VALUE"""),"獎狀")</f>
        <v>獎狀</v>
      </c>
      <c r="H2859" s="8"/>
    </row>
    <row r="2860">
      <c r="A2860" s="18"/>
      <c r="B2860" s="14">
        <f>IFERROR(__xludf.DUMMYFUNCTION("""COMPUTED_VALUE"""),531631.0)</f>
        <v>531631</v>
      </c>
      <c r="C2860" s="14" t="str">
        <f>IFERROR(__xludf.DUMMYFUNCTION("""COMPUTED_VALUE"""),"邱怡瑄")</f>
        <v>邱怡瑄</v>
      </c>
      <c r="D2860" s="16" t="str">
        <f>IFERROR(__xludf.DUMMYFUNCTION("""COMPUTED_VALUE"""),"gsp*****7@mail.edu.tw")</f>
        <v>gsp*****7@mail.edu.tw</v>
      </c>
      <c r="E2860" s="17" t="str">
        <f>IFERROR(__xludf.DUMMYFUNCTION("""COMPUTED_VALUE"""),"彰化縣二林鎮廣興國民小學")</f>
        <v>彰化縣二林鎮廣興國民小學</v>
      </c>
      <c r="F2860" s="14" t="str">
        <f>IFERROR(__xludf.DUMMYFUNCTION("""COMPUTED_VALUE"""),"五年級")</f>
        <v>五年級</v>
      </c>
      <c r="G2860" s="14" t="str">
        <f>IFERROR(__xludf.DUMMYFUNCTION("""COMPUTED_VALUE"""),"★禮券$200")</f>
        <v>★禮券$200</v>
      </c>
      <c r="H2860" s="8"/>
    </row>
    <row r="2861">
      <c r="A2861" s="18"/>
      <c r="B2861" s="14">
        <f>IFERROR(__xludf.DUMMYFUNCTION("""COMPUTED_VALUE"""),531628.0)</f>
        <v>531628</v>
      </c>
      <c r="C2861" s="14" t="str">
        <f>IFERROR(__xludf.DUMMYFUNCTION("""COMPUTED_VALUE"""),"巫若瑜")</f>
        <v>巫若瑜</v>
      </c>
      <c r="D2861" s="16" t="str">
        <f>IFERROR(__xludf.DUMMYFUNCTION("""COMPUTED_VALUE"""),"gsp*****5@mail.edu.tw")</f>
        <v>gsp*****5@mail.edu.tw</v>
      </c>
      <c r="E2861" s="17" t="str">
        <f>IFERROR(__xludf.DUMMYFUNCTION("""COMPUTED_VALUE"""),"彰化縣二林鎮廣興國民小學")</f>
        <v>彰化縣二林鎮廣興國民小學</v>
      </c>
      <c r="F2861" s="14" t="str">
        <f>IFERROR(__xludf.DUMMYFUNCTION("""COMPUTED_VALUE"""),"五年級")</f>
        <v>五年級</v>
      </c>
      <c r="G2861" s="14" t="str">
        <f>IFERROR(__xludf.DUMMYFUNCTION("""COMPUTED_VALUE"""),"獎狀")</f>
        <v>獎狀</v>
      </c>
      <c r="H2861" s="8"/>
    </row>
    <row r="2862">
      <c r="A2862" s="18"/>
      <c r="B2862" s="14">
        <f>IFERROR(__xludf.DUMMYFUNCTION("""COMPUTED_VALUE"""),403210.0)</f>
        <v>403210</v>
      </c>
      <c r="C2862" s="14" t="str">
        <f>IFERROR(__xludf.DUMMYFUNCTION("""COMPUTED_VALUE"""),"林宏明")</f>
        <v>林宏明</v>
      </c>
      <c r="D2862" s="16" t="str">
        <f>IFERROR(__xludf.DUMMYFUNCTION("""COMPUTED_VALUE"""),"gsp*****4@mail.edu.tw")</f>
        <v>gsp*****4@mail.edu.tw</v>
      </c>
      <c r="E2862" s="17" t="str">
        <f>IFERROR(__xludf.DUMMYFUNCTION("""COMPUTED_VALUE"""),"彰化縣二林鎮廣興國民小學")</f>
        <v>彰化縣二林鎮廣興國民小學</v>
      </c>
      <c r="F2862" s="14" t="str">
        <f>IFERROR(__xludf.DUMMYFUNCTION("""COMPUTED_VALUE"""),"六年級")</f>
        <v>六年級</v>
      </c>
      <c r="G2862" s="14" t="str">
        <f>IFERROR(__xludf.DUMMYFUNCTION("""COMPUTED_VALUE"""),"獎狀")</f>
        <v>獎狀</v>
      </c>
      <c r="H2862" s="8"/>
    </row>
    <row r="2863">
      <c r="A2863" s="18"/>
      <c r="B2863" s="14">
        <f>IFERROR(__xludf.DUMMYFUNCTION("""COMPUTED_VALUE"""),403219.0)</f>
        <v>403219</v>
      </c>
      <c r="C2863" s="14" t="str">
        <f>IFERROR(__xludf.DUMMYFUNCTION("""COMPUTED_VALUE"""),"林珀賢")</f>
        <v>林珀賢</v>
      </c>
      <c r="D2863" s="16" t="str">
        <f>IFERROR(__xludf.DUMMYFUNCTION("""COMPUTED_VALUE"""),"gsp*****5@mail.edu.tw")</f>
        <v>gsp*****5@mail.edu.tw</v>
      </c>
      <c r="E2863" s="17" t="str">
        <f>IFERROR(__xludf.DUMMYFUNCTION("""COMPUTED_VALUE"""),"彰化縣二林鎮廣興國民小學")</f>
        <v>彰化縣二林鎮廣興國民小學</v>
      </c>
      <c r="F2863" s="14" t="str">
        <f>IFERROR(__xludf.DUMMYFUNCTION("""COMPUTED_VALUE"""),"六年級")</f>
        <v>六年級</v>
      </c>
      <c r="G2863" s="14" t="str">
        <f>IFERROR(__xludf.DUMMYFUNCTION("""COMPUTED_VALUE"""),"獎狀")</f>
        <v>獎狀</v>
      </c>
      <c r="H2863" s="8"/>
    </row>
    <row r="2864">
      <c r="A2864" s="18"/>
      <c r="B2864" s="14">
        <f>IFERROR(__xludf.DUMMYFUNCTION("""COMPUTED_VALUE"""),403220.0)</f>
        <v>403220</v>
      </c>
      <c r="C2864" s="14" t="str">
        <f>IFERROR(__xludf.DUMMYFUNCTION("""COMPUTED_VALUE"""),"張于蓉")</f>
        <v>張于蓉</v>
      </c>
      <c r="D2864" s="16" t="str">
        <f>IFERROR(__xludf.DUMMYFUNCTION("""COMPUTED_VALUE"""),"302*****.stdilc@mail.edu.tw")</f>
        <v>302*****.stdilc@mail.edu.tw</v>
      </c>
      <c r="E2864" s="17" t="str">
        <f>IFERROR(__xludf.DUMMYFUNCTION("""COMPUTED_VALUE"""),"彰化縣二林鎮廣興國民小學")</f>
        <v>彰化縣二林鎮廣興國民小學</v>
      </c>
      <c r="F2864" s="14" t="str">
        <f>IFERROR(__xludf.DUMMYFUNCTION("""COMPUTED_VALUE"""),"六年級")</f>
        <v>六年級</v>
      </c>
      <c r="G2864" s="14" t="str">
        <f>IFERROR(__xludf.DUMMYFUNCTION("""COMPUTED_VALUE"""),"獎狀")</f>
        <v>獎狀</v>
      </c>
      <c r="H2864" s="8"/>
    </row>
    <row r="2865">
      <c r="A2865" s="18"/>
      <c r="B2865" s="14">
        <f>IFERROR(__xludf.DUMMYFUNCTION("""COMPUTED_VALUE"""),403209.0)</f>
        <v>403209</v>
      </c>
      <c r="C2865" s="14" t="str">
        <f>IFERROR(__xludf.DUMMYFUNCTION("""COMPUTED_VALUE"""),"洪沛穎")</f>
        <v>洪沛穎</v>
      </c>
      <c r="D2865" s="16" t="str">
        <f>IFERROR(__xludf.DUMMYFUNCTION("""COMPUTED_VALUE"""),"gsp*****6@mail.edu.tw")</f>
        <v>gsp*****6@mail.edu.tw</v>
      </c>
      <c r="E2865" s="17" t="str">
        <f>IFERROR(__xludf.DUMMYFUNCTION("""COMPUTED_VALUE"""),"彰化縣二林鎮廣興國民小學")</f>
        <v>彰化縣二林鎮廣興國民小學</v>
      </c>
      <c r="F2865" s="14" t="str">
        <f>IFERROR(__xludf.DUMMYFUNCTION("""COMPUTED_VALUE"""),"六年級")</f>
        <v>六年級</v>
      </c>
      <c r="G2865" s="14" t="str">
        <f>IFERROR(__xludf.DUMMYFUNCTION("""COMPUTED_VALUE"""),"獎狀")</f>
        <v>獎狀</v>
      </c>
      <c r="H2865" s="8"/>
    </row>
    <row r="2866">
      <c r="A2866" s="18"/>
      <c r="B2866" s="14">
        <f>IFERROR(__xludf.DUMMYFUNCTION("""COMPUTED_VALUE"""),403214.0)</f>
        <v>403214</v>
      </c>
      <c r="C2866" s="14" t="str">
        <f>IFERROR(__xludf.DUMMYFUNCTION("""COMPUTED_VALUE"""),"顏嘉寬")</f>
        <v>顏嘉寬</v>
      </c>
      <c r="D2866" s="16" t="str">
        <f>IFERROR(__xludf.DUMMYFUNCTION("""COMPUTED_VALUE"""),"gsp*****8@mail.edu.tw")</f>
        <v>gsp*****8@mail.edu.tw</v>
      </c>
      <c r="E2866" s="17" t="str">
        <f>IFERROR(__xludf.DUMMYFUNCTION("""COMPUTED_VALUE"""),"彰化縣二林鎮廣興國民小學")</f>
        <v>彰化縣二林鎮廣興國民小學</v>
      </c>
      <c r="F2866" s="14" t="str">
        <f>IFERROR(__xludf.DUMMYFUNCTION("""COMPUTED_VALUE"""),"六年級")</f>
        <v>六年級</v>
      </c>
      <c r="G2866" s="14" t="str">
        <f>IFERROR(__xludf.DUMMYFUNCTION("""COMPUTED_VALUE"""),"獎狀")</f>
        <v>獎狀</v>
      </c>
      <c r="H2866" s="8"/>
    </row>
    <row r="2867">
      <c r="A2867" s="18"/>
      <c r="B2867" s="14">
        <f>IFERROR(__xludf.DUMMYFUNCTION("""COMPUTED_VALUE"""),1151326.0)</f>
        <v>1151326</v>
      </c>
      <c r="C2867" s="14" t="str">
        <f>IFERROR(__xludf.DUMMYFUNCTION("""COMPUTED_VALUE"""),"洪敔棠")</f>
        <v>洪敔棠</v>
      </c>
      <c r="D2867" s="16" t="str">
        <f>IFERROR(__xludf.DUMMYFUNCTION("""COMPUTED_VALUE"""),"hle*****4@chc.edu.tw")</f>
        <v>hle*****4@chc.edu.tw</v>
      </c>
      <c r="E2867" s="17" t="str">
        <f>IFERROR(__xludf.DUMMYFUNCTION("""COMPUTED_VALUE"""),"彰化縣芳苑鄉後寮國民小學")</f>
        <v>彰化縣芳苑鄉後寮國民小學</v>
      </c>
      <c r="F2867" s="14" t="str">
        <f>IFERROR(__xludf.DUMMYFUNCTION("""COMPUTED_VALUE"""),"五年級")</f>
        <v>五年級</v>
      </c>
      <c r="G2867" s="14" t="str">
        <f>IFERROR(__xludf.DUMMYFUNCTION("""COMPUTED_VALUE"""),"●小禮物")</f>
        <v>●小禮物</v>
      </c>
      <c r="H2867" s="8"/>
    </row>
    <row r="2868">
      <c r="A2868" s="18"/>
      <c r="B2868" s="14">
        <f>IFERROR(__xludf.DUMMYFUNCTION("""COMPUTED_VALUE"""),1151314.0)</f>
        <v>1151314</v>
      </c>
      <c r="C2868" s="14" t="str">
        <f>IFERROR(__xludf.DUMMYFUNCTION("""COMPUTED_VALUE"""),"許祥安")</f>
        <v>許祥安</v>
      </c>
      <c r="D2868" s="16" t="str">
        <f>IFERROR(__xludf.DUMMYFUNCTION("""COMPUTED_VALUE"""),"hle*****2@chc.edu.tw")</f>
        <v>hle*****2@chc.edu.tw</v>
      </c>
      <c r="E2868" s="17" t="str">
        <f>IFERROR(__xludf.DUMMYFUNCTION("""COMPUTED_VALUE"""),"彰化縣芳苑鄉後寮國民小學")</f>
        <v>彰化縣芳苑鄉後寮國民小學</v>
      </c>
      <c r="F2868" s="14" t="str">
        <f>IFERROR(__xludf.DUMMYFUNCTION("""COMPUTED_VALUE"""),"五年級")</f>
        <v>五年級</v>
      </c>
      <c r="G2868" s="14" t="str">
        <f>IFERROR(__xludf.DUMMYFUNCTION("""COMPUTED_VALUE"""),"●小禮物")</f>
        <v>●小禮物</v>
      </c>
      <c r="H2868" s="8"/>
    </row>
    <row r="2869">
      <c r="A2869" s="18"/>
      <c r="B2869" s="14">
        <f>IFERROR(__xludf.DUMMYFUNCTION("""COMPUTED_VALUE"""),1151318.0)</f>
        <v>1151318</v>
      </c>
      <c r="C2869" s="14" t="str">
        <f>IFERROR(__xludf.DUMMYFUNCTION("""COMPUTED_VALUE"""),"歐書偉")</f>
        <v>歐書偉</v>
      </c>
      <c r="D2869" s="16" t="str">
        <f>IFERROR(__xludf.DUMMYFUNCTION("""COMPUTED_VALUE"""),"hle*****6@chc.edu.tw")</f>
        <v>hle*****6@chc.edu.tw</v>
      </c>
      <c r="E2869" s="17" t="str">
        <f>IFERROR(__xludf.DUMMYFUNCTION("""COMPUTED_VALUE"""),"彰化縣芳苑鄉後寮國民小學")</f>
        <v>彰化縣芳苑鄉後寮國民小學</v>
      </c>
      <c r="F2869" s="14" t="str">
        <f>IFERROR(__xludf.DUMMYFUNCTION("""COMPUTED_VALUE"""),"五年級")</f>
        <v>五年級</v>
      </c>
      <c r="G2869" s="14" t="str">
        <f>IFERROR(__xludf.DUMMYFUNCTION("""COMPUTED_VALUE"""),"●小禮物")</f>
        <v>●小禮物</v>
      </c>
      <c r="H2869" s="8"/>
    </row>
    <row r="2870">
      <c r="A2870" s="18"/>
      <c r="B2870" s="14">
        <f>IFERROR(__xludf.DUMMYFUNCTION("""COMPUTED_VALUE"""),1151320.0)</f>
        <v>1151320</v>
      </c>
      <c r="C2870" s="14" t="str">
        <f>IFERROR(__xludf.DUMMYFUNCTION("""COMPUTED_VALUE"""),"林玉芸")</f>
        <v>林玉芸</v>
      </c>
      <c r="D2870" s="16" t="str">
        <f>IFERROR(__xludf.DUMMYFUNCTION("""COMPUTED_VALUE"""),"hle*****8@chc.edu.tw")</f>
        <v>hle*****8@chc.edu.tw</v>
      </c>
      <c r="E2870" s="17" t="str">
        <f>IFERROR(__xludf.DUMMYFUNCTION("""COMPUTED_VALUE"""),"彰化縣芳苑鄉後寮國民小學")</f>
        <v>彰化縣芳苑鄉後寮國民小學</v>
      </c>
      <c r="F2870" s="14" t="str">
        <f>IFERROR(__xludf.DUMMYFUNCTION("""COMPUTED_VALUE"""),"五年級")</f>
        <v>五年級</v>
      </c>
      <c r="G2870" s="14" t="str">
        <f>IFERROR(__xludf.DUMMYFUNCTION("""COMPUTED_VALUE"""),"獎狀")</f>
        <v>獎狀</v>
      </c>
      <c r="H2870" s="8"/>
    </row>
    <row r="2871">
      <c r="A2871" s="18"/>
      <c r="B2871" s="14">
        <f>IFERROR(__xludf.DUMMYFUNCTION("""COMPUTED_VALUE"""),1151316.0)</f>
        <v>1151316</v>
      </c>
      <c r="C2871" s="14" t="str">
        <f>IFERROR(__xludf.DUMMYFUNCTION("""COMPUTED_VALUE"""),"洪俊豪")</f>
        <v>洪俊豪</v>
      </c>
      <c r="D2871" s="16" t="str">
        <f>IFERROR(__xludf.DUMMYFUNCTION("""COMPUTED_VALUE"""),"hle*****4@chc.edu.tw")</f>
        <v>hle*****4@chc.edu.tw</v>
      </c>
      <c r="E2871" s="17" t="str">
        <f>IFERROR(__xludf.DUMMYFUNCTION("""COMPUTED_VALUE"""),"彰化縣芳苑鄉後寮國民小學")</f>
        <v>彰化縣芳苑鄉後寮國民小學</v>
      </c>
      <c r="F2871" s="14" t="str">
        <f>IFERROR(__xludf.DUMMYFUNCTION("""COMPUTED_VALUE"""),"五年級")</f>
        <v>五年級</v>
      </c>
      <c r="G2871" s="14" t="str">
        <f>IFERROR(__xludf.DUMMYFUNCTION("""COMPUTED_VALUE"""),"獎狀")</f>
        <v>獎狀</v>
      </c>
      <c r="H2871" s="8"/>
    </row>
    <row r="2872">
      <c r="A2872" s="18"/>
      <c r="B2872" s="14">
        <f>IFERROR(__xludf.DUMMYFUNCTION("""COMPUTED_VALUE"""),1151322.0)</f>
        <v>1151322</v>
      </c>
      <c r="C2872" s="14" t="str">
        <f>IFERROR(__xludf.DUMMYFUNCTION("""COMPUTED_VALUE"""),"洪郁慈")</f>
        <v>洪郁慈</v>
      </c>
      <c r="D2872" s="16" t="str">
        <f>IFERROR(__xludf.DUMMYFUNCTION("""COMPUTED_VALUE"""),"hle*****0@chc.edu.tw")</f>
        <v>hle*****0@chc.edu.tw</v>
      </c>
      <c r="E2872" s="17" t="str">
        <f>IFERROR(__xludf.DUMMYFUNCTION("""COMPUTED_VALUE"""),"彰化縣芳苑鄉後寮國民小學")</f>
        <v>彰化縣芳苑鄉後寮國民小學</v>
      </c>
      <c r="F2872" s="14" t="str">
        <f>IFERROR(__xludf.DUMMYFUNCTION("""COMPUTED_VALUE"""),"五年級")</f>
        <v>五年級</v>
      </c>
      <c r="G2872" s="14" t="str">
        <f>IFERROR(__xludf.DUMMYFUNCTION("""COMPUTED_VALUE"""),"獎狀")</f>
        <v>獎狀</v>
      </c>
      <c r="H2872" s="8"/>
    </row>
    <row r="2873">
      <c r="A2873" s="18"/>
      <c r="B2873" s="14">
        <f>IFERROR(__xludf.DUMMYFUNCTION("""COMPUTED_VALUE"""),1151323.0)</f>
        <v>1151323</v>
      </c>
      <c r="C2873" s="14" t="str">
        <f>IFERROR(__xludf.DUMMYFUNCTION("""COMPUTED_VALUE"""),"陳妍瑜")</f>
        <v>陳妍瑜</v>
      </c>
      <c r="D2873" s="16" t="str">
        <f>IFERROR(__xludf.DUMMYFUNCTION("""COMPUTED_VALUE"""),"hle*****1@chc.edu.tw")</f>
        <v>hle*****1@chc.edu.tw</v>
      </c>
      <c r="E2873" s="17" t="str">
        <f>IFERROR(__xludf.DUMMYFUNCTION("""COMPUTED_VALUE"""),"彰化縣芳苑鄉後寮國民小學")</f>
        <v>彰化縣芳苑鄉後寮國民小學</v>
      </c>
      <c r="F2873" s="14" t="str">
        <f>IFERROR(__xludf.DUMMYFUNCTION("""COMPUTED_VALUE"""),"五年級")</f>
        <v>五年級</v>
      </c>
      <c r="G2873" s="14" t="str">
        <f>IFERROR(__xludf.DUMMYFUNCTION("""COMPUTED_VALUE"""),"獎狀")</f>
        <v>獎狀</v>
      </c>
      <c r="H2873" s="8"/>
    </row>
    <row r="2874">
      <c r="A2874" s="18"/>
      <c r="B2874" s="14">
        <f>IFERROR(__xludf.DUMMYFUNCTION("""COMPUTED_VALUE"""),1151301.0)</f>
        <v>1151301</v>
      </c>
      <c r="C2874" s="14" t="str">
        <f>IFERROR(__xludf.DUMMYFUNCTION("""COMPUTED_VALUE"""),"洪毫盛")</f>
        <v>洪毫盛</v>
      </c>
      <c r="D2874" s="16" t="str">
        <f>IFERROR(__xludf.DUMMYFUNCTION("""COMPUTED_VALUE"""),"hle*****5@chc.edu.tw")</f>
        <v>hle*****5@chc.edu.tw</v>
      </c>
      <c r="E2874" s="17" t="str">
        <f>IFERROR(__xludf.DUMMYFUNCTION("""COMPUTED_VALUE"""),"彰化縣芳苑鄉後寮國民小學")</f>
        <v>彰化縣芳苑鄉後寮國民小學</v>
      </c>
      <c r="F2874" s="14" t="str">
        <f>IFERROR(__xludf.DUMMYFUNCTION("""COMPUTED_VALUE"""),"六年級")</f>
        <v>六年級</v>
      </c>
      <c r="G2874" s="14" t="str">
        <f>IFERROR(__xludf.DUMMYFUNCTION("""COMPUTED_VALUE"""),"●小禮物")</f>
        <v>●小禮物</v>
      </c>
      <c r="H2874" s="8"/>
    </row>
    <row r="2875">
      <c r="A2875" s="18"/>
      <c r="B2875" s="14">
        <f>IFERROR(__xludf.DUMMYFUNCTION("""COMPUTED_VALUE"""),1151297.0)</f>
        <v>1151297</v>
      </c>
      <c r="C2875" s="14" t="str">
        <f>IFERROR(__xludf.DUMMYFUNCTION("""COMPUTED_VALUE"""),"洪翊翔")</f>
        <v>洪翊翔</v>
      </c>
      <c r="D2875" s="16" t="str">
        <f>IFERROR(__xludf.DUMMYFUNCTION("""COMPUTED_VALUE"""),"hle*****1@chc.edu.tw")</f>
        <v>hle*****1@chc.edu.tw</v>
      </c>
      <c r="E2875" s="17" t="str">
        <f>IFERROR(__xludf.DUMMYFUNCTION("""COMPUTED_VALUE"""),"彰化縣芳苑鄉後寮國民小學")</f>
        <v>彰化縣芳苑鄉後寮國民小學</v>
      </c>
      <c r="F2875" s="14" t="str">
        <f>IFERROR(__xludf.DUMMYFUNCTION("""COMPUTED_VALUE"""),"六年級")</f>
        <v>六年級</v>
      </c>
      <c r="G2875" s="14" t="str">
        <f>IFERROR(__xludf.DUMMYFUNCTION("""COMPUTED_VALUE"""),"●小禮物")</f>
        <v>●小禮物</v>
      </c>
      <c r="H2875" s="8"/>
    </row>
    <row r="2876">
      <c r="A2876" s="18"/>
      <c r="B2876" s="14">
        <f>IFERROR(__xludf.DUMMYFUNCTION("""COMPUTED_VALUE"""),1151310.0)</f>
        <v>1151310</v>
      </c>
      <c r="C2876" s="14" t="str">
        <f>IFERROR(__xludf.DUMMYFUNCTION("""COMPUTED_VALUE"""),"蕭毅恩")</f>
        <v>蕭毅恩</v>
      </c>
      <c r="D2876" s="16" t="str">
        <f>IFERROR(__xludf.DUMMYFUNCTION("""COMPUTED_VALUE"""),"hle*****4@chc.edu.tw")</f>
        <v>hle*****4@chc.edu.tw</v>
      </c>
      <c r="E2876" s="17" t="str">
        <f>IFERROR(__xludf.DUMMYFUNCTION("""COMPUTED_VALUE"""),"彰化縣芳苑鄉後寮國民小學")</f>
        <v>彰化縣芳苑鄉後寮國民小學</v>
      </c>
      <c r="F2876" s="14" t="str">
        <f>IFERROR(__xludf.DUMMYFUNCTION("""COMPUTED_VALUE"""),"六年級")</f>
        <v>六年級</v>
      </c>
      <c r="G2876" s="14" t="str">
        <f>IFERROR(__xludf.DUMMYFUNCTION("""COMPUTED_VALUE"""),"●小禮物")</f>
        <v>●小禮物</v>
      </c>
      <c r="H2876" s="8"/>
    </row>
    <row r="2877">
      <c r="A2877" s="18"/>
      <c r="B2877" s="14">
        <f>IFERROR(__xludf.DUMMYFUNCTION("""COMPUTED_VALUE"""),1151299.0)</f>
        <v>1151299</v>
      </c>
      <c r="C2877" s="14" t="str">
        <f>IFERROR(__xludf.DUMMYFUNCTION("""COMPUTED_VALUE"""),"羅粲翔")</f>
        <v>羅粲翔</v>
      </c>
      <c r="D2877" s="16" t="str">
        <f>IFERROR(__xludf.DUMMYFUNCTION("""COMPUTED_VALUE"""),"hle*****3@chc.edu.tw")</f>
        <v>hle*****3@chc.edu.tw</v>
      </c>
      <c r="E2877" s="17" t="str">
        <f>IFERROR(__xludf.DUMMYFUNCTION("""COMPUTED_VALUE"""),"彰化縣芳苑鄉後寮國民小學")</f>
        <v>彰化縣芳苑鄉後寮國民小學</v>
      </c>
      <c r="F2877" s="14" t="str">
        <f>IFERROR(__xludf.DUMMYFUNCTION("""COMPUTED_VALUE"""),"六年級")</f>
        <v>六年級</v>
      </c>
      <c r="G2877" s="14" t="str">
        <f>IFERROR(__xludf.DUMMYFUNCTION("""COMPUTED_VALUE"""),"●小禮物")</f>
        <v>●小禮物</v>
      </c>
      <c r="H2877" s="8"/>
    </row>
    <row r="2878">
      <c r="A2878" s="18"/>
      <c r="B2878" s="14">
        <f>IFERROR(__xludf.DUMMYFUNCTION("""COMPUTED_VALUE"""),1151302.0)</f>
        <v>1151302</v>
      </c>
      <c r="C2878" s="14" t="str">
        <f>IFERROR(__xludf.DUMMYFUNCTION("""COMPUTED_VALUE"""),"洪名方")</f>
        <v>洪名方</v>
      </c>
      <c r="D2878" s="16" t="str">
        <f>IFERROR(__xludf.DUMMYFUNCTION("""COMPUTED_VALUE"""),"hle*****6@chc.edu.tw")</f>
        <v>hle*****6@chc.edu.tw</v>
      </c>
      <c r="E2878" s="17" t="str">
        <f>IFERROR(__xludf.DUMMYFUNCTION("""COMPUTED_VALUE"""),"彰化縣芳苑鄉後寮國民小學")</f>
        <v>彰化縣芳苑鄉後寮國民小學</v>
      </c>
      <c r="F2878" s="14" t="str">
        <f>IFERROR(__xludf.DUMMYFUNCTION("""COMPUTED_VALUE"""),"六年級")</f>
        <v>六年級</v>
      </c>
      <c r="G2878" s="14" t="str">
        <f>IFERROR(__xludf.DUMMYFUNCTION("""COMPUTED_VALUE"""),"獎狀")</f>
        <v>獎狀</v>
      </c>
      <c r="H2878" s="8"/>
    </row>
    <row r="2879">
      <c r="A2879" s="18"/>
      <c r="B2879" s="14">
        <f>IFERROR(__xludf.DUMMYFUNCTION("""COMPUTED_VALUE"""),1151311.0)</f>
        <v>1151311</v>
      </c>
      <c r="C2879" s="14" t="str">
        <f>IFERROR(__xludf.DUMMYFUNCTION("""COMPUTED_VALUE"""),"洪沛妤")</f>
        <v>洪沛妤</v>
      </c>
      <c r="D2879" s="16" t="str">
        <f>IFERROR(__xludf.DUMMYFUNCTION("""COMPUTED_VALUE"""),"cse*****31@chc.edu.tw")</f>
        <v>cse*****31@chc.edu.tw</v>
      </c>
      <c r="E2879" s="17" t="str">
        <f>IFERROR(__xludf.DUMMYFUNCTION("""COMPUTED_VALUE"""),"彰化縣芳苑鄉後寮國民小學")</f>
        <v>彰化縣芳苑鄉後寮國民小學</v>
      </c>
      <c r="F2879" s="14" t="str">
        <f>IFERROR(__xludf.DUMMYFUNCTION("""COMPUTED_VALUE"""),"六年級")</f>
        <v>六年級</v>
      </c>
      <c r="G2879" s="14" t="str">
        <f>IFERROR(__xludf.DUMMYFUNCTION("""COMPUTED_VALUE"""),"獎狀")</f>
        <v>獎狀</v>
      </c>
      <c r="H2879" s="8"/>
    </row>
    <row r="2880">
      <c r="A2880" s="18"/>
      <c r="B2880" s="14">
        <f>IFERROR(__xludf.DUMMYFUNCTION("""COMPUTED_VALUE"""),1151308.0)</f>
        <v>1151308</v>
      </c>
      <c r="C2880" s="14" t="str">
        <f>IFERROR(__xludf.DUMMYFUNCTION("""COMPUTED_VALUE"""),"洪佳妤")</f>
        <v>洪佳妤</v>
      </c>
      <c r="D2880" s="16" t="str">
        <f>IFERROR(__xludf.DUMMYFUNCTION("""COMPUTED_VALUE"""),"hle*****2@chc.edu.tw")</f>
        <v>hle*****2@chc.edu.tw</v>
      </c>
      <c r="E2880" s="17" t="str">
        <f>IFERROR(__xludf.DUMMYFUNCTION("""COMPUTED_VALUE"""),"彰化縣芳苑鄉後寮國民小學")</f>
        <v>彰化縣芳苑鄉後寮國民小學</v>
      </c>
      <c r="F2880" s="14" t="str">
        <f>IFERROR(__xludf.DUMMYFUNCTION("""COMPUTED_VALUE"""),"六年級")</f>
        <v>六年級</v>
      </c>
      <c r="G2880" s="14" t="str">
        <f>IFERROR(__xludf.DUMMYFUNCTION("""COMPUTED_VALUE"""),"獎狀")</f>
        <v>獎狀</v>
      </c>
      <c r="H2880" s="8"/>
    </row>
    <row r="2881">
      <c r="A2881" s="18"/>
      <c r="B2881" s="14">
        <f>IFERROR(__xludf.DUMMYFUNCTION("""COMPUTED_VALUE"""),1151300.0)</f>
        <v>1151300</v>
      </c>
      <c r="C2881" s="14" t="str">
        <f>IFERROR(__xludf.DUMMYFUNCTION("""COMPUTED_VALUE"""),"洪雋喆")</f>
        <v>洪雋喆</v>
      </c>
      <c r="D2881" s="16" t="str">
        <f>IFERROR(__xludf.DUMMYFUNCTION("""COMPUTED_VALUE"""),"hle*****4@chc.edu.tw")</f>
        <v>hle*****4@chc.edu.tw</v>
      </c>
      <c r="E2881" s="17" t="str">
        <f>IFERROR(__xludf.DUMMYFUNCTION("""COMPUTED_VALUE"""),"彰化縣芳苑鄉後寮國民小學")</f>
        <v>彰化縣芳苑鄉後寮國民小學</v>
      </c>
      <c r="F2881" s="14" t="str">
        <f>IFERROR(__xludf.DUMMYFUNCTION("""COMPUTED_VALUE"""),"六年級")</f>
        <v>六年級</v>
      </c>
      <c r="G2881" s="14" t="str">
        <f>IFERROR(__xludf.DUMMYFUNCTION("""COMPUTED_VALUE"""),"獎狀")</f>
        <v>獎狀</v>
      </c>
      <c r="H2881" s="8"/>
    </row>
    <row r="2882">
      <c r="A2882" s="18"/>
      <c r="B2882" s="14">
        <f>IFERROR(__xludf.DUMMYFUNCTION("""COMPUTED_VALUE"""),1151304.0)</f>
        <v>1151304</v>
      </c>
      <c r="C2882" s="14" t="str">
        <f>IFERROR(__xludf.DUMMYFUNCTION("""COMPUTED_VALUE"""),"洪嘉佑")</f>
        <v>洪嘉佑</v>
      </c>
      <c r="D2882" s="16" t="str">
        <f>IFERROR(__xludf.DUMMYFUNCTION("""COMPUTED_VALUE"""),"hle*****8@chc.edu.tw")</f>
        <v>hle*****8@chc.edu.tw</v>
      </c>
      <c r="E2882" s="17" t="str">
        <f>IFERROR(__xludf.DUMMYFUNCTION("""COMPUTED_VALUE"""),"彰化縣芳苑鄉後寮國民小學")</f>
        <v>彰化縣芳苑鄉後寮國民小學</v>
      </c>
      <c r="F2882" s="14" t="str">
        <f>IFERROR(__xludf.DUMMYFUNCTION("""COMPUTED_VALUE"""),"六年級")</f>
        <v>六年級</v>
      </c>
      <c r="G2882" s="14" t="str">
        <f>IFERROR(__xludf.DUMMYFUNCTION("""COMPUTED_VALUE"""),"獎狀")</f>
        <v>獎狀</v>
      </c>
      <c r="H2882" s="8"/>
    </row>
    <row r="2883">
      <c r="A2883" s="18"/>
      <c r="B2883" s="14">
        <f>IFERROR(__xludf.DUMMYFUNCTION("""COMPUTED_VALUE"""),1151303.0)</f>
        <v>1151303</v>
      </c>
      <c r="C2883" s="14" t="str">
        <f>IFERROR(__xludf.DUMMYFUNCTION("""COMPUTED_VALUE"""),"陳品硯")</f>
        <v>陳品硯</v>
      </c>
      <c r="D2883" s="16" t="str">
        <f>IFERROR(__xludf.DUMMYFUNCTION("""COMPUTED_VALUE"""),"hle*****7@chc.edu.tw")</f>
        <v>hle*****7@chc.edu.tw</v>
      </c>
      <c r="E2883" s="17" t="str">
        <f>IFERROR(__xludf.DUMMYFUNCTION("""COMPUTED_VALUE"""),"彰化縣芳苑鄉後寮國民小學")</f>
        <v>彰化縣芳苑鄉後寮國民小學</v>
      </c>
      <c r="F2883" s="14" t="str">
        <f>IFERROR(__xludf.DUMMYFUNCTION("""COMPUTED_VALUE"""),"六年級")</f>
        <v>六年級</v>
      </c>
      <c r="G2883" s="14" t="str">
        <f>IFERROR(__xludf.DUMMYFUNCTION("""COMPUTED_VALUE"""),"獎狀")</f>
        <v>獎狀</v>
      </c>
      <c r="H2883" s="8"/>
    </row>
    <row r="2884">
      <c r="A2884" s="18"/>
      <c r="B2884" s="14">
        <f>IFERROR(__xludf.DUMMYFUNCTION("""COMPUTED_VALUE"""),1151306.0)</f>
        <v>1151306</v>
      </c>
      <c r="C2884" s="14" t="str">
        <f>IFERROR(__xludf.DUMMYFUNCTION("""COMPUTED_VALUE"""),"蔡佩竺")</f>
        <v>蔡佩竺</v>
      </c>
      <c r="D2884" s="16" t="str">
        <f>IFERROR(__xludf.DUMMYFUNCTION("""COMPUTED_VALUE"""),"hle*****0@chc.edu.tw")</f>
        <v>hle*****0@chc.edu.tw</v>
      </c>
      <c r="E2884" s="17" t="str">
        <f>IFERROR(__xludf.DUMMYFUNCTION("""COMPUTED_VALUE"""),"彰化縣芳苑鄉後寮國民小學")</f>
        <v>彰化縣芳苑鄉後寮國民小學</v>
      </c>
      <c r="F2884" s="14" t="str">
        <f>IFERROR(__xludf.DUMMYFUNCTION("""COMPUTED_VALUE"""),"六年級")</f>
        <v>六年級</v>
      </c>
      <c r="G2884" s="14" t="str">
        <f>IFERROR(__xludf.DUMMYFUNCTION("""COMPUTED_VALUE"""),"獎狀")</f>
        <v>獎狀</v>
      </c>
      <c r="H2884" s="8"/>
    </row>
    <row r="2885">
      <c r="A2885" s="18"/>
      <c r="B2885" s="14">
        <f>IFERROR(__xludf.DUMMYFUNCTION("""COMPUTED_VALUE"""),1191634.0)</f>
        <v>1191634</v>
      </c>
      <c r="C2885" s="14" t="str">
        <f>IFERROR(__xludf.DUMMYFUNCTION("""COMPUTED_VALUE"""),"陳郁儒")</f>
        <v>陳郁儒</v>
      </c>
      <c r="D2885" s="16" t="str">
        <f>IFERROR(__xludf.DUMMYFUNCTION("""COMPUTED_VALUE"""),"chc*****7038es@mail.edu.tw")</f>
        <v>chc*****7038es@mail.edu.tw</v>
      </c>
      <c r="E2885" s="17" t="str">
        <f>IFERROR(__xludf.DUMMYFUNCTION("""COMPUTED_VALUE"""),"彰化縣二水鄉二水國民小學")</f>
        <v>彰化縣二水鄉二水國民小學</v>
      </c>
      <c r="F2885" s="14" t="str">
        <f>IFERROR(__xludf.DUMMYFUNCTION("""COMPUTED_VALUE"""),"五年級")</f>
        <v>五年級</v>
      </c>
      <c r="G2885" s="14" t="str">
        <f>IFERROR(__xludf.DUMMYFUNCTION("""COMPUTED_VALUE"""),"獎狀")</f>
        <v>獎狀</v>
      </c>
      <c r="H2885" s="8"/>
    </row>
    <row r="2886">
      <c r="A2886" s="18"/>
      <c r="B2886" s="14">
        <f>IFERROR(__xludf.DUMMYFUNCTION("""COMPUTED_VALUE"""),1191620.0)</f>
        <v>1191620</v>
      </c>
      <c r="C2886" s="14" t="str">
        <f>IFERROR(__xludf.DUMMYFUNCTION("""COMPUTED_VALUE"""),"陳咨羽")</f>
        <v>陳咨羽</v>
      </c>
      <c r="D2886" s="16" t="str">
        <f>IFERROR(__xludf.DUMMYFUNCTION("""COMPUTED_VALUE"""),"chc*****7049@mail.edu.tw")</f>
        <v>chc*****7049@mail.edu.tw</v>
      </c>
      <c r="E2886" s="17" t="str">
        <f>IFERROR(__xludf.DUMMYFUNCTION("""COMPUTED_VALUE"""),"彰化縣二水鄉二水國民小學")</f>
        <v>彰化縣二水鄉二水國民小學</v>
      </c>
      <c r="F2886" s="14" t="str">
        <f>IFERROR(__xludf.DUMMYFUNCTION("""COMPUTED_VALUE"""),"五年級")</f>
        <v>五年級</v>
      </c>
      <c r="G2886" s="14" t="str">
        <f>IFERROR(__xludf.DUMMYFUNCTION("""COMPUTED_VALUE"""),"獎狀")</f>
        <v>獎狀</v>
      </c>
      <c r="H2886" s="8"/>
    </row>
    <row r="2887">
      <c r="A2887" s="18"/>
      <c r="B2887" s="14">
        <f>IFERROR(__xludf.DUMMYFUNCTION("""COMPUTED_VALUE"""),1191616.0)</f>
        <v>1191616</v>
      </c>
      <c r="C2887" s="14" t="str">
        <f>IFERROR(__xludf.DUMMYFUNCTION("""COMPUTED_VALUE"""),"劉沛晴")</f>
        <v>劉沛晴</v>
      </c>
      <c r="D2887" s="16" t="str">
        <f>IFERROR(__xludf.DUMMYFUNCTION("""COMPUTED_VALUE"""),"chc*****7054@mail.edu.tw")</f>
        <v>chc*****7054@mail.edu.tw</v>
      </c>
      <c r="E2887" s="17" t="str">
        <f>IFERROR(__xludf.DUMMYFUNCTION("""COMPUTED_VALUE"""),"彰化縣二水鄉二水國民小學")</f>
        <v>彰化縣二水鄉二水國民小學</v>
      </c>
      <c r="F2887" s="14" t="str">
        <f>IFERROR(__xludf.DUMMYFUNCTION("""COMPUTED_VALUE"""),"五年級")</f>
        <v>五年級</v>
      </c>
      <c r="G2887" s="14" t="str">
        <f>IFERROR(__xludf.DUMMYFUNCTION("""COMPUTED_VALUE"""),"獎狀")</f>
        <v>獎狀</v>
      </c>
      <c r="H2887" s="8"/>
    </row>
    <row r="2888">
      <c r="A2888" s="18"/>
      <c r="B2888" s="14">
        <f>IFERROR(__xludf.DUMMYFUNCTION("""COMPUTED_VALUE"""),1199003.0)</f>
        <v>1199003</v>
      </c>
      <c r="C2888" s="14" t="str">
        <f>IFERROR(__xludf.DUMMYFUNCTION("""COMPUTED_VALUE"""),"王楷誠")</f>
        <v>王楷誠</v>
      </c>
      <c r="D2888" s="16" t="str">
        <f>IFERROR(__xludf.DUMMYFUNCTION("""COMPUTED_VALUE"""),"kai*****ng0050@gmail.com")</f>
        <v>kai*****ng0050@gmail.com</v>
      </c>
      <c r="E2888" s="17" t="str">
        <f>IFERROR(__xludf.DUMMYFUNCTION("""COMPUTED_VALUE"""),"南投縣南投市光榮國民小學")</f>
        <v>南投縣南投市光榮國民小學</v>
      </c>
      <c r="F2888" s="14" t="str">
        <f>IFERROR(__xludf.DUMMYFUNCTION("""COMPUTED_VALUE"""),"四年級")</f>
        <v>四年級</v>
      </c>
      <c r="G2888" s="14" t="str">
        <f>IFERROR(__xludf.DUMMYFUNCTION("""COMPUTED_VALUE"""),"●小禮物")</f>
        <v>●小禮物</v>
      </c>
      <c r="H2888" s="8"/>
    </row>
    <row r="2889">
      <c r="A2889" s="18"/>
      <c r="B2889" s="14">
        <f>IFERROR(__xludf.DUMMYFUNCTION("""COMPUTED_VALUE"""),556313.0)</f>
        <v>556313</v>
      </c>
      <c r="C2889" s="14" t="str">
        <f>IFERROR(__xludf.DUMMYFUNCTION("""COMPUTED_VALUE"""),"蔡闓亘")</f>
        <v>蔡闓亘</v>
      </c>
      <c r="D2889" s="16" t="str">
        <f>IFERROR(__xludf.DUMMYFUNCTION("""COMPUTED_VALUE"""),"s01*****@chps.ntct.edu.tw")</f>
        <v>s01*****@chps.ntct.edu.tw</v>
      </c>
      <c r="E2889" s="17" t="str">
        <f>IFERROR(__xludf.DUMMYFUNCTION("""COMPUTED_VALUE"""),"南投縣南投市德興國民小學")</f>
        <v>南投縣南投市德興國民小學</v>
      </c>
      <c r="F2889" s="14" t="str">
        <f>IFERROR(__xludf.DUMMYFUNCTION("""COMPUTED_VALUE"""),"五年級")</f>
        <v>五年級</v>
      </c>
      <c r="G2889" s="14" t="str">
        <f>IFERROR(__xludf.DUMMYFUNCTION("""COMPUTED_VALUE"""),"●小禮物")</f>
        <v>●小禮物</v>
      </c>
      <c r="H2889" s="8"/>
    </row>
    <row r="2890">
      <c r="A2890" s="18"/>
      <c r="B2890" s="14">
        <f>IFERROR(__xludf.DUMMYFUNCTION("""COMPUTED_VALUE"""),504101.0)</f>
        <v>504101</v>
      </c>
      <c r="C2890" s="14" t="str">
        <f>IFERROR(__xludf.DUMMYFUNCTION("""COMPUTED_VALUE"""),"黃品棋")</f>
        <v>黃品棋</v>
      </c>
      <c r="D2890" s="16" t="str">
        <f>IFERROR(__xludf.DUMMYFUNCTION("""COMPUTED_VALUE"""),"ifi*****7@gmail.com")</f>
        <v>ifi*****7@gmail.com</v>
      </c>
      <c r="E2890" s="17" t="str">
        <f>IFERROR(__xludf.DUMMYFUNCTION("""COMPUTED_VALUE"""),"南投縣南投市平和國民小學")</f>
        <v>南投縣南投市平和國民小學</v>
      </c>
      <c r="F2890" s="14" t="str">
        <f>IFERROR(__xludf.DUMMYFUNCTION("""COMPUTED_VALUE"""),"五年級")</f>
        <v>五年級</v>
      </c>
      <c r="G2890" s="14" t="str">
        <f>IFERROR(__xludf.DUMMYFUNCTION("""COMPUTED_VALUE"""),"●小禮物")</f>
        <v>●小禮物</v>
      </c>
      <c r="H2890" s="8"/>
    </row>
    <row r="2891">
      <c r="A2891" s="18"/>
      <c r="B2891" s="14">
        <f>IFERROR(__xludf.DUMMYFUNCTION("""COMPUTED_VALUE"""),1119060.0)</f>
        <v>1119060</v>
      </c>
      <c r="C2891" s="14" t="str">
        <f>IFERROR(__xludf.DUMMYFUNCTION("""COMPUTED_VALUE"""),"廖于喬")</f>
        <v>廖于喬</v>
      </c>
      <c r="D2891" s="16" t="str">
        <f>IFERROR(__xludf.DUMMYFUNCTION("""COMPUTED_VALUE"""),"s01*****@kfups.ntct.edu.tw")</f>
        <v>s01*****@kfups.ntct.edu.tw</v>
      </c>
      <c r="E2891" s="17" t="str">
        <f>IFERROR(__xludf.DUMMYFUNCTION("""COMPUTED_VALUE"""),"南投縣南投市光復國民小學")</f>
        <v>南投縣南投市光復國民小學</v>
      </c>
      <c r="F2891" s="14" t="str">
        <f>IFERROR(__xludf.DUMMYFUNCTION("""COMPUTED_VALUE"""),"三年級")</f>
        <v>三年級</v>
      </c>
      <c r="G2891" s="14" t="str">
        <f>IFERROR(__xludf.DUMMYFUNCTION("""COMPUTED_VALUE"""),"獎狀")</f>
        <v>獎狀</v>
      </c>
      <c r="H2891" s="8"/>
    </row>
    <row r="2892">
      <c r="A2892" s="18"/>
      <c r="B2892" s="14">
        <f>IFERROR(__xludf.DUMMYFUNCTION("""COMPUTED_VALUE"""),974512.0)</f>
        <v>974512</v>
      </c>
      <c r="C2892" s="14" t="str">
        <f>IFERROR(__xludf.DUMMYFUNCTION("""COMPUTED_VALUE"""),"廖崇翰")</f>
        <v>廖崇翰</v>
      </c>
      <c r="D2892" s="16" t="str">
        <f>IFERROR(__xludf.DUMMYFUNCTION("""COMPUTED_VALUE"""),"s01*****@kfups.ntct.edu.tw")</f>
        <v>s01*****@kfups.ntct.edu.tw</v>
      </c>
      <c r="E2892" s="17" t="str">
        <f>IFERROR(__xludf.DUMMYFUNCTION("""COMPUTED_VALUE"""),"南投縣南投市光復國民小學")</f>
        <v>南投縣南投市光復國民小學</v>
      </c>
      <c r="F2892" s="14" t="str">
        <f>IFERROR(__xludf.DUMMYFUNCTION("""COMPUTED_VALUE"""),"六年級")</f>
        <v>六年級</v>
      </c>
      <c r="G2892" s="14" t="str">
        <f>IFERROR(__xludf.DUMMYFUNCTION("""COMPUTED_VALUE"""),"獎狀")</f>
        <v>獎狀</v>
      </c>
      <c r="H2892" s="8"/>
    </row>
    <row r="2893">
      <c r="A2893" s="18"/>
      <c r="B2893" s="14">
        <f>IFERROR(__xludf.DUMMYFUNCTION("""COMPUTED_VALUE"""),747358.0)</f>
        <v>747358</v>
      </c>
      <c r="C2893" s="14" t="str">
        <f>IFERROR(__xludf.DUMMYFUNCTION("""COMPUTED_VALUE"""),"陳潔晞")</f>
        <v>陳潔晞</v>
      </c>
      <c r="D2893" s="16" t="str">
        <f>IFERROR(__xludf.DUMMYFUNCTION("""COMPUTED_VALUE"""),"107*****ses.ntct.edu.tw")</f>
        <v>107*****ses.ntct.edu.tw</v>
      </c>
      <c r="E2893" s="17" t="str">
        <f>IFERROR(__xludf.DUMMYFUNCTION("""COMPUTED_VALUE"""),"南投縣南投市康壽國民小學")</f>
        <v>南投縣南投市康壽國民小學</v>
      </c>
      <c r="F2893" s="14" t="str">
        <f>IFERROR(__xludf.DUMMYFUNCTION("""COMPUTED_VALUE"""),"五年級")</f>
        <v>五年級</v>
      </c>
      <c r="G2893" s="14" t="str">
        <f>IFERROR(__xludf.DUMMYFUNCTION("""COMPUTED_VALUE"""),"●小禮物")</f>
        <v>●小禮物</v>
      </c>
      <c r="H2893" s="8"/>
    </row>
    <row r="2894">
      <c r="A2894" s="18"/>
      <c r="B2894" s="14">
        <f>IFERROR(__xludf.DUMMYFUNCTION("""COMPUTED_VALUE"""),611136.0)</f>
        <v>611136</v>
      </c>
      <c r="C2894" s="14" t="str">
        <f>IFERROR(__xludf.DUMMYFUNCTION("""COMPUTED_VALUE"""),"李坤瑾")</f>
        <v>李坤瑾</v>
      </c>
      <c r="D2894" s="16" t="str">
        <f>IFERROR(__xludf.DUMMYFUNCTION("""COMPUTED_VALUE"""),"s10*****ntes.ntct.edu.tw")</f>
        <v>s10*****ntes.ntct.edu.tw</v>
      </c>
      <c r="E2894" s="17" t="str">
        <f>IFERROR(__xludf.DUMMYFUNCTION("""COMPUTED_VALUE"""),"南投縣南投市康壽國民小學")</f>
        <v>南投縣南投市康壽國民小學</v>
      </c>
      <c r="F2894" s="14" t="str">
        <f>IFERROR(__xludf.DUMMYFUNCTION("""COMPUTED_VALUE"""),"五年級")</f>
        <v>五年級</v>
      </c>
      <c r="G2894" s="14" t="str">
        <f>IFERROR(__xludf.DUMMYFUNCTION("""COMPUTED_VALUE"""),"獎狀")</f>
        <v>獎狀</v>
      </c>
      <c r="H2894" s="8"/>
    </row>
    <row r="2895">
      <c r="A2895" s="18"/>
      <c r="B2895" s="14">
        <f>IFERROR(__xludf.DUMMYFUNCTION("""COMPUTED_VALUE"""),1212523.0)</f>
        <v>1212523</v>
      </c>
      <c r="C2895" s="14" t="str">
        <f>IFERROR(__xludf.DUMMYFUNCTION("""COMPUTED_VALUE"""),"張栗綺")</f>
        <v>張栗綺</v>
      </c>
      <c r="D2895" s="16" t="str">
        <f>IFERROR(__xludf.DUMMYFUNCTION("""COMPUTED_VALUE"""),"s10*****ntes.ntct.edu.tw")</f>
        <v>s10*****ntes.ntct.edu.tw</v>
      </c>
      <c r="E2895" s="17" t="str">
        <f>IFERROR(__xludf.DUMMYFUNCTION("""COMPUTED_VALUE"""),"南投縣南投市南投國民小學")</f>
        <v>南投縣南投市南投國民小學</v>
      </c>
      <c r="F2895" s="14" t="str">
        <f>IFERROR(__xludf.DUMMYFUNCTION("""COMPUTED_VALUE"""),"三年級")</f>
        <v>三年級</v>
      </c>
      <c r="G2895" s="14" t="str">
        <f>IFERROR(__xludf.DUMMYFUNCTION("""COMPUTED_VALUE"""),"●小禮物")</f>
        <v>●小禮物</v>
      </c>
      <c r="H2895" s="8"/>
    </row>
    <row r="2896">
      <c r="A2896" s="18"/>
      <c r="B2896" s="14">
        <f>IFERROR(__xludf.DUMMYFUNCTION("""COMPUTED_VALUE"""),1212526.0)</f>
        <v>1212526</v>
      </c>
      <c r="C2896" s="14" t="str">
        <f>IFERROR(__xludf.DUMMYFUNCTION("""COMPUTED_VALUE"""),"張喬棠")</f>
        <v>張喬棠</v>
      </c>
      <c r="D2896" s="16" t="str">
        <f>IFERROR(__xludf.DUMMYFUNCTION("""COMPUTED_VALUE"""),"s10*****ntes.ntct.edu.tw")</f>
        <v>s10*****ntes.ntct.edu.tw</v>
      </c>
      <c r="E2896" s="17" t="str">
        <f>IFERROR(__xludf.DUMMYFUNCTION("""COMPUTED_VALUE"""),"南投縣南投市南投國民小學")</f>
        <v>南投縣南投市南投國民小學</v>
      </c>
      <c r="F2896" s="14" t="str">
        <f>IFERROR(__xludf.DUMMYFUNCTION("""COMPUTED_VALUE"""),"三年級")</f>
        <v>三年級</v>
      </c>
      <c r="G2896" s="14" t="str">
        <f>IFERROR(__xludf.DUMMYFUNCTION("""COMPUTED_VALUE"""),"●小禮物")</f>
        <v>●小禮物</v>
      </c>
      <c r="H2896" s="8"/>
    </row>
    <row r="2897">
      <c r="A2897" s="18"/>
      <c r="B2897" s="14">
        <f>IFERROR(__xludf.DUMMYFUNCTION("""COMPUTED_VALUE"""),1030615.0)</f>
        <v>1030615</v>
      </c>
      <c r="C2897" s="14" t="str">
        <f>IFERROR(__xludf.DUMMYFUNCTION("""COMPUTED_VALUE"""),"張鳳珍")</f>
        <v>張鳳珍</v>
      </c>
      <c r="D2897" s="16" t="str">
        <f>IFERROR(__xludf.DUMMYFUNCTION("""COMPUTED_VALUE"""),"s10*****ntes.ntct.edu.tw")</f>
        <v>s10*****ntes.ntct.edu.tw</v>
      </c>
      <c r="E2897" s="17" t="str">
        <f>IFERROR(__xludf.DUMMYFUNCTION("""COMPUTED_VALUE"""),"南投縣南投市南投國民小學")</f>
        <v>南投縣南投市南投國民小學</v>
      </c>
      <c r="F2897" s="14" t="str">
        <f>IFERROR(__xludf.DUMMYFUNCTION("""COMPUTED_VALUE"""),"三年級")</f>
        <v>三年級</v>
      </c>
      <c r="G2897" s="14" t="str">
        <f>IFERROR(__xludf.DUMMYFUNCTION("""COMPUTED_VALUE"""),"●小禮物")</f>
        <v>●小禮物</v>
      </c>
      <c r="H2897" s="8"/>
    </row>
    <row r="2898">
      <c r="A2898" s="18"/>
      <c r="B2898" s="14">
        <f>IFERROR(__xludf.DUMMYFUNCTION("""COMPUTED_VALUE"""),1212512.0)</f>
        <v>1212512</v>
      </c>
      <c r="C2898" s="14" t="str">
        <f>IFERROR(__xludf.DUMMYFUNCTION("""COMPUTED_VALUE"""),"陳宥翔")</f>
        <v>陳宥翔</v>
      </c>
      <c r="D2898" s="16" t="str">
        <f>IFERROR(__xludf.DUMMYFUNCTION("""COMPUTED_VALUE"""),"s10*****ntes.ntct.edu.tw")</f>
        <v>s10*****ntes.ntct.edu.tw</v>
      </c>
      <c r="E2898" s="17" t="str">
        <f>IFERROR(__xludf.DUMMYFUNCTION("""COMPUTED_VALUE"""),"南投縣南投市南投國民小學")</f>
        <v>南投縣南投市南投國民小學</v>
      </c>
      <c r="F2898" s="14" t="str">
        <f>IFERROR(__xludf.DUMMYFUNCTION("""COMPUTED_VALUE"""),"三年級")</f>
        <v>三年級</v>
      </c>
      <c r="G2898" s="14" t="str">
        <f>IFERROR(__xludf.DUMMYFUNCTION("""COMPUTED_VALUE"""),"●小禮物")</f>
        <v>●小禮物</v>
      </c>
      <c r="H2898" s="8"/>
    </row>
    <row r="2899">
      <c r="A2899" s="18"/>
      <c r="B2899" s="14">
        <f>IFERROR(__xludf.DUMMYFUNCTION("""COMPUTED_VALUE"""),1212540.0)</f>
        <v>1212540</v>
      </c>
      <c r="C2899" s="14" t="str">
        <f>IFERROR(__xludf.DUMMYFUNCTION("""COMPUTED_VALUE"""),"魏亦威")</f>
        <v>魏亦威</v>
      </c>
      <c r="D2899" s="16" t="str">
        <f>IFERROR(__xludf.DUMMYFUNCTION("""COMPUTED_VALUE"""),"s10*****ntes.ntct.edu.tw")</f>
        <v>s10*****ntes.ntct.edu.tw</v>
      </c>
      <c r="E2899" s="17" t="str">
        <f>IFERROR(__xludf.DUMMYFUNCTION("""COMPUTED_VALUE"""),"南投縣南投市南投國民小學")</f>
        <v>南投縣南投市南投國民小學</v>
      </c>
      <c r="F2899" s="14" t="str">
        <f>IFERROR(__xludf.DUMMYFUNCTION("""COMPUTED_VALUE"""),"三年級")</f>
        <v>三年級</v>
      </c>
      <c r="G2899" s="14" t="str">
        <f>IFERROR(__xludf.DUMMYFUNCTION("""COMPUTED_VALUE"""),"●小禮物")</f>
        <v>●小禮物</v>
      </c>
      <c r="H2899" s="8"/>
    </row>
    <row r="2900">
      <c r="A2900" s="18"/>
      <c r="B2900" s="14">
        <f>IFERROR(__xludf.DUMMYFUNCTION("""COMPUTED_VALUE"""),1212520.0)</f>
        <v>1212520</v>
      </c>
      <c r="C2900" s="14" t="str">
        <f>IFERROR(__xludf.DUMMYFUNCTION("""COMPUTED_VALUE"""),"許芷瑜")</f>
        <v>許芷瑜</v>
      </c>
      <c r="D2900" s="16" t="str">
        <f>IFERROR(__xludf.DUMMYFUNCTION("""COMPUTED_VALUE"""),"s10*****ntes.ntct.edu.tw")</f>
        <v>s10*****ntes.ntct.edu.tw</v>
      </c>
      <c r="E2900" s="17" t="str">
        <f>IFERROR(__xludf.DUMMYFUNCTION("""COMPUTED_VALUE"""),"南投縣南投市南投國民小學")</f>
        <v>南投縣南投市南投國民小學</v>
      </c>
      <c r="F2900" s="14" t="str">
        <f>IFERROR(__xludf.DUMMYFUNCTION("""COMPUTED_VALUE"""),"三年級")</f>
        <v>三年級</v>
      </c>
      <c r="G2900" s="14" t="str">
        <f>IFERROR(__xludf.DUMMYFUNCTION("""COMPUTED_VALUE"""),"★禮券$200")</f>
        <v>★禮券$200</v>
      </c>
      <c r="H2900" s="8"/>
    </row>
    <row r="2901">
      <c r="A2901" s="18"/>
      <c r="B2901" s="14">
        <f>IFERROR(__xludf.DUMMYFUNCTION("""COMPUTED_VALUE"""),1212541.0)</f>
        <v>1212541</v>
      </c>
      <c r="C2901" s="14" t="str">
        <f>IFERROR(__xludf.DUMMYFUNCTION("""COMPUTED_VALUE"""),"王佳華")</f>
        <v>王佳華</v>
      </c>
      <c r="D2901" s="16" t="str">
        <f>IFERROR(__xludf.DUMMYFUNCTION("""COMPUTED_VALUE"""),"s10*****ntes.ntct.edu.tw")</f>
        <v>s10*****ntes.ntct.edu.tw</v>
      </c>
      <c r="E2901" s="17" t="str">
        <f>IFERROR(__xludf.DUMMYFUNCTION("""COMPUTED_VALUE"""),"南投縣南投市南投國民小學")</f>
        <v>南投縣南投市南投國民小學</v>
      </c>
      <c r="F2901" s="14" t="str">
        <f>IFERROR(__xludf.DUMMYFUNCTION("""COMPUTED_VALUE"""),"三年級")</f>
        <v>三年級</v>
      </c>
      <c r="G2901" s="14" t="str">
        <f>IFERROR(__xludf.DUMMYFUNCTION("""COMPUTED_VALUE"""),"獎狀")</f>
        <v>獎狀</v>
      </c>
      <c r="H2901" s="8"/>
    </row>
    <row r="2902">
      <c r="A2902" s="18"/>
      <c r="B2902" s="14">
        <f>IFERROR(__xludf.DUMMYFUNCTION("""COMPUTED_VALUE"""),1212519.0)</f>
        <v>1212519</v>
      </c>
      <c r="C2902" s="14" t="str">
        <f>IFERROR(__xludf.DUMMYFUNCTION("""COMPUTED_VALUE"""),"李沛穎")</f>
        <v>李沛穎</v>
      </c>
      <c r="D2902" s="16" t="str">
        <f>IFERROR(__xludf.DUMMYFUNCTION("""COMPUTED_VALUE"""),"s10*****ntes.ntct.edu.tw")</f>
        <v>s10*****ntes.ntct.edu.tw</v>
      </c>
      <c r="E2902" s="17" t="str">
        <f>IFERROR(__xludf.DUMMYFUNCTION("""COMPUTED_VALUE"""),"南投縣南投市南投國民小學")</f>
        <v>南投縣南投市南投國民小學</v>
      </c>
      <c r="F2902" s="14" t="str">
        <f>IFERROR(__xludf.DUMMYFUNCTION("""COMPUTED_VALUE"""),"三年級")</f>
        <v>三年級</v>
      </c>
      <c r="G2902" s="14" t="str">
        <f>IFERROR(__xludf.DUMMYFUNCTION("""COMPUTED_VALUE"""),"獎狀")</f>
        <v>獎狀</v>
      </c>
      <c r="H2902" s="8"/>
    </row>
    <row r="2903">
      <c r="A2903" s="18"/>
      <c r="B2903" s="14">
        <f>IFERROR(__xludf.DUMMYFUNCTION("""COMPUTED_VALUE"""),1212527.0)</f>
        <v>1212527</v>
      </c>
      <c r="C2903" s="14" t="str">
        <f>IFERROR(__xludf.DUMMYFUNCTION("""COMPUTED_VALUE"""),"李函耘")</f>
        <v>李函耘</v>
      </c>
      <c r="D2903" s="16" t="str">
        <f>IFERROR(__xludf.DUMMYFUNCTION("""COMPUTED_VALUE"""),"s10*****ntes.ntct.edu.tw")</f>
        <v>s10*****ntes.ntct.edu.tw</v>
      </c>
      <c r="E2903" s="17" t="str">
        <f>IFERROR(__xludf.DUMMYFUNCTION("""COMPUTED_VALUE"""),"南投縣南投市南投國民小學")</f>
        <v>南投縣南投市南投國民小學</v>
      </c>
      <c r="F2903" s="14" t="str">
        <f>IFERROR(__xludf.DUMMYFUNCTION("""COMPUTED_VALUE"""),"三年級")</f>
        <v>三年級</v>
      </c>
      <c r="G2903" s="14" t="str">
        <f>IFERROR(__xludf.DUMMYFUNCTION("""COMPUTED_VALUE"""),"獎狀")</f>
        <v>獎狀</v>
      </c>
      <c r="H2903" s="8"/>
    </row>
    <row r="2904">
      <c r="A2904" s="18"/>
      <c r="B2904" s="14">
        <f>IFERROR(__xludf.DUMMYFUNCTION("""COMPUTED_VALUE"""),1212528.0)</f>
        <v>1212528</v>
      </c>
      <c r="C2904" s="14" t="str">
        <f>IFERROR(__xludf.DUMMYFUNCTION("""COMPUTED_VALUE"""),"李芝萱")</f>
        <v>李芝萱</v>
      </c>
      <c r="D2904" s="16" t="str">
        <f>IFERROR(__xludf.DUMMYFUNCTION("""COMPUTED_VALUE"""),"s10*****ntes.ntct.edu.tw")</f>
        <v>s10*****ntes.ntct.edu.tw</v>
      </c>
      <c r="E2904" s="17" t="str">
        <f>IFERROR(__xludf.DUMMYFUNCTION("""COMPUTED_VALUE"""),"南投縣南投市南投國民小學")</f>
        <v>南投縣南投市南投國民小學</v>
      </c>
      <c r="F2904" s="14" t="str">
        <f>IFERROR(__xludf.DUMMYFUNCTION("""COMPUTED_VALUE"""),"三年級")</f>
        <v>三年級</v>
      </c>
      <c r="G2904" s="14" t="str">
        <f>IFERROR(__xludf.DUMMYFUNCTION("""COMPUTED_VALUE"""),"獎狀")</f>
        <v>獎狀</v>
      </c>
      <c r="H2904" s="8"/>
    </row>
    <row r="2905">
      <c r="A2905" s="18"/>
      <c r="B2905" s="14">
        <f>IFERROR(__xludf.DUMMYFUNCTION("""COMPUTED_VALUE"""),1212516.0)</f>
        <v>1212516</v>
      </c>
      <c r="C2905" s="14" t="str">
        <f>IFERROR(__xludf.DUMMYFUNCTION("""COMPUTED_VALUE"""),"李銘棻")</f>
        <v>李銘棻</v>
      </c>
      <c r="D2905" s="16" t="str">
        <f>IFERROR(__xludf.DUMMYFUNCTION("""COMPUTED_VALUE"""),"s10*****ntes.ntct.edu.tw")</f>
        <v>s10*****ntes.ntct.edu.tw</v>
      </c>
      <c r="E2905" s="17" t="str">
        <f>IFERROR(__xludf.DUMMYFUNCTION("""COMPUTED_VALUE"""),"南投縣南投市南投國民小學")</f>
        <v>南投縣南投市南投國民小學</v>
      </c>
      <c r="F2905" s="14" t="str">
        <f>IFERROR(__xludf.DUMMYFUNCTION("""COMPUTED_VALUE"""),"三年級")</f>
        <v>三年級</v>
      </c>
      <c r="G2905" s="14" t="str">
        <f>IFERROR(__xludf.DUMMYFUNCTION("""COMPUTED_VALUE"""),"獎狀")</f>
        <v>獎狀</v>
      </c>
      <c r="H2905" s="8"/>
    </row>
    <row r="2906">
      <c r="A2906" s="18"/>
      <c r="B2906" s="14">
        <f>IFERROR(__xludf.DUMMYFUNCTION("""COMPUTED_VALUE"""),1212529.0)</f>
        <v>1212529</v>
      </c>
      <c r="C2906" s="14" t="str">
        <f>IFERROR(__xludf.DUMMYFUNCTION("""COMPUTED_VALUE"""),"張傑程")</f>
        <v>張傑程</v>
      </c>
      <c r="D2906" s="16" t="str">
        <f>IFERROR(__xludf.DUMMYFUNCTION("""COMPUTED_VALUE"""),"s10*****ntes.ntct.edu.tw")</f>
        <v>s10*****ntes.ntct.edu.tw</v>
      </c>
      <c r="E2906" s="17" t="str">
        <f>IFERROR(__xludf.DUMMYFUNCTION("""COMPUTED_VALUE"""),"南投縣南投市南投國民小學")</f>
        <v>南投縣南投市南投國民小學</v>
      </c>
      <c r="F2906" s="14" t="str">
        <f>IFERROR(__xludf.DUMMYFUNCTION("""COMPUTED_VALUE"""),"三年級")</f>
        <v>三年級</v>
      </c>
      <c r="G2906" s="14" t="str">
        <f>IFERROR(__xludf.DUMMYFUNCTION("""COMPUTED_VALUE"""),"獎狀")</f>
        <v>獎狀</v>
      </c>
      <c r="H2906" s="8"/>
    </row>
    <row r="2907">
      <c r="A2907" s="18"/>
      <c r="B2907" s="14">
        <f>IFERROR(__xludf.DUMMYFUNCTION("""COMPUTED_VALUE"""),1212513.0)</f>
        <v>1212513</v>
      </c>
      <c r="C2907" s="14" t="str">
        <f>IFERROR(__xludf.DUMMYFUNCTION("""COMPUTED_VALUE"""),"陳柏叡")</f>
        <v>陳柏叡</v>
      </c>
      <c r="D2907" s="16" t="str">
        <f>IFERROR(__xludf.DUMMYFUNCTION("""COMPUTED_VALUE"""),"s10*****ntes.ntct.edu.tw")</f>
        <v>s10*****ntes.ntct.edu.tw</v>
      </c>
      <c r="E2907" s="17" t="str">
        <f>IFERROR(__xludf.DUMMYFUNCTION("""COMPUTED_VALUE"""),"南投縣南投市南投國民小學")</f>
        <v>南投縣南投市南投國民小學</v>
      </c>
      <c r="F2907" s="14" t="str">
        <f>IFERROR(__xludf.DUMMYFUNCTION("""COMPUTED_VALUE"""),"三年級")</f>
        <v>三年級</v>
      </c>
      <c r="G2907" s="14" t="str">
        <f>IFERROR(__xludf.DUMMYFUNCTION("""COMPUTED_VALUE"""),"獎狀")</f>
        <v>獎狀</v>
      </c>
      <c r="H2907" s="8"/>
    </row>
    <row r="2908">
      <c r="A2908" s="18"/>
      <c r="B2908" s="14">
        <f>IFERROR(__xludf.DUMMYFUNCTION("""COMPUTED_VALUE"""),1212511.0)</f>
        <v>1212511</v>
      </c>
      <c r="C2908" s="14" t="str">
        <f>IFERROR(__xludf.DUMMYFUNCTION("""COMPUTED_VALUE"""),"曾信哲")</f>
        <v>曾信哲</v>
      </c>
      <c r="D2908" s="16" t="str">
        <f>IFERROR(__xludf.DUMMYFUNCTION("""COMPUTED_VALUE"""),"s10*****ntes.ntct.edu.tw")</f>
        <v>s10*****ntes.ntct.edu.tw</v>
      </c>
      <c r="E2908" s="17" t="str">
        <f>IFERROR(__xludf.DUMMYFUNCTION("""COMPUTED_VALUE"""),"南投縣南投市南投國民小學")</f>
        <v>南投縣南投市南投國民小學</v>
      </c>
      <c r="F2908" s="14" t="str">
        <f>IFERROR(__xludf.DUMMYFUNCTION("""COMPUTED_VALUE"""),"三年級")</f>
        <v>三年級</v>
      </c>
      <c r="G2908" s="14" t="str">
        <f>IFERROR(__xludf.DUMMYFUNCTION("""COMPUTED_VALUE"""),"獎狀")</f>
        <v>獎狀</v>
      </c>
      <c r="H2908" s="8"/>
    </row>
    <row r="2909">
      <c r="A2909" s="18"/>
      <c r="B2909" s="14">
        <f>IFERROR(__xludf.DUMMYFUNCTION("""COMPUTED_VALUE"""),1212530.0)</f>
        <v>1212530</v>
      </c>
      <c r="C2909" s="14" t="str">
        <f>IFERROR(__xludf.DUMMYFUNCTION("""COMPUTED_VALUE"""),"黃塏媗")</f>
        <v>黃塏媗</v>
      </c>
      <c r="D2909" s="16" t="str">
        <f>IFERROR(__xludf.DUMMYFUNCTION("""COMPUTED_VALUE"""),"s10*****ntes.ntct.edu.tw")</f>
        <v>s10*****ntes.ntct.edu.tw</v>
      </c>
      <c r="E2909" s="17" t="str">
        <f>IFERROR(__xludf.DUMMYFUNCTION("""COMPUTED_VALUE"""),"南投縣南投市南投國民小學")</f>
        <v>南投縣南投市南投國民小學</v>
      </c>
      <c r="F2909" s="14" t="str">
        <f>IFERROR(__xludf.DUMMYFUNCTION("""COMPUTED_VALUE"""),"三年級")</f>
        <v>三年級</v>
      </c>
      <c r="G2909" s="14" t="str">
        <f>IFERROR(__xludf.DUMMYFUNCTION("""COMPUTED_VALUE"""),"獎狀")</f>
        <v>獎狀</v>
      </c>
      <c r="H2909" s="8"/>
    </row>
    <row r="2910">
      <c r="A2910" s="18"/>
      <c r="B2910" s="14">
        <f>IFERROR(__xludf.DUMMYFUNCTION("""COMPUTED_VALUE"""),1212532.0)</f>
        <v>1212532</v>
      </c>
      <c r="C2910" s="14" t="str">
        <f>IFERROR(__xludf.DUMMYFUNCTION("""COMPUTED_VALUE"""),"楊士弘")</f>
        <v>楊士弘</v>
      </c>
      <c r="D2910" s="16" t="str">
        <f>IFERROR(__xludf.DUMMYFUNCTION("""COMPUTED_VALUE"""),"s10*****ntes.ntct.edu.tw")</f>
        <v>s10*****ntes.ntct.edu.tw</v>
      </c>
      <c r="E2910" s="17" t="str">
        <f>IFERROR(__xludf.DUMMYFUNCTION("""COMPUTED_VALUE"""),"南投縣南投市南投國民小學")</f>
        <v>南投縣南投市南投國民小學</v>
      </c>
      <c r="F2910" s="14" t="str">
        <f>IFERROR(__xludf.DUMMYFUNCTION("""COMPUTED_VALUE"""),"三年級")</f>
        <v>三年級</v>
      </c>
      <c r="G2910" s="14" t="str">
        <f>IFERROR(__xludf.DUMMYFUNCTION("""COMPUTED_VALUE"""),"獎狀")</f>
        <v>獎狀</v>
      </c>
      <c r="H2910" s="8"/>
    </row>
    <row r="2911">
      <c r="A2911" s="18"/>
      <c r="B2911" s="14">
        <f>IFERROR(__xludf.DUMMYFUNCTION("""COMPUTED_VALUE"""),1212524.0)</f>
        <v>1212524</v>
      </c>
      <c r="C2911" s="14" t="str">
        <f>IFERROR(__xludf.DUMMYFUNCTION("""COMPUTED_VALUE"""),"鄒瑩芷")</f>
        <v>鄒瑩芷</v>
      </c>
      <c r="D2911" s="16" t="str">
        <f>IFERROR(__xludf.DUMMYFUNCTION("""COMPUTED_VALUE"""),"s10*****ntes.ntct.edu.tw")</f>
        <v>s10*****ntes.ntct.edu.tw</v>
      </c>
      <c r="E2911" s="17" t="str">
        <f>IFERROR(__xludf.DUMMYFUNCTION("""COMPUTED_VALUE"""),"南投縣南投市南投國民小學")</f>
        <v>南投縣南投市南投國民小學</v>
      </c>
      <c r="F2911" s="14" t="str">
        <f>IFERROR(__xludf.DUMMYFUNCTION("""COMPUTED_VALUE"""),"三年級")</f>
        <v>三年級</v>
      </c>
      <c r="G2911" s="14" t="str">
        <f>IFERROR(__xludf.DUMMYFUNCTION("""COMPUTED_VALUE"""),"獎狀")</f>
        <v>獎狀</v>
      </c>
      <c r="H2911" s="8"/>
    </row>
    <row r="2912">
      <c r="A2912" s="18"/>
      <c r="B2912" s="14">
        <f>IFERROR(__xludf.DUMMYFUNCTION("""COMPUTED_VALUE"""),1212531.0)</f>
        <v>1212531</v>
      </c>
      <c r="C2912" s="14" t="str">
        <f>IFERROR(__xludf.DUMMYFUNCTION("""COMPUTED_VALUE"""),"蔡依珊")</f>
        <v>蔡依珊</v>
      </c>
      <c r="D2912" s="16" t="str">
        <f>IFERROR(__xludf.DUMMYFUNCTION("""COMPUTED_VALUE"""),"s10*****ntes.ntct.edu.tw")</f>
        <v>s10*****ntes.ntct.edu.tw</v>
      </c>
      <c r="E2912" s="17" t="str">
        <f>IFERROR(__xludf.DUMMYFUNCTION("""COMPUTED_VALUE"""),"南投縣南投市南投國民小學")</f>
        <v>南投縣南投市南投國民小學</v>
      </c>
      <c r="F2912" s="14" t="str">
        <f>IFERROR(__xludf.DUMMYFUNCTION("""COMPUTED_VALUE"""),"三年級")</f>
        <v>三年級</v>
      </c>
      <c r="G2912" s="14" t="str">
        <f>IFERROR(__xludf.DUMMYFUNCTION("""COMPUTED_VALUE"""),"獎狀")</f>
        <v>獎狀</v>
      </c>
      <c r="H2912" s="8"/>
    </row>
    <row r="2913">
      <c r="A2913" s="18"/>
      <c r="B2913" s="14">
        <f>IFERROR(__xludf.DUMMYFUNCTION("""COMPUTED_VALUE"""),1212518.0)</f>
        <v>1212518</v>
      </c>
      <c r="C2913" s="14" t="str">
        <f>IFERROR(__xludf.DUMMYFUNCTION("""COMPUTED_VALUE"""),"藍莛盛")</f>
        <v>藍莛盛</v>
      </c>
      <c r="D2913" s="16" t="str">
        <f>IFERROR(__xludf.DUMMYFUNCTION("""COMPUTED_VALUE"""),"s10*****ntes.ntct.edu.tw")</f>
        <v>s10*****ntes.ntct.edu.tw</v>
      </c>
      <c r="E2913" s="17" t="str">
        <f>IFERROR(__xludf.DUMMYFUNCTION("""COMPUTED_VALUE"""),"南投縣南投市南投國民小學")</f>
        <v>南投縣南投市南投國民小學</v>
      </c>
      <c r="F2913" s="14" t="str">
        <f>IFERROR(__xludf.DUMMYFUNCTION("""COMPUTED_VALUE"""),"三年級")</f>
        <v>三年級</v>
      </c>
      <c r="G2913" s="14" t="str">
        <f>IFERROR(__xludf.DUMMYFUNCTION("""COMPUTED_VALUE"""),"獎狀")</f>
        <v>獎狀</v>
      </c>
      <c r="H2913" s="8"/>
    </row>
    <row r="2914">
      <c r="A2914" s="18"/>
      <c r="B2914" s="14">
        <f>IFERROR(__xludf.DUMMYFUNCTION("""COMPUTED_VALUE"""),1164542.0)</f>
        <v>1164542</v>
      </c>
      <c r="C2914" s="14" t="str">
        <f>IFERROR(__xludf.DUMMYFUNCTION("""COMPUTED_VALUE"""),"張芸綺")</f>
        <v>張芸綺</v>
      </c>
      <c r="D2914" s="16" t="str">
        <f>IFERROR(__xludf.DUMMYFUNCTION("""COMPUTED_VALUE"""),"s10*****ntes.ntct.edu.tw")</f>
        <v>s10*****ntes.ntct.edu.tw</v>
      </c>
      <c r="E2914" s="17" t="str">
        <f>IFERROR(__xludf.DUMMYFUNCTION("""COMPUTED_VALUE"""),"南投縣南投市南投國民小學")</f>
        <v>南投縣南投市南投國民小學</v>
      </c>
      <c r="F2914" s="14" t="str">
        <f>IFERROR(__xludf.DUMMYFUNCTION("""COMPUTED_VALUE"""),"三年級")</f>
        <v>三年級</v>
      </c>
      <c r="G2914" s="14" t="str">
        <f>IFERROR(__xludf.DUMMYFUNCTION("""COMPUTED_VALUE"""),"●小禮物")</f>
        <v>●小禮物</v>
      </c>
      <c r="H2914" s="8"/>
    </row>
    <row r="2915">
      <c r="A2915" s="18"/>
      <c r="B2915" s="14">
        <f>IFERROR(__xludf.DUMMYFUNCTION("""COMPUTED_VALUE"""),1164535.0)</f>
        <v>1164535</v>
      </c>
      <c r="C2915" s="14" t="str">
        <f>IFERROR(__xludf.DUMMYFUNCTION("""COMPUTED_VALUE"""),"張恆瑀")</f>
        <v>張恆瑀</v>
      </c>
      <c r="D2915" s="16" t="str">
        <f>IFERROR(__xludf.DUMMYFUNCTION("""COMPUTED_VALUE"""),"s10*****ntes.ntct.edu.tw")</f>
        <v>s10*****ntes.ntct.edu.tw</v>
      </c>
      <c r="E2915" s="17" t="str">
        <f>IFERROR(__xludf.DUMMYFUNCTION("""COMPUTED_VALUE"""),"南投縣南投市南投國民小學")</f>
        <v>南投縣南投市南投國民小學</v>
      </c>
      <c r="F2915" s="14" t="str">
        <f>IFERROR(__xludf.DUMMYFUNCTION("""COMPUTED_VALUE"""),"三年級")</f>
        <v>三年級</v>
      </c>
      <c r="G2915" s="14" t="str">
        <f>IFERROR(__xludf.DUMMYFUNCTION("""COMPUTED_VALUE"""),"●小禮物")</f>
        <v>●小禮物</v>
      </c>
      <c r="H2915" s="8"/>
    </row>
    <row r="2916">
      <c r="A2916" s="18"/>
      <c r="B2916" s="14">
        <f>IFERROR(__xludf.DUMMYFUNCTION("""COMPUTED_VALUE"""),1163749.0)</f>
        <v>1163749</v>
      </c>
      <c r="C2916" s="14" t="str">
        <f>IFERROR(__xludf.DUMMYFUNCTION("""COMPUTED_VALUE"""),"陳廷鈞")</f>
        <v>陳廷鈞</v>
      </c>
      <c r="D2916" s="16" t="str">
        <f>IFERROR(__xludf.DUMMYFUNCTION("""COMPUTED_VALUE"""),"s10*****ntes.ntct.edu.tw")</f>
        <v>s10*****ntes.ntct.edu.tw</v>
      </c>
      <c r="E2916" s="17" t="str">
        <f>IFERROR(__xludf.DUMMYFUNCTION("""COMPUTED_VALUE"""),"南投縣南投市南投國民小學")</f>
        <v>南投縣南投市南投國民小學</v>
      </c>
      <c r="F2916" s="14" t="str">
        <f>IFERROR(__xludf.DUMMYFUNCTION("""COMPUTED_VALUE"""),"三年級")</f>
        <v>三年級</v>
      </c>
      <c r="G2916" s="14" t="str">
        <f>IFERROR(__xludf.DUMMYFUNCTION("""COMPUTED_VALUE"""),"●小禮物")</f>
        <v>●小禮物</v>
      </c>
      <c r="H2916" s="8"/>
    </row>
    <row r="2917">
      <c r="A2917" s="18"/>
      <c r="B2917" s="14">
        <f>IFERROR(__xludf.DUMMYFUNCTION("""COMPUTED_VALUE"""),1164553.0)</f>
        <v>1164553</v>
      </c>
      <c r="C2917" s="14" t="str">
        <f>IFERROR(__xludf.DUMMYFUNCTION("""COMPUTED_VALUE"""),"陳珮婕")</f>
        <v>陳珮婕</v>
      </c>
      <c r="D2917" s="16" t="str">
        <f>IFERROR(__xludf.DUMMYFUNCTION("""COMPUTED_VALUE"""),"s10*****ntes.ntct.edu.tw")</f>
        <v>s10*****ntes.ntct.edu.tw</v>
      </c>
      <c r="E2917" s="17" t="str">
        <f>IFERROR(__xludf.DUMMYFUNCTION("""COMPUTED_VALUE"""),"南投縣南投市南投國民小學")</f>
        <v>南投縣南投市南投國民小學</v>
      </c>
      <c r="F2917" s="14" t="str">
        <f>IFERROR(__xludf.DUMMYFUNCTION("""COMPUTED_VALUE"""),"三年級")</f>
        <v>三年級</v>
      </c>
      <c r="G2917" s="14" t="str">
        <f>IFERROR(__xludf.DUMMYFUNCTION("""COMPUTED_VALUE"""),"●小禮物")</f>
        <v>●小禮物</v>
      </c>
      <c r="H2917" s="8"/>
    </row>
    <row r="2918">
      <c r="A2918" s="18"/>
      <c r="B2918" s="14">
        <f>IFERROR(__xludf.DUMMYFUNCTION("""COMPUTED_VALUE"""),1164534.0)</f>
        <v>1164534</v>
      </c>
      <c r="C2918" s="14" t="str">
        <f>IFERROR(__xludf.DUMMYFUNCTION("""COMPUTED_VALUE"""),"陳群儒")</f>
        <v>陳群儒</v>
      </c>
      <c r="D2918" s="16" t="str">
        <f>IFERROR(__xludf.DUMMYFUNCTION("""COMPUTED_VALUE"""),"s10*****ntes.ntct.edu.tw")</f>
        <v>s10*****ntes.ntct.edu.tw</v>
      </c>
      <c r="E2918" s="17" t="str">
        <f>IFERROR(__xludf.DUMMYFUNCTION("""COMPUTED_VALUE"""),"南投縣南投市南投國民小學")</f>
        <v>南投縣南投市南投國民小學</v>
      </c>
      <c r="F2918" s="14" t="str">
        <f>IFERROR(__xludf.DUMMYFUNCTION("""COMPUTED_VALUE"""),"三年級")</f>
        <v>三年級</v>
      </c>
      <c r="G2918" s="14" t="str">
        <f>IFERROR(__xludf.DUMMYFUNCTION("""COMPUTED_VALUE"""),"●小禮物")</f>
        <v>●小禮物</v>
      </c>
      <c r="H2918" s="8"/>
    </row>
    <row r="2919">
      <c r="A2919" s="18"/>
      <c r="B2919" s="14">
        <f>IFERROR(__xludf.DUMMYFUNCTION("""COMPUTED_VALUE"""),1164540.0)</f>
        <v>1164540</v>
      </c>
      <c r="C2919" s="14" t="str">
        <f>IFERROR(__xludf.DUMMYFUNCTION("""COMPUTED_VALUE"""),"黃倢妤")</f>
        <v>黃倢妤</v>
      </c>
      <c r="D2919" s="16" t="str">
        <f>IFERROR(__xludf.DUMMYFUNCTION("""COMPUTED_VALUE"""),"s10*****ntes.ntct.edu.tw")</f>
        <v>s10*****ntes.ntct.edu.tw</v>
      </c>
      <c r="E2919" s="17" t="str">
        <f>IFERROR(__xludf.DUMMYFUNCTION("""COMPUTED_VALUE"""),"南投縣南投市南投國民小學")</f>
        <v>南投縣南投市南投國民小學</v>
      </c>
      <c r="F2919" s="14" t="str">
        <f>IFERROR(__xludf.DUMMYFUNCTION("""COMPUTED_VALUE"""),"三年級")</f>
        <v>三年級</v>
      </c>
      <c r="G2919" s="14" t="str">
        <f>IFERROR(__xludf.DUMMYFUNCTION("""COMPUTED_VALUE"""),"●小禮物")</f>
        <v>●小禮物</v>
      </c>
      <c r="H2919" s="8"/>
    </row>
    <row r="2920">
      <c r="A2920" s="18"/>
      <c r="B2920" s="14">
        <f>IFERROR(__xludf.DUMMYFUNCTION("""COMPUTED_VALUE"""),1164539.0)</f>
        <v>1164539</v>
      </c>
      <c r="C2920" s="14" t="str">
        <f>IFERROR(__xludf.DUMMYFUNCTION("""COMPUTED_VALUE"""),"黃彩恩")</f>
        <v>黃彩恩</v>
      </c>
      <c r="D2920" s="16" t="str">
        <f>IFERROR(__xludf.DUMMYFUNCTION("""COMPUTED_VALUE"""),"s10*****ntes.ntct.edu.tw")</f>
        <v>s10*****ntes.ntct.edu.tw</v>
      </c>
      <c r="E2920" s="17" t="str">
        <f>IFERROR(__xludf.DUMMYFUNCTION("""COMPUTED_VALUE"""),"南投縣南投市南投國民小學")</f>
        <v>南投縣南投市南投國民小學</v>
      </c>
      <c r="F2920" s="14" t="str">
        <f>IFERROR(__xludf.DUMMYFUNCTION("""COMPUTED_VALUE"""),"三年級")</f>
        <v>三年級</v>
      </c>
      <c r="G2920" s="14" t="str">
        <f>IFERROR(__xludf.DUMMYFUNCTION("""COMPUTED_VALUE"""),"●小禮物")</f>
        <v>●小禮物</v>
      </c>
      <c r="H2920" s="8"/>
    </row>
    <row r="2921">
      <c r="A2921" s="18"/>
      <c r="B2921" s="14">
        <f>IFERROR(__xludf.DUMMYFUNCTION("""COMPUTED_VALUE"""),1164533.0)</f>
        <v>1164533</v>
      </c>
      <c r="C2921" s="14" t="str">
        <f>IFERROR(__xludf.DUMMYFUNCTION("""COMPUTED_VALUE"""),"廖晨睿")</f>
        <v>廖晨睿</v>
      </c>
      <c r="D2921" s="16" t="str">
        <f>IFERROR(__xludf.DUMMYFUNCTION("""COMPUTED_VALUE"""),"s10*****ntes.ntct.edu.tw")</f>
        <v>s10*****ntes.ntct.edu.tw</v>
      </c>
      <c r="E2921" s="17" t="str">
        <f>IFERROR(__xludf.DUMMYFUNCTION("""COMPUTED_VALUE"""),"南投縣南投市南投國民小學")</f>
        <v>南投縣南投市南投國民小學</v>
      </c>
      <c r="F2921" s="14" t="str">
        <f>IFERROR(__xludf.DUMMYFUNCTION("""COMPUTED_VALUE"""),"三年級")</f>
        <v>三年級</v>
      </c>
      <c r="G2921" s="14" t="str">
        <f>IFERROR(__xludf.DUMMYFUNCTION("""COMPUTED_VALUE"""),"●小禮物")</f>
        <v>●小禮物</v>
      </c>
      <c r="H2921" s="8"/>
    </row>
    <row r="2922">
      <c r="A2922" s="18"/>
      <c r="B2922" s="14">
        <f>IFERROR(__xludf.DUMMYFUNCTION("""COMPUTED_VALUE"""),1164546.0)</f>
        <v>1164546</v>
      </c>
      <c r="C2922" s="14" t="str">
        <f>IFERROR(__xludf.DUMMYFUNCTION("""COMPUTED_VALUE"""),"劉羽芯")</f>
        <v>劉羽芯</v>
      </c>
      <c r="D2922" s="16" t="str">
        <f>IFERROR(__xludf.DUMMYFUNCTION("""COMPUTED_VALUE"""),"s10*****ntes.ntct.edu.tw")</f>
        <v>s10*****ntes.ntct.edu.tw</v>
      </c>
      <c r="E2922" s="17" t="str">
        <f>IFERROR(__xludf.DUMMYFUNCTION("""COMPUTED_VALUE"""),"南投縣南投市南投國民小學")</f>
        <v>南投縣南投市南投國民小學</v>
      </c>
      <c r="F2922" s="14" t="str">
        <f>IFERROR(__xludf.DUMMYFUNCTION("""COMPUTED_VALUE"""),"三年級")</f>
        <v>三年級</v>
      </c>
      <c r="G2922" s="14" t="str">
        <f>IFERROR(__xludf.DUMMYFUNCTION("""COMPUTED_VALUE"""),"●小禮物")</f>
        <v>●小禮物</v>
      </c>
      <c r="H2922" s="8"/>
    </row>
    <row r="2923">
      <c r="A2923" s="18"/>
      <c r="B2923" s="14">
        <f>IFERROR(__xludf.DUMMYFUNCTION("""COMPUTED_VALUE"""),1164547.0)</f>
        <v>1164547</v>
      </c>
      <c r="C2923" s="14" t="str">
        <f>IFERROR(__xludf.DUMMYFUNCTION("""COMPUTED_VALUE"""),"張芷晴")</f>
        <v>張芷晴</v>
      </c>
      <c r="D2923" s="16" t="str">
        <f>IFERROR(__xludf.DUMMYFUNCTION("""COMPUTED_VALUE"""),"s10*****ntes.ntct.edu.tw")</f>
        <v>s10*****ntes.ntct.edu.tw</v>
      </c>
      <c r="E2923" s="17" t="str">
        <f>IFERROR(__xludf.DUMMYFUNCTION("""COMPUTED_VALUE"""),"南投縣南投市南投國民小學")</f>
        <v>南投縣南投市南投國民小學</v>
      </c>
      <c r="F2923" s="14" t="str">
        <f>IFERROR(__xludf.DUMMYFUNCTION("""COMPUTED_VALUE"""),"三年級")</f>
        <v>三年級</v>
      </c>
      <c r="G2923" s="14" t="str">
        <f>IFERROR(__xludf.DUMMYFUNCTION("""COMPUTED_VALUE"""),"獎狀")</f>
        <v>獎狀</v>
      </c>
      <c r="H2923" s="8"/>
    </row>
    <row r="2924">
      <c r="A2924" s="18"/>
      <c r="B2924" s="14">
        <f>IFERROR(__xludf.DUMMYFUNCTION("""COMPUTED_VALUE"""),1164549.0)</f>
        <v>1164549</v>
      </c>
      <c r="C2924" s="14" t="str">
        <f>IFERROR(__xludf.DUMMYFUNCTION("""COMPUTED_VALUE"""),"陳芊妤")</f>
        <v>陳芊妤</v>
      </c>
      <c r="D2924" s="16" t="str">
        <f>IFERROR(__xludf.DUMMYFUNCTION("""COMPUTED_VALUE"""),"s10*****ntes.ntct.edu.tw")</f>
        <v>s10*****ntes.ntct.edu.tw</v>
      </c>
      <c r="E2924" s="17" t="str">
        <f>IFERROR(__xludf.DUMMYFUNCTION("""COMPUTED_VALUE"""),"南投縣南投市南投國民小學")</f>
        <v>南投縣南投市南投國民小學</v>
      </c>
      <c r="F2924" s="14" t="str">
        <f>IFERROR(__xludf.DUMMYFUNCTION("""COMPUTED_VALUE"""),"三年級")</f>
        <v>三年級</v>
      </c>
      <c r="G2924" s="14" t="str">
        <f>IFERROR(__xludf.DUMMYFUNCTION("""COMPUTED_VALUE"""),"獎狀")</f>
        <v>獎狀</v>
      </c>
      <c r="H2924" s="8"/>
    </row>
    <row r="2925">
      <c r="A2925" s="18"/>
      <c r="B2925" s="14">
        <f>IFERROR(__xludf.DUMMYFUNCTION("""COMPUTED_VALUE"""),1163742.0)</f>
        <v>1163742</v>
      </c>
      <c r="C2925" s="14" t="str">
        <f>IFERROR(__xludf.DUMMYFUNCTION("""COMPUTED_VALUE"""),"黃子恩")</f>
        <v>黃子恩</v>
      </c>
      <c r="D2925" s="16" t="str">
        <f>IFERROR(__xludf.DUMMYFUNCTION("""COMPUTED_VALUE"""),"s10*****ntes.ntct.edu.tw")</f>
        <v>s10*****ntes.ntct.edu.tw</v>
      </c>
      <c r="E2925" s="17" t="str">
        <f>IFERROR(__xludf.DUMMYFUNCTION("""COMPUTED_VALUE"""),"南投縣南投市南投國民小學")</f>
        <v>南投縣南投市南投國民小學</v>
      </c>
      <c r="F2925" s="14" t="str">
        <f>IFERROR(__xludf.DUMMYFUNCTION("""COMPUTED_VALUE"""),"三年級")</f>
        <v>三年級</v>
      </c>
      <c r="G2925" s="14" t="str">
        <f>IFERROR(__xludf.DUMMYFUNCTION("""COMPUTED_VALUE"""),"獎狀")</f>
        <v>獎狀</v>
      </c>
      <c r="H2925" s="8"/>
    </row>
    <row r="2926">
      <c r="A2926" s="18"/>
      <c r="B2926" s="14">
        <f>IFERROR(__xludf.DUMMYFUNCTION("""COMPUTED_VALUE"""),1164536.0)</f>
        <v>1164536</v>
      </c>
      <c r="C2926" s="14" t="str">
        <f>IFERROR(__xludf.DUMMYFUNCTION("""COMPUTED_VALUE"""),"葉盈杉")</f>
        <v>葉盈杉</v>
      </c>
      <c r="D2926" s="16" t="str">
        <f>IFERROR(__xludf.DUMMYFUNCTION("""COMPUTED_VALUE"""),"s10*****ntes.ntct.edu.tw")</f>
        <v>s10*****ntes.ntct.edu.tw</v>
      </c>
      <c r="E2926" s="17" t="str">
        <f>IFERROR(__xludf.DUMMYFUNCTION("""COMPUTED_VALUE"""),"南投縣南投市南投國民小學")</f>
        <v>南投縣南投市南投國民小學</v>
      </c>
      <c r="F2926" s="14" t="str">
        <f>IFERROR(__xludf.DUMMYFUNCTION("""COMPUTED_VALUE"""),"三年級")</f>
        <v>三年級</v>
      </c>
      <c r="G2926" s="14" t="str">
        <f>IFERROR(__xludf.DUMMYFUNCTION("""COMPUTED_VALUE"""),"獎狀")</f>
        <v>獎狀</v>
      </c>
      <c r="H2926" s="8"/>
    </row>
    <row r="2927">
      <c r="A2927" s="18"/>
      <c r="B2927" s="14">
        <f>IFERROR(__xludf.DUMMYFUNCTION("""COMPUTED_VALUE"""),1164552.0)</f>
        <v>1164552</v>
      </c>
      <c r="C2927" s="14" t="str">
        <f>IFERROR(__xludf.DUMMYFUNCTION("""COMPUTED_VALUE"""),"詹嘉妮")</f>
        <v>詹嘉妮</v>
      </c>
      <c r="D2927" s="16" t="str">
        <f>IFERROR(__xludf.DUMMYFUNCTION("""COMPUTED_VALUE"""),"s10*****ntes.ntct.edu.tw")</f>
        <v>s10*****ntes.ntct.edu.tw</v>
      </c>
      <c r="E2927" s="17" t="str">
        <f>IFERROR(__xludf.DUMMYFUNCTION("""COMPUTED_VALUE"""),"南投縣南投市南投國民小學")</f>
        <v>南投縣南投市南投國民小學</v>
      </c>
      <c r="F2927" s="14" t="str">
        <f>IFERROR(__xludf.DUMMYFUNCTION("""COMPUTED_VALUE"""),"三年級")</f>
        <v>三年級</v>
      </c>
      <c r="G2927" s="14" t="str">
        <f>IFERROR(__xludf.DUMMYFUNCTION("""COMPUTED_VALUE"""),"獎狀")</f>
        <v>獎狀</v>
      </c>
      <c r="H2927" s="8"/>
    </row>
    <row r="2928">
      <c r="A2928" s="18"/>
      <c r="B2928" s="14">
        <f>IFERROR(__xludf.DUMMYFUNCTION("""COMPUTED_VALUE"""),1210872.0)</f>
        <v>1210872</v>
      </c>
      <c r="C2928" s="14" t="str">
        <f>IFERROR(__xludf.DUMMYFUNCTION("""COMPUTED_VALUE"""),"廖苡淇")</f>
        <v>廖苡淇</v>
      </c>
      <c r="D2928" s="16" t="str">
        <f>IFERROR(__xludf.DUMMYFUNCTION("""COMPUTED_VALUE"""),"s10*****ntes.ntct.edu.tw")</f>
        <v>s10*****ntes.ntct.edu.tw</v>
      </c>
      <c r="E2928" s="17" t="str">
        <f>IFERROR(__xludf.DUMMYFUNCTION("""COMPUTED_VALUE"""),"南投縣南投市南投國民小學")</f>
        <v>南投縣南投市南投國民小學</v>
      </c>
      <c r="F2928" s="14" t="str">
        <f>IFERROR(__xludf.DUMMYFUNCTION("""COMPUTED_VALUE"""),"三年級")</f>
        <v>三年級</v>
      </c>
      <c r="G2928" s="14" t="str">
        <f>IFERROR(__xludf.DUMMYFUNCTION("""COMPUTED_VALUE"""),"獎狀")</f>
        <v>獎狀</v>
      </c>
      <c r="H2928" s="8"/>
    </row>
    <row r="2929">
      <c r="A2929" s="18"/>
      <c r="B2929" s="14">
        <f>IFERROR(__xludf.DUMMYFUNCTION("""COMPUTED_VALUE"""),1163738.0)</f>
        <v>1163738</v>
      </c>
      <c r="C2929" s="14" t="str">
        <f>IFERROR(__xludf.DUMMYFUNCTION("""COMPUTED_VALUE"""),"鄧裕叡")</f>
        <v>鄧裕叡</v>
      </c>
      <c r="D2929" s="16" t="str">
        <f>IFERROR(__xludf.DUMMYFUNCTION("""COMPUTED_VALUE"""),"s10*****ntes.ntct.edu.tw")</f>
        <v>s10*****ntes.ntct.edu.tw</v>
      </c>
      <c r="E2929" s="17" t="str">
        <f>IFERROR(__xludf.DUMMYFUNCTION("""COMPUTED_VALUE"""),"南投縣南投市南投國民小學")</f>
        <v>南投縣南投市南投國民小學</v>
      </c>
      <c r="F2929" s="14" t="str">
        <f>IFERROR(__xludf.DUMMYFUNCTION("""COMPUTED_VALUE"""),"三年級")</f>
        <v>三年級</v>
      </c>
      <c r="G2929" s="14" t="str">
        <f>IFERROR(__xludf.DUMMYFUNCTION("""COMPUTED_VALUE"""),"獎狀")</f>
        <v>獎狀</v>
      </c>
      <c r="H2929" s="8"/>
    </row>
    <row r="2930">
      <c r="A2930" s="18"/>
      <c r="B2930" s="14">
        <f>IFERROR(__xludf.DUMMYFUNCTION("""COMPUTED_VALUE"""),1164529.0)</f>
        <v>1164529</v>
      </c>
      <c r="C2930" s="14" t="str">
        <f>IFERROR(__xludf.DUMMYFUNCTION("""COMPUTED_VALUE"""),"鄭鈞佑")</f>
        <v>鄭鈞佑</v>
      </c>
      <c r="D2930" s="16" t="str">
        <f>IFERROR(__xludf.DUMMYFUNCTION("""COMPUTED_VALUE"""),"s10*****ntes.ntct.edu.tw")</f>
        <v>s10*****ntes.ntct.edu.tw</v>
      </c>
      <c r="E2930" s="17" t="str">
        <f>IFERROR(__xludf.DUMMYFUNCTION("""COMPUTED_VALUE"""),"南投縣南投市南投國民小學")</f>
        <v>南投縣南投市南投國民小學</v>
      </c>
      <c r="F2930" s="14" t="str">
        <f>IFERROR(__xludf.DUMMYFUNCTION("""COMPUTED_VALUE"""),"三年級")</f>
        <v>三年級</v>
      </c>
      <c r="G2930" s="14" t="str">
        <f>IFERROR(__xludf.DUMMYFUNCTION("""COMPUTED_VALUE"""),"獎狀")</f>
        <v>獎狀</v>
      </c>
      <c r="H2930" s="8"/>
    </row>
    <row r="2931">
      <c r="A2931" s="18"/>
      <c r="B2931" s="14">
        <f>IFERROR(__xludf.DUMMYFUNCTION("""COMPUTED_VALUE"""),1163748.0)</f>
        <v>1163748</v>
      </c>
      <c r="C2931" s="14" t="str">
        <f>IFERROR(__xludf.DUMMYFUNCTION("""COMPUTED_VALUE"""),"藍梓郡")</f>
        <v>藍梓郡</v>
      </c>
      <c r="D2931" s="16" t="str">
        <f>IFERROR(__xludf.DUMMYFUNCTION("""COMPUTED_VALUE"""),"s10*****ntes.ntct.edu.tw")</f>
        <v>s10*****ntes.ntct.edu.tw</v>
      </c>
      <c r="E2931" s="17" t="str">
        <f>IFERROR(__xludf.DUMMYFUNCTION("""COMPUTED_VALUE"""),"南投縣南投市南投國民小學")</f>
        <v>南投縣南投市南投國民小學</v>
      </c>
      <c r="F2931" s="14" t="str">
        <f>IFERROR(__xludf.DUMMYFUNCTION("""COMPUTED_VALUE"""),"三年級")</f>
        <v>三年級</v>
      </c>
      <c r="G2931" s="14" t="str">
        <f>IFERROR(__xludf.DUMMYFUNCTION("""COMPUTED_VALUE"""),"獎狀")</f>
        <v>獎狀</v>
      </c>
      <c r="H2931" s="8"/>
    </row>
    <row r="2932">
      <c r="A2932" s="18"/>
      <c r="B2932" s="14">
        <f>IFERROR(__xludf.DUMMYFUNCTION("""COMPUTED_VALUE"""),1164532.0)</f>
        <v>1164532</v>
      </c>
      <c r="C2932" s="14" t="str">
        <f>IFERROR(__xludf.DUMMYFUNCTION("""COMPUTED_VALUE"""),"魏苡洆")</f>
        <v>魏苡洆</v>
      </c>
      <c r="D2932" s="16" t="str">
        <f>IFERROR(__xludf.DUMMYFUNCTION("""COMPUTED_VALUE"""),"s10*****ntes.ntct.edu.tw")</f>
        <v>s10*****ntes.ntct.edu.tw</v>
      </c>
      <c r="E2932" s="17" t="str">
        <f>IFERROR(__xludf.DUMMYFUNCTION("""COMPUTED_VALUE"""),"南投縣南投市南投國民小學")</f>
        <v>南投縣南投市南投國民小學</v>
      </c>
      <c r="F2932" s="14" t="str">
        <f>IFERROR(__xludf.DUMMYFUNCTION("""COMPUTED_VALUE"""),"三年級")</f>
        <v>三年級</v>
      </c>
      <c r="G2932" s="14" t="str">
        <f>IFERROR(__xludf.DUMMYFUNCTION("""COMPUTED_VALUE"""),"獎狀")</f>
        <v>獎狀</v>
      </c>
      <c r="H2932" s="8"/>
    </row>
    <row r="2933">
      <c r="A2933" s="18"/>
      <c r="B2933" s="14">
        <f>IFERROR(__xludf.DUMMYFUNCTION("""COMPUTED_VALUE"""),611104.0)</f>
        <v>611104</v>
      </c>
      <c r="C2933" s="14" t="str">
        <f>IFERROR(__xludf.DUMMYFUNCTION("""COMPUTED_VALUE"""),"施芊卉")</f>
        <v>施芊卉</v>
      </c>
      <c r="D2933" s="16" t="str">
        <f>IFERROR(__xludf.DUMMYFUNCTION("""COMPUTED_VALUE"""),"s10*****ntes.ntct.edu.tw")</f>
        <v>s10*****ntes.ntct.edu.tw</v>
      </c>
      <c r="E2933" s="17" t="str">
        <f>IFERROR(__xludf.DUMMYFUNCTION("""COMPUTED_VALUE"""),"南投縣南投市南投國民小學")</f>
        <v>南投縣南投市南投國民小學</v>
      </c>
      <c r="F2933" s="14" t="str">
        <f>IFERROR(__xludf.DUMMYFUNCTION("""COMPUTED_VALUE"""),"五年級")</f>
        <v>五年級</v>
      </c>
      <c r="G2933" s="14" t="str">
        <f>IFERROR(__xludf.DUMMYFUNCTION("""COMPUTED_VALUE"""),"●小禮物")</f>
        <v>●小禮物</v>
      </c>
      <c r="H2933" s="8"/>
    </row>
    <row r="2934">
      <c r="A2934" s="18"/>
      <c r="B2934" s="14">
        <f>IFERROR(__xludf.DUMMYFUNCTION("""COMPUTED_VALUE"""),643627.0)</f>
        <v>643627</v>
      </c>
      <c r="C2934" s="14" t="str">
        <f>IFERROR(__xludf.DUMMYFUNCTION("""COMPUTED_VALUE"""),"黃律然")</f>
        <v>黃律然</v>
      </c>
      <c r="D2934" s="16" t="str">
        <f>IFERROR(__xludf.DUMMYFUNCTION("""COMPUTED_VALUE"""),"s10*****ntes.ntct.edu.tw")</f>
        <v>s10*****ntes.ntct.edu.tw</v>
      </c>
      <c r="E2934" s="17" t="str">
        <f>IFERROR(__xludf.DUMMYFUNCTION("""COMPUTED_VALUE"""),"南投縣南投市南投國民小學")</f>
        <v>南投縣南投市南投國民小學</v>
      </c>
      <c r="F2934" s="14" t="str">
        <f>IFERROR(__xludf.DUMMYFUNCTION("""COMPUTED_VALUE"""),"五年級")</f>
        <v>五年級</v>
      </c>
      <c r="G2934" s="14" t="str">
        <f>IFERROR(__xludf.DUMMYFUNCTION("""COMPUTED_VALUE"""),"獎狀")</f>
        <v>獎狀</v>
      </c>
      <c r="H2934" s="8"/>
    </row>
    <row r="2935">
      <c r="A2935" s="18"/>
      <c r="B2935" s="14">
        <f>IFERROR(__xludf.DUMMYFUNCTION("""COMPUTED_VALUE"""),602926.0)</f>
        <v>602926</v>
      </c>
      <c r="C2935" s="14" t="str">
        <f>IFERROR(__xludf.DUMMYFUNCTION("""COMPUTED_VALUE"""),"柯亭妤")</f>
        <v>柯亭妤</v>
      </c>
      <c r="D2935" s="16" t="str">
        <f>IFERROR(__xludf.DUMMYFUNCTION("""COMPUTED_VALUE"""),"s10*****ntes.ntct.edu.tw")</f>
        <v>s10*****ntes.ntct.edu.tw</v>
      </c>
      <c r="E2935" s="17" t="str">
        <f>IFERROR(__xludf.DUMMYFUNCTION("""COMPUTED_VALUE"""),"南投縣南投市南投國民小學")</f>
        <v>南投縣南投市南投國民小學</v>
      </c>
      <c r="F2935" s="14" t="str">
        <f>IFERROR(__xludf.DUMMYFUNCTION("""COMPUTED_VALUE"""),"六年級")</f>
        <v>六年級</v>
      </c>
      <c r="G2935" s="14" t="str">
        <f>IFERROR(__xludf.DUMMYFUNCTION("""COMPUTED_VALUE"""),"●小禮物")</f>
        <v>●小禮物</v>
      </c>
      <c r="H2935" s="8"/>
    </row>
    <row r="2936">
      <c r="A2936" s="18"/>
      <c r="B2936" s="14">
        <f>IFERROR(__xludf.DUMMYFUNCTION("""COMPUTED_VALUE"""),605021.0)</f>
        <v>605021</v>
      </c>
      <c r="C2936" s="14" t="str">
        <f>IFERROR(__xludf.DUMMYFUNCTION("""COMPUTED_VALUE"""),"曾宇心")</f>
        <v>曾宇心</v>
      </c>
      <c r="D2936" s="16" t="str">
        <f>IFERROR(__xludf.DUMMYFUNCTION("""COMPUTED_VALUE"""),"s10*****ntes.ntct.edu.tw")</f>
        <v>s10*****ntes.ntct.edu.tw</v>
      </c>
      <c r="E2936" s="17" t="str">
        <f>IFERROR(__xludf.DUMMYFUNCTION("""COMPUTED_VALUE"""),"南投縣南投市南投國民小學")</f>
        <v>南投縣南投市南投國民小學</v>
      </c>
      <c r="F2936" s="14" t="str">
        <f>IFERROR(__xludf.DUMMYFUNCTION("""COMPUTED_VALUE"""),"六年級")</f>
        <v>六年級</v>
      </c>
      <c r="G2936" s="14" t="str">
        <f>IFERROR(__xludf.DUMMYFUNCTION("""COMPUTED_VALUE"""),"獎狀")</f>
        <v>獎狀</v>
      </c>
      <c r="H2936" s="8"/>
    </row>
    <row r="2937">
      <c r="A2937" s="18"/>
      <c r="B2937" s="14">
        <f>IFERROR(__xludf.DUMMYFUNCTION("""COMPUTED_VALUE"""),641000.0)</f>
        <v>641000</v>
      </c>
      <c r="C2937" s="14" t="str">
        <f>IFERROR(__xludf.DUMMYFUNCTION("""COMPUTED_VALUE"""),"潘妘瑄")</f>
        <v>潘妘瑄</v>
      </c>
      <c r="D2937" s="16" t="str">
        <f>IFERROR(__xludf.DUMMYFUNCTION("""COMPUTED_VALUE"""),"s10*****ntes.ntct.edu.tw")</f>
        <v>s10*****ntes.ntct.edu.tw</v>
      </c>
      <c r="E2937" s="17" t="str">
        <f>IFERROR(__xludf.DUMMYFUNCTION("""COMPUTED_VALUE"""),"南投縣南投市南投國民小學")</f>
        <v>南投縣南投市南投國民小學</v>
      </c>
      <c r="F2937" s="14" t="str">
        <f>IFERROR(__xludf.DUMMYFUNCTION("""COMPUTED_VALUE"""),"六年級")</f>
        <v>六年級</v>
      </c>
      <c r="G2937" s="14" t="str">
        <f>IFERROR(__xludf.DUMMYFUNCTION("""COMPUTED_VALUE"""),"獎狀")</f>
        <v>獎狀</v>
      </c>
      <c r="H2937" s="8"/>
    </row>
    <row r="2938">
      <c r="A2938" s="18"/>
      <c r="B2938" s="14">
        <f>IFERROR(__xludf.DUMMYFUNCTION("""COMPUTED_VALUE"""),377640.0)</f>
        <v>377640</v>
      </c>
      <c r="C2938" s="14" t="str">
        <f>IFERROR(__xludf.DUMMYFUNCTION("""COMPUTED_VALUE"""),"張詠翔")</f>
        <v>張詠翔</v>
      </c>
      <c r="D2938" s="16" t="str">
        <f>IFERROR(__xludf.DUMMYFUNCTION("""COMPUTED_VALUE"""),"lor*****r@msa.hinet.net")</f>
        <v>lor*****r@msa.hinet.net</v>
      </c>
      <c r="E2938" s="17" t="str">
        <f>IFERROR(__xludf.DUMMYFUNCTION("""COMPUTED_VALUE"""),"南投縣南投市南投國民小學")</f>
        <v>南投縣南投市南投國民小學</v>
      </c>
      <c r="F2938" s="14" t="str">
        <f>IFERROR(__xludf.DUMMYFUNCTION("""COMPUTED_VALUE"""),"六年級")</f>
        <v>六年級</v>
      </c>
      <c r="G2938" s="14" t="str">
        <f>IFERROR(__xludf.DUMMYFUNCTION("""COMPUTED_VALUE"""),"獎狀")</f>
        <v>獎狀</v>
      </c>
      <c r="H2938" s="8"/>
    </row>
    <row r="2939">
      <c r="A2939" s="18"/>
      <c r="B2939" s="14">
        <f>IFERROR(__xludf.DUMMYFUNCTION("""COMPUTED_VALUE"""),604842.0)</f>
        <v>604842</v>
      </c>
      <c r="C2939" s="14" t="str">
        <f>IFERROR(__xludf.DUMMYFUNCTION("""COMPUTED_VALUE"""),"吳守曜")</f>
        <v>吳守曜</v>
      </c>
      <c r="D2939" s="16" t="str">
        <f>IFERROR(__xludf.DUMMYFUNCTION("""COMPUTED_VALUE"""),"s10*****ntes.ntct.edu.tw")</f>
        <v>s10*****ntes.ntct.edu.tw</v>
      </c>
      <c r="E2939" s="17" t="str">
        <f>IFERROR(__xludf.DUMMYFUNCTION("""COMPUTED_VALUE"""),"南投縣南投市南投國民小學")</f>
        <v>南投縣南投市南投國民小學</v>
      </c>
      <c r="F2939" s="14" t="str">
        <f>IFERROR(__xludf.DUMMYFUNCTION("""COMPUTED_VALUE"""),"六年級")</f>
        <v>六年級</v>
      </c>
      <c r="G2939" s="14" t="str">
        <f>IFERROR(__xludf.DUMMYFUNCTION("""COMPUTED_VALUE"""),"●小禮物")</f>
        <v>●小禮物</v>
      </c>
      <c r="H2939" s="8"/>
    </row>
    <row r="2940">
      <c r="A2940" s="18"/>
      <c r="B2940" s="14">
        <f>IFERROR(__xludf.DUMMYFUNCTION("""COMPUTED_VALUE"""),609123.0)</f>
        <v>609123</v>
      </c>
      <c r="C2940" s="14" t="str">
        <f>IFERROR(__xludf.DUMMYFUNCTION("""COMPUTED_VALUE"""),"范芮涵")</f>
        <v>范芮涵</v>
      </c>
      <c r="D2940" s="16" t="str">
        <f>IFERROR(__xludf.DUMMYFUNCTION("""COMPUTED_VALUE"""),"s10*****ntes.ntct.edu.tw")</f>
        <v>s10*****ntes.ntct.edu.tw</v>
      </c>
      <c r="E2940" s="17" t="str">
        <f>IFERROR(__xludf.DUMMYFUNCTION("""COMPUTED_VALUE"""),"南投縣南投市南投國民小學")</f>
        <v>南投縣南投市南投國民小學</v>
      </c>
      <c r="F2940" s="14" t="str">
        <f>IFERROR(__xludf.DUMMYFUNCTION("""COMPUTED_VALUE"""),"六年級")</f>
        <v>六年級</v>
      </c>
      <c r="G2940" s="14" t="str">
        <f>IFERROR(__xludf.DUMMYFUNCTION("""COMPUTED_VALUE"""),"●小禮物")</f>
        <v>●小禮物</v>
      </c>
      <c r="H2940" s="8"/>
    </row>
    <row r="2941">
      <c r="A2941" s="18"/>
      <c r="B2941" s="14">
        <f>IFERROR(__xludf.DUMMYFUNCTION("""COMPUTED_VALUE"""),602909.0)</f>
        <v>602909</v>
      </c>
      <c r="C2941" s="14" t="str">
        <f>IFERROR(__xludf.DUMMYFUNCTION("""COMPUTED_VALUE"""),"陳武輝")</f>
        <v>陳武輝</v>
      </c>
      <c r="D2941" s="16" t="str">
        <f>IFERROR(__xludf.DUMMYFUNCTION("""COMPUTED_VALUE"""),"s10*****ntes.ntct.edu.tw")</f>
        <v>s10*****ntes.ntct.edu.tw</v>
      </c>
      <c r="E2941" s="17" t="str">
        <f>IFERROR(__xludf.DUMMYFUNCTION("""COMPUTED_VALUE"""),"南投縣南投市南投國民小學")</f>
        <v>南投縣南投市南投國民小學</v>
      </c>
      <c r="F2941" s="14" t="str">
        <f>IFERROR(__xludf.DUMMYFUNCTION("""COMPUTED_VALUE"""),"六年級")</f>
        <v>六年級</v>
      </c>
      <c r="G2941" s="14" t="str">
        <f>IFERROR(__xludf.DUMMYFUNCTION("""COMPUTED_VALUE"""),"●小禮物")</f>
        <v>●小禮物</v>
      </c>
      <c r="H2941" s="8"/>
    </row>
    <row r="2942">
      <c r="A2942" s="18"/>
      <c r="B2942" s="14">
        <f>IFERROR(__xludf.DUMMYFUNCTION("""COMPUTED_VALUE"""),605269.0)</f>
        <v>605269</v>
      </c>
      <c r="C2942" s="14" t="str">
        <f>IFERROR(__xludf.DUMMYFUNCTION("""COMPUTED_VALUE"""),"黃韻綺")</f>
        <v>黃韻綺</v>
      </c>
      <c r="D2942" s="16" t="str">
        <f>IFERROR(__xludf.DUMMYFUNCTION("""COMPUTED_VALUE"""),"s10*****ntes.ntct.edu.tw")</f>
        <v>s10*****ntes.ntct.edu.tw</v>
      </c>
      <c r="E2942" s="17" t="str">
        <f>IFERROR(__xludf.DUMMYFUNCTION("""COMPUTED_VALUE"""),"南投縣南投市南投國民小學")</f>
        <v>南投縣南投市南投國民小學</v>
      </c>
      <c r="F2942" s="14" t="str">
        <f>IFERROR(__xludf.DUMMYFUNCTION("""COMPUTED_VALUE"""),"六年級")</f>
        <v>六年級</v>
      </c>
      <c r="G2942" s="14" t="str">
        <f>IFERROR(__xludf.DUMMYFUNCTION("""COMPUTED_VALUE"""),"●小禮物")</f>
        <v>●小禮物</v>
      </c>
      <c r="H2942" s="8"/>
    </row>
    <row r="2943">
      <c r="A2943" s="18"/>
      <c r="B2943" s="14">
        <f>IFERROR(__xludf.DUMMYFUNCTION("""COMPUTED_VALUE"""),605043.0)</f>
        <v>605043</v>
      </c>
      <c r="C2943" s="14" t="str">
        <f>IFERROR(__xludf.DUMMYFUNCTION("""COMPUTED_VALUE"""),"劉軒辰")</f>
        <v>劉軒辰</v>
      </c>
      <c r="D2943" s="16" t="str">
        <f>IFERROR(__xludf.DUMMYFUNCTION("""COMPUTED_VALUE"""),"s10*****ntes.ntct.edu.tw")</f>
        <v>s10*****ntes.ntct.edu.tw</v>
      </c>
      <c r="E2943" s="17" t="str">
        <f>IFERROR(__xludf.DUMMYFUNCTION("""COMPUTED_VALUE"""),"南投縣南投市南投國民小學")</f>
        <v>南投縣南投市南投國民小學</v>
      </c>
      <c r="F2943" s="14" t="str">
        <f>IFERROR(__xludf.DUMMYFUNCTION("""COMPUTED_VALUE"""),"六年級")</f>
        <v>六年級</v>
      </c>
      <c r="G2943" s="14" t="str">
        <f>IFERROR(__xludf.DUMMYFUNCTION("""COMPUTED_VALUE"""),"●小禮物")</f>
        <v>●小禮物</v>
      </c>
      <c r="H2943" s="8"/>
    </row>
    <row r="2944">
      <c r="A2944" s="18"/>
      <c r="B2944" s="14">
        <f>IFERROR(__xludf.DUMMYFUNCTION("""COMPUTED_VALUE"""),609207.0)</f>
        <v>609207</v>
      </c>
      <c r="C2944" s="14" t="str">
        <f>IFERROR(__xludf.DUMMYFUNCTION("""COMPUTED_VALUE"""),"吳紹萱")</f>
        <v>吳紹萱</v>
      </c>
      <c r="D2944" s="16" t="str">
        <f>IFERROR(__xludf.DUMMYFUNCTION("""COMPUTED_VALUE"""),"s10*****ntes.ntct.edu.tw")</f>
        <v>s10*****ntes.ntct.edu.tw</v>
      </c>
      <c r="E2944" s="17" t="str">
        <f>IFERROR(__xludf.DUMMYFUNCTION("""COMPUTED_VALUE"""),"南投縣南投市南投國民小學")</f>
        <v>南投縣南投市南投國民小學</v>
      </c>
      <c r="F2944" s="14" t="str">
        <f>IFERROR(__xludf.DUMMYFUNCTION("""COMPUTED_VALUE"""),"六年級")</f>
        <v>六年級</v>
      </c>
      <c r="G2944" s="14" t="str">
        <f>IFERROR(__xludf.DUMMYFUNCTION("""COMPUTED_VALUE"""),"★禮券$200")</f>
        <v>★禮券$200</v>
      </c>
      <c r="H2944" s="8"/>
    </row>
    <row r="2945">
      <c r="A2945" s="18"/>
      <c r="B2945" s="14">
        <f>IFERROR(__xludf.DUMMYFUNCTION("""COMPUTED_VALUE"""),609225.0)</f>
        <v>609225</v>
      </c>
      <c r="C2945" s="14" t="str">
        <f>IFERROR(__xludf.DUMMYFUNCTION("""COMPUTED_VALUE"""),"白泉駿")</f>
        <v>白泉駿</v>
      </c>
      <c r="D2945" s="16" t="str">
        <f>IFERROR(__xludf.DUMMYFUNCTION("""COMPUTED_VALUE"""),"s10*****ntes.ntct.edu.tw")</f>
        <v>s10*****ntes.ntct.edu.tw</v>
      </c>
      <c r="E2945" s="17" t="str">
        <f>IFERROR(__xludf.DUMMYFUNCTION("""COMPUTED_VALUE"""),"南投縣南投市南投國民小學")</f>
        <v>南投縣南投市南投國民小學</v>
      </c>
      <c r="F2945" s="14" t="str">
        <f>IFERROR(__xludf.DUMMYFUNCTION("""COMPUTED_VALUE"""),"六年級")</f>
        <v>六年級</v>
      </c>
      <c r="G2945" s="14" t="str">
        <f>IFERROR(__xludf.DUMMYFUNCTION("""COMPUTED_VALUE"""),"獎狀")</f>
        <v>獎狀</v>
      </c>
      <c r="H2945" s="8"/>
    </row>
    <row r="2946">
      <c r="A2946" s="18"/>
      <c r="B2946" s="14">
        <f>IFERROR(__xludf.DUMMYFUNCTION("""COMPUTED_VALUE"""),609205.0)</f>
        <v>609205</v>
      </c>
      <c r="C2946" s="14" t="str">
        <f>IFERROR(__xludf.DUMMYFUNCTION("""COMPUTED_VALUE"""),"李宜軒")</f>
        <v>李宜軒</v>
      </c>
      <c r="D2946" s="16" t="str">
        <f>IFERROR(__xludf.DUMMYFUNCTION("""COMPUTED_VALUE"""),"s10*****ntes.ntct.edu.tw")</f>
        <v>s10*****ntes.ntct.edu.tw</v>
      </c>
      <c r="E2946" s="17" t="str">
        <f>IFERROR(__xludf.DUMMYFUNCTION("""COMPUTED_VALUE"""),"南投縣南投市南投國民小學")</f>
        <v>南投縣南投市南投國民小學</v>
      </c>
      <c r="F2946" s="14" t="str">
        <f>IFERROR(__xludf.DUMMYFUNCTION("""COMPUTED_VALUE"""),"六年級")</f>
        <v>六年級</v>
      </c>
      <c r="G2946" s="14" t="str">
        <f>IFERROR(__xludf.DUMMYFUNCTION("""COMPUTED_VALUE"""),"獎狀")</f>
        <v>獎狀</v>
      </c>
      <c r="H2946" s="8"/>
    </row>
    <row r="2947">
      <c r="A2947" s="18"/>
      <c r="B2947" s="14">
        <f>IFERROR(__xludf.DUMMYFUNCTION("""COMPUTED_VALUE"""),602907.0)</f>
        <v>602907</v>
      </c>
      <c r="C2947" s="14" t="str">
        <f>IFERROR(__xludf.DUMMYFUNCTION("""COMPUTED_VALUE"""),"林芮霆")</f>
        <v>林芮霆</v>
      </c>
      <c r="D2947" s="16" t="str">
        <f>IFERROR(__xludf.DUMMYFUNCTION("""COMPUTED_VALUE"""),"s10*****ntes.ntct.edu.tw")</f>
        <v>s10*****ntes.ntct.edu.tw</v>
      </c>
      <c r="E2947" s="17" t="str">
        <f>IFERROR(__xludf.DUMMYFUNCTION("""COMPUTED_VALUE"""),"南投縣南投市南投國民小學")</f>
        <v>南投縣南投市南投國民小學</v>
      </c>
      <c r="F2947" s="14" t="str">
        <f>IFERROR(__xludf.DUMMYFUNCTION("""COMPUTED_VALUE"""),"六年級")</f>
        <v>六年級</v>
      </c>
      <c r="G2947" s="14" t="str">
        <f>IFERROR(__xludf.DUMMYFUNCTION("""COMPUTED_VALUE"""),"獎狀")</f>
        <v>獎狀</v>
      </c>
      <c r="H2947" s="8"/>
    </row>
    <row r="2948">
      <c r="A2948" s="18"/>
      <c r="B2948" s="14">
        <f>IFERROR(__xludf.DUMMYFUNCTION("""COMPUTED_VALUE"""),604844.0)</f>
        <v>604844</v>
      </c>
      <c r="C2948" s="14" t="str">
        <f>IFERROR(__xludf.DUMMYFUNCTION("""COMPUTED_VALUE"""),"林冠邑")</f>
        <v>林冠邑</v>
      </c>
      <c r="D2948" s="16" t="str">
        <f>IFERROR(__xludf.DUMMYFUNCTION("""COMPUTED_VALUE"""),"s10*****ntes.ntct.edu.tw")</f>
        <v>s10*****ntes.ntct.edu.tw</v>
      </c>
      <c r="E2948" s="17" t="str">
        <f>IFERROR(__xludf.DUMMYFUNCTION("""COMPUTED_VALUE"""),"南投縣南投市南投國民小學")</f>
        <v>南投縣南投市南投國民小學</v>
      </c>
      <c r="F2948" s="14" t="str">
        <f>IFERROR(__xludf.DUMMYFUNCTION("""COMPUTED_VALUE"""),"六年級")</f>
        <v>六年級</v>
      </c>
      <c r="G2948" s="14" t="str">
        <f>IFERROR(__xludf.DUMMYFUNCTION("""COMPUTED_VALUE"""),"獎狀")</f>
        <v>獎狀</v>
      </c>
      <c r="H2948" s="8"/>
    </row>
    <row r="2949">
      <c r="A2949" s="18"/>
      <c r="B2949" s="14">
        <f>IFERROR(__xludf.DUMMYFUNCTION("""COMPUTED_VALUE"""),1015641.0)</f>
        <v>1015641</v>
      </c>
      <c r="C2949" s="14" t="str">
        <f>IFERROR(__xludf.DUMMYFUNCTION("""COMPUTED_VALUE"""),"姚可紜")</f>
        <v>姚可紜</v>
      </c>
      <c r="D2949" s="16" t="str">
        <f>IFERROR(__xludf.DUMMYFUNCTION("""COMPUTED_VALUE"""),"tul*****71001@gmail.com")</f>
        <v>tul*****71001@gmail.com</v>
      </c>
      <c r="E2949" s="17" t="str">
        <f>IFERROR(__xludf.DUMMYFUNCTION("""COMPUTED_VALUE"""),"南投縣南投市南投國民小學")</f>
        <v>南投縣南投市南投國民小學</v>
      </c>
      <c r="F2949" s="14" t="str">
        <f>IFERROR(__xludf.DUMMYFUNCTION("""COMPUTED_VALUE"""),"六年級")</f>
        <v>六年級</v>
      </c>
      <c r="G2949" s="14" t="str">
        <f>IFERROR(__xludf.DUMMYFUNCTION("""COMPUTED_VALUE"""),"獎狀")</f>
        <v>獎狀</v>
      </c>
      <c r="H2949" s="8"/>
    </row>
    <row r="2950">
      <c r="A2950" s="18"/>
      <c r="B2950" s="14">
        <f>IFERROR(__xludf.DUMMYFUNCTION("""COMPUTED_VALUE"""),816002.0)</f>
        <v>816002</v>
      </c>
      <c r="C2950" s="14" t="str">
        <f>IFERROR(__xludf.DUMMYFUNCTION("""COMPUTED_VALUE"""),"張家榕")</f>
        <v>張家榕</v>
      </c>
      <c r="D2950" s="16" t="str">
        <f>IFERROR(__xludf.DUMMYFUNCTION("""COMPUTED_VALUE"""),"s10*****ntes.ntct.edu.tw")</f>
        <v>s10*****ntes.ntct.edu.tw</v>
      </c>
      <c r="E2950" s="17" t="str">
        <f>IFERROR(__xludf.DUMMYFUNCTION("""COMPUTED_VALUE"""),"南投縣南投市南投國民小學")</f>
        <v>南投縣南投市南投國民小學</v>
      </c>
      <c r="F2950" s="14" t="str">
        <f>IFERROR(__xludf.DUMMYFUNCTION("""COMPUTED_VALUE"""),"六年級")</f>
        <v>六年級</v>
      </c>
      <c r="G2950" s="14" t="str">
        <f>IFERROR(__xludf.DUMMYFUNCTION("""COMPUTED_VALUE"""),"獎狀")</f>
        <v>獎狀</v>
      </c>
      <c r="H2950" s="8"/>
    </row>
    <row r="2951">
      <c r="A2951" s="18"/>
      <c r="B2951" s="14">
        <f>IFERROR(__xludf.DUMMYFUNCTION("""COMPUTED_VALUE"""),602916.0)</f>
        <v>602916</v>
      </c>
      <c r="C2951" s="14" t="str">
        <f>IFERROR(__xludf.DUMMYFUNCTION("""COMPUTED_VALUE"""),"莊芮丞")</f>
        <v>莊芮丞</v>
      </c>
      <c r="D2951" s="16" t="str">
        <f>IFERROR(__xludf.DUMMYFUNCTION("""COMPUTED_VALUE"""),"s10*****ntes.ntct.edu.tw")</f>
        <v>s10*****ntes.ntct.edu.tw</v>
      </c>
      <c r="E2951" s="17" t="str">
        <f>IFERROR(__xludf.DUMMYFUNCTION("""COMPUTED_VALUE"""),"南投縣南投市南投國民小學")</f>
        <v>南投縣南投市南投國民小學</v>
      </c>
      <c r="F2951" s="14" t="str">
        <f>IFERROR(__xludf.DUMMYFUNCTION("""COMPUTED_VALUE"""),"六年級")</f>
        <v>六年級</v>
      </c>
      <c r="G2951" s="14" t="str">
        <f>IFERROR(__xludf.DUMMYFUNCTION("""COMPUTED_VALUE"""),"獎狀")</f>
        <v>獎狀</v>
      </c>
      <c r="H2951" s="8"/>
    </row>
    <row r="2952">
      <c r="A2952" s="18"/>
      <c r="B2952" s="14">
        <f>IFERROR(__xludf.DUMMYFUNCTION("""COMPUTED_VALUE"""),611762.0)</f>
        <v>611762</v>
      </c>
      <c r="C2952" s="14" t="str">
        <f>IFERROR(__xludf.DUMMYFUNCTION("""COMPUTED_VALUE"""),"陳煜婷")</f>
        <v>陳煜婷</v>
      </c>
      <c r="D2952" s="16" t="str">
        <f>IFERROR(__xludf.DUMMYFUNCTION("""COMPUTED_VALUE"""),"s10*****ntes.ntct.edu.tw")</f>
        <v>s10*****ntes.ntct.edu.tw</v>
      </c>
      <c r="E2952" s="17" t="str">
        <f>IFERROR(__xludf.DUMMYFUNCTION("""COMPUTED_VALUE"""),"南投縣南投市南投國民小學")</f>
        <v>南投縣南投市南投國民小學</v>
      </c>
      <c r="F2952" s="14" t="str">
        <f>IFERROR(__xludf.DUMMYFUNCTION("""COMPUTED_VALUE"""),"六年級")</f>
        <v>六年級</v>
      </c>
      <c r="G2952" s="14" t="str">
        <f>IFERROR(__xludf.DUMMYFUNCTION("""COMPUTED_VALUE"""),"獎狀")</f>
        <v>獎狀</v>
      </c>
      <c r="H2952" s="8"/>
    </row>
    <row r="2953">
      <c r="A2953" s="18"/>
      <c r="B2953" s="14">
        <f>IFERROR(__xludf.DUMMYFUNCTION("""COMPUTED_VALUE"""),692237.0)</f>
        <v>692237</v>
      </c>
      <c r="C2953" s="14" t="str">
        <f>IFERROR(__xludf.DUMMYFUNCTION("""COMPUTED_VALUE"""),"曾俐棋")</f>
        <v>曾俐棋</v>
      </c>
      <c r="D2953" s="16" t="str">
        <f>IFERROR(__xludf.DUMMYFUNCTION("""COMPUTED_VALUE"""),"s10*****ntes.ntct.edu.tw")</f>
        <v>s10*****ntes.ntct.edu.tw</v>
      </c>
      <c r="E2953" s="17" t="str">
        <f>IFERROR(__xludf.DUMMYFUNCTION("""COMPUTED_VALUE"""),"南投縣南投市南投國民小學")</f>
        <v>南投縣南投市南投國民小學</v>
      </c>
      <c r="F2953" s="14" t="str">
        <f>IFERROR(__xludf.DUMMYFUNCTION("""COMPUTED_VALUE"""),"六年級")</f>
        <v>六年級</v>
      </c>
      <c r="G2953" s="14" t="str">
        <f>IFERROR(__xludf.DUMMYFUNCTION("""COMPUTED_VALUE"""),"獎狀")</f>
        <v>獎狀</v>
      </c>
      <c r="H2953" s="8"/>
    </row>
    <row r="2954">
      <c r="A2954" s="18"/>
      <c r="B2954" s="14">
        <f>IFERROR(__xludf.DUMMYFUNCTION("""COMPUTED_VALUE"""),553933.0)</f>
        <v>553933</v>
      </c>
      <c r="C2954" s="14" t="str">
        <f>IFERROR(__xludf.DUMMYFUNCTION("""COMPUTED_VALUE"""),"李睿哲")</f>
        <v>李睿哲</v>
      </c>
      <c r="D2954" s="16" t="str">
        <f>IFERROR(__xludf.DUMMYFUNCTION("""COMPUTED_VALUE"""),"106*****hops.ntct.edu.tw")</f>
        <v>106*****hops.ntct.edu.tw</v>
      </c>
      <c r="E2954" s="17" t="str">
        <f>IFERROR(__xludf.DUMMYFUNCTION("""COMPUTED_VALUE"""),"南投縣南投市嘉和國民小學")</f>
        <v>南投縣南投市嘉和國民小學</v>
      </c>
      <c r="F2954" s="14" t="str">
        <f>IFERROR(__xludf.DUMMYFUNCTION("""COMPUTED_VALUE"""),"六年級")</f>
        <v>六年級</v>
      </c>
      <c r="G2954" s="14" t="str">
        <f>IFERROR(__xludf.DUMMYFUNCTION("""COMPUTED_VALUE"""),"●小禮物")</f>
        <v>●小禮物</v>
      </c>
      <c r="H2954" s="8"/>
    </row>
    <row r="2955">
      <c r="A2955" s="18"/>
      <c r="B2955" s="14">
        <f>IFERROR(__xludf.DUMMYFUNCTION("""COMPUTED_VALUE"""),659959.0)</f>
        <v>659959</v>
      </c>
      <c r="C2955" s="14" t="str">
        <f>IFERROR(__xludf.DUMMYFUNCTION("""COMPUTED_VALUE"""),"李杬蓁")</f>
        <v>李杬蓁</v>
      </c>
      <c r="D2955" s="16" t="str">
        <f>IFERROR(__xludf.DUMMYFUNCTION("""COMPUTED_VALUE"""),"s01*****@mail.edu.tw")</f>
        <v>s01*****@mail.edu.tw</v>
      </c>
      <c r="E2955" s="17" t="str">
        <f>IFERROR(__xludf.DUMMYFUNCTION("""COMPUTED_VALUE"""),"南投縣中寮鄉清水國民小學")</f>
        <v>南投縣中寮鄉清水國民小學</v>
      </c>
      <c r="F2955" s="14" t="str">
        <f>IFERROR(__xludf.DUMMYFUNCTION("""COMPUTED_VALUE"""),"三年級")</f>
        <v>三年級</v>
      </c>
      <c r="G2955" s="14" t="str">
        <f>IFERROR(__xludf.DUMMYFUNCTION("""COMPUTED_VALUE"""),"獎狀")</f>
        <v>獎狀</v>
      </c>
      <c r="H2955" s="8"/>
    </row>
    <row r="2956">
      <c r="A2956" s="18"/>
      <c r="B2956" s="14">
        <f>IFERROR(__xludf.DUMMYFUNCTION("""COMPUTED_VALUE"""),659931.0)</f>
        <v>659931</v>
      </c>
      <c r="C2956" s="14" t="str">
        <f>IFERROR(__xludf.DUMMYFUNCTION("""COMPUTED_VALUE"""),"吳雨芯")</f>
        <v>吳雨芯</v>
      </c>
      <c r="D2956" s="16" t="str">
        <f>IFERROR(__xludf.DUMMYFUNCTION("""COMPUTED_VALUE"""),"s01*****@mail.edu.tw")</f>
        <v>s01*****@mail.edu.tw</v>
      </c>
      <c r="E2956" s="17" t="str">
        <f>IFERROR(__xludf.DUMMYFUNCTION("""COMPUTED_VALUE"""),"南投縣中寮鄉清水國民小學")</f>
        <v>南投縣中寮鄉清水國民小學</v>
      </c>
      <c r="F2956" s="14" t="str">
        <f>IFERROR(__xludf.DUMMYFUNCTION("""COMPUTED_VALUE"""),"三年級")</f>
        <v>三年級</v>
      </c>
      <c r="G2956" s="14" t="str">
        <f>IFERROR(__xludf.DUMMYFUNCTION("""COMPUTED_VALUE"""),"●小禮物")</f>
        <v>●小禮物</v>
      </c>
      <c r="H2956" s="8"/>
    </row>
    <row r="2957">
      <c r="A2957" s="18"/>
      <c r="B2957" s="14">
        <f>IFERROR(__xludf.DUMMYFUNCTION("""COMPUTED_VALUE"""),544094.0)</f>
        <v>544094</v>
      </c>
      <c r="C2957" s="14" t="str">
        <f>IFERROR(__xludf.DUMMYFUNCTION("""COMPUTED_VALUE"""),"賴沿甫")</f>
        <v>賴沿甫</v>
      </c>
      <c r="D2957" s="16" t="str">
        <f>IFERROR(__xludf.DUMMYFUNCTION("""COMPUTED_VALUE"""),"s01*****@mail.edu.tw")</f>
        <v>s01*****@mail.edu.tw</v>
      </c>
      <c r="E2957" s="17" t="str">
        <f>IFERROR(__xludf.DUMMYFUNCTION("""COMPUTED_VALUE"""),"南投縣中寮鄉清水國民小學")</f>
        <v>南投縣中寮鄉清水國民小學</v>
      </c>
      <c r="F2957" s="14" t="str">
        <f>IFERROR(__xludf.DUMMYFUNCTION("""COMPUTED_VALUE"""),"六年級")</f>
        <v>六年級</v>
      </c>
      <c r="G2957" s="14" t="str">
        <f>IFERROR(__xludf.DUMMYFUNCTION("""COMPUTED_VALUE"""),"獎狀")</f>
        <v>獎狀</v>
      </c>
      <c r="H2957" s="8"/>
    </row>
    <row r="2958">
      <c r="A2958" s="18"/>
      <c r="B2958" s="14">
        <f>IFERROR(__xludf.DUMMYFUNCTION("""COMPUTED_VALUE"""),461707.0)</f>
        <v>461707</v>
      </c>
      <c r="C2958" s="14" t="str">
        <f>IFERROR(__xludf.DUMMYFUNCTION("""COMPUTED_VALUE"""),"薛卉芯")</f>
        <v>薛卉芯</v>
      </c>
      <c r="D2958" s="16" t="str">
        <f>IFERROR(__xludf.DUMMYFUNCTION("""COMPUTED_VALUE"""),"s01*****.ntct@mail.edu.tw")</f>
        <v>s01*****.ntct@mail.edu.tw</v>
      </c>
      <c r="E2958" s="17" t="str">
        <f>IFERROR(__xludf.DUMMYFUNCTION("""COMPUTED_VALUE"""),"南投縣中寮鄉清水國民小學")</f>
        <v>南投縣中寮鄉清水國民小學</v>
      </c>
      <c r="F2958" s="14" t="str">
        <f>IFERROR(__xludf.DUMMYFUNCTION("""COMPUTED_VALUE"""),"六年級")</f>
        <v>六年級</v>
      </c>
      <c r="G2958" s="14" t="str">
        <f>IFERROR(__xludf.DUMMYFUNCTION("""COMPUTED_VALUE"""),"獎狀")</f>
        <v>獎狀</v>
      </c>
      <c r="H2958" s="8"/>
    </row>
    <row r="2959">
      <c r="A2959" s="18"/>
      <c r="B2959" s="14">
        <f>IFERROR(__xludf.DUMMYFUNCTION("""COMPUTED_VALUE"""),1128021.0)</f>
        <v>1128021</v>
      </c>
      <c r="C2959" s="14" t="str">
        <f>IFERROR(__xludf.DUMMYFUNCTION("""COMPUTED_VALUE"""),"王御廷")</f>
        <v>王御廷</v>
      </c>
      <c r="D2959" s="16" t="str">
        <f>IFERROR(__xludf.DUMMYFUNCTION("""COMPUTED_VALUE"""),"s01*****.ntct@mail.edu.tw")</f>
        <v>s01*****.ntct@mail.edu.tw</v>
      </c>
      <c r="E2959" s="17" t="str">
        <f>IFERROR(__xludf.DUMMYFUNCTION("""COMPUTED_VALUE"""),"南投縣中寮鄉廣福國民小學")</f>
        <v>南投縣中寮鄉廣福國民小學</v>
      </c>
      <c r="F2959" s="14" t="str">
        <f>IFERROR(__xludf.DUMMYFUNCTION("""COMPUTED_VALUE"""),"三年級")</f>
        <v>三年級</v>
      </c>
      <c r="G2959" s="14" t="str">
        <f>IFERROR(__xludf.DUMMYFUNCTION("""COMPUTED_VALUE"""),"●小禮物")</f>
        <v>●小禮物</v>
      </c>
      <c r="H2959" s="8"/>
    </row>
    <row r="2960">
      <c r="A2960" s="18"/>
      <c r="B2960" s="14">
        <f>IFERROR(__xludf.DUMMYFUNCTION("""COMPUTED_VALUE"""),1128022.0)</f>
        <v>1128022</v>
      </c>
      <c r="C2960" s="14" t="str">
        <f>IFERROR(__xludf.DUMMYFUNCTION("""COMPUTED_VALUE"""),"王御佑")</f>
        <v>王御佑</v>
      </c>
      <c r="D2960" s="16" t="str">
        <f>IFERROR(__xludf.DUMMYFUNCTION("""COMPUTED_VALUE"""),"s01*****.ntct@mail.edu.tw")</f>
        <v>s01*****.ntct@mail.edu.tw</v>
      </c>
      <c r="E2960" s="17" t="str">
        <f>IFERROR(__xludf.DUMMYFUNCTION("""COMPUTED_VALUE"""),"南投縣中寮鄉廣福國民小學")</f>
        <v>南投縣中寮鄉廣福國民小學</v>
      </c>
      <c r="F2960" s="14" t="str">
        <f>IFERROR(__xludf.DUMMYFUNCTION("""COMPUTED_VALUE"""),"三年級")</f>
        <v>三年級</v>
      </c>
      <c r="G2960" s="14" t="str">
        <f>IFERROR(__xludf.DUMMYFUNCTION("""COMPUTED_VALUE"""),"獎狀")</f>
        <v>獎狀</v>
      </c>
      <c r="H2960" s="8"/>
    </row>
    <row r="2961">
      <c r="A2961" s="18"/>
      <c r="B2961" s="14">
        <f>IFERROR(__xludf.DUMMYFUNCTION("""COMPUTED_VALUE"""),971835.0)</f>
        <v>971835</v>
      </c>
      <c r="C2961" s="14" t="str">
        <f>IFERROR(__xludf.DUMMYFUNCTION("""COMPUTED_VALUE"""),"李鴻紳")</f>
        <v>李鴻紳</v>
      </c>
      <c r="D2961" s="16" t="str">
        <f>IFERROR(__xludf.DUMMYFUNCTION("""COMPUTED_VALUE"""),"s01*****@mail.edu.tw")</f>
        <v>s01*****@mail.edu.tw</v>
      </c>
      <c r="E2961" s="17" t="str">
        <f>IFERROR(__xludf.DUMMYFUNCTION("""COMPUTED_VALUE"""),"南投縣中寮鄉廣福國民小學")</f>
        <v>南投縣中寮鄉廣福國民小學</v>
      </c>
      <c r="F2961" s="14" t="str">
        <f>IFERROR(__xludf.DUMMYFUNCTION("""COMPUTED_VALUE"""),"四年級")</f>
        <v>四年級</v>
      </c>
      <c r="G2961" s="14" t="str">
        <f>IFERROR(__xludf.DUMMYFUNCTION("""COMPUTED_VALUE"""),"●小禮物")</f>
        <v>●小禮物</v>
      </c>
      <c r="H2961" s="8"/>
    </row>
    <row r="2962">
      <c r="A2962" s="18"/>
      <c r="B2962" s="14">
        <f>IFERROR(__xludf.DUMMYFUNCTION("""COMPUTED_VALUE"""),1070115.0)</f>
        <v>1070115</v>
      </c>
      <c r="C2962" s="14" t="str">
        <f>IFERROR(__xludf.DUMMYFUNCTION("""COMPUTED_VALUE"""),"張心媛")</f>
        <v>張心媛</v>
      </c>
      <c r="D2962" s="16" t="str">
        <f>IFERROR(__xludf.DUMMYFUNCTION("""COMPUTED_VALUE"""),"s01*****@mail.edu.tw")</f>
        <v>s01*****@mail.edu.tw</v>
      </c>
      <c r="E2962" s="17" t="str">
        <f>IFERROR(__xludf.DUMMYFUNCTION("""COMPUTED_VALUE"""),"南投縣中寮鄉廣福國民小學")</f>
        <v>南投縣中寮鄉廣福國民小學</v>
      </c>
      <c r="F2962" s="14" t="str">
        <f>IFERROR(__xludf.DUMMYFUNCTION("""COMPUTED_VALUE"""),"四年級")</f>
        <v>四年級</v>
      </c>
      <c r="G2962" s="14" t="str">
        <f>IFERROR(__xludf.DUMMYFUNCTION("""COMPUTED_VALUE"""),"●小禮物")</f>
        <v>●小禮物</v>
      </c>
      <c r="H2962" s="8"/>
    </row>
    <row r="2963">
      <c r="A2963" s="18"/>
      <c r="B2963" s="14">
        <f>IFERROR(__xludf.DUMMYFUNCTION("""COMPUTED_VALUE"""),973666.0)</f>
        <v>973666</v>
      </c>
      <c r="C2963" s="14" t="str">
        <f>IFERROR(__xludf.DUMMYFUNCTION("""COMPUTED_VALUE"""),"黃淑蓉")</f>
        <v>黃淑蓉</v>
      </c>
      <c r="D2963" s="16" t="str">
        <f>IFERROR(__xludf.DUMMYFUNCTION("""COMPUTED_VALUE"""),"s01*****@mail.edu.tw")</f>
        <v>s01*****@mail.edu.tw</v>
      </c>
      <c r="E2963" s="17" t="str">
        <f>IFERROR(__xludf.DUMMYFUNCTION("""COMPUTED_VALUE"""),"南投縣中寮鄉廣福國民小學")</f>
        <v>南投縣中寮鄉廣福國民小學</v>
      </c>
      <c r="F2963" s="14" t="str">
        <f>IFERROR(__xludf.DUMMYFUNCTION("""COMPUTED_VALUE"""),"四年級")</f>
        <v>四年級</v>
      </c>
      <c r="G2963" s="14" t="str">
        <f>IFERROR(__xludf.DUMMYFUNCTION("""COMPUTED_VALUE"""),"●小禮物")</f>
        <v>●小禮物</v>
      </c>
      <c r="H2963" s="8"/>
    </row>
    <row r="2964">
      <c r="A2964" s="18"/>
      <c r="B2964" s="14">
        <f>IFERROR(__xludf.DUMMYFUNCTION("""COMPUTED_VALUE"""),822046.0)</f>
        <v>822046</v>
      </c>
      <c r="C2964" s="14" t="str">
        <f>IFERROR(__xludf.DUMMYFUNCTION("""COMPUTED_VALUE"""),"洪子亦")</f>
        <v>洪子亦</v>
      </c>
      <c r="D2964" s="16" t="str">
        <f>IFERROR(__xludf.DUMMYFUNCTION("""COMPUTED_VALUE"""),"s01*****@mail.edu.tw")</f>
        <v>s01*****@mail.edu.tw</v>
      </c>
      <c r="E2964" s="17" t="str">
        <f>IFERROR(__xludf.DUMMYFUNCTION("""COMPUTED_VALUE"""),"南投縣中寮鄉廣福國民小學")</f>
        <v>南投縣中寮鄉廣福國民小學</v>
      </c>
      <c r="F2964" s="14" t="str">
        <f>IFERROR(__xludf.DUMMYFUNCTION("""COMPUTED_VALUE"""),"四年級")</f>
        <v>四年級</v>
      </c>
      <c r="G2964" s="14" t="str">
        <f>IFERROR(__xludf.DUMMYFUNCTION("""COMPUTED_VALUE"""),"獎狀")</f>
        <v>獎狀</v>
      </c>
      <c r="H2964" s="8"/>
    </row>
    <row r="2965">
      <c r="A2965" s="18"/>
      <c r="B2965" s="14">
        <f>IFERROR(__xludf.DUMMYFUNCTION("""COMPUTED_VALUE"""),1070104.0)</f>
        <v>1070104</v>
      </c>
      <c r="C2965" s="14" t="str">
        <f>IFERROR(__xludf.DUMMYFUNCTION("""COMPUTED_VALUE"""),"田純伊")</f>
        <v>田純伊</v>
      </c>
      <c r="D2965" s="16" t="str">
        <f>IFERROR(__xludf.DUMMYFUNCTION("""COMPUTED_VALUE"""),"s01*****@mail.edu.tw")</f>
        <v>s01*****@mail.edu.tw</v>
      </c>
      <c r="E2965" s="17" t="str">
        <f>IFERROR(__xludf.DUMMYFUNCTION("""COMPUTED_VALUE"""),"南投縣中寮鄉廣福國民小學")</f>
        <v>南投縣中寮鄉廣福國民小學</v>
      </c>
      <c r="F2965" s="14" t="str">
        <f>IFERROR(__xludf.DUMMYFUNCTION("""COMPUTED_VALUE"""),"四年級")</f>
        <v>四年級</v>
      </c>
      <c r="G2965" s="14" t="str">
        <f>IFERROR(__xludf.DUMMYFUNCTION("""COMPUTED_VALUE"""),"●小禮物")</f>
        <v>●小禮物</v>
      </c>
      <c r="H2965" s="8"/>
    </row>
    <row r="2966">
      <c r="A2966" s="18"/>
      <c r="B2966" s="14">
        <f>IFERROR(__xludf.DUMMYFUNCTION("""COMPUTED_VALUE"""),971836.0)</f>
        <v>971836</v>
      </c>
      <c r="C2966" s="14" t="str">
        <f>IFERROR(__xludf.DUMMYFUNCTION("""COMPUTED_VALUE"""),"謝卉芯")</f>
        <v>謝卉芯</v>
      </c>
      <c r="D2966" s="16" t="str">
        <f>IFERROR(__xludf.DUMMYFUNCTION("""COMPUTED_VALUE"""),"s01*****@mail.edu.tw")</f>
        <v>s01*****@mail.edu.tw</v>
      </c>
      <c r="E2966" s="17" t="str">
        <f>IFERROR(__xludf.DUMMYFUNCTION("""COMPUTED_VALUE"""),"南投縣中寮鄉廣福國民小學")</f>
        <v>南投縣中寮鄉廣福國民小學</v>
      </c>
      <c r="F2966" s="14" t="str">
        <f>IFERROR(__xludf.DUMMYFUNCTION("""COMPUTED_VALUE"""),"四年級")</f>
        <v>四年級</v>
      </c>
      <c r="G2966" s="14" t="str">
        <f>IFERROR(__xludf.DUMMYFUNCTION("""COMPUTED_VALUE"""),"●小禮物")</f>
        <v>●小禮物</v>
      </c>
      <c r="H2966" s="8"/>
    </row>
    <row r="2967">
      <c r="A2967" s="18"/>
      <c r="B2967" s="14">
        <f>IFERROR(__xludf.DUMMYFUNCTION("""COMPUTED_VALUE"""),971844.0)</f>
        <v>971844</v>
      </c>
      <c r="C2967" s="14" t="str">
        <f>IFERROR(__xludf.DUMMYFUNCTION("""COMPUTED_VALUE"""),"張明祥")</f>
        <v>張明祥</v>
      </c>
      <c r="D2967" s="16" t="str">
        <f>IFERROR(__xludf.DUMMYFUNCTION("""COMPUTED_VALUE"""),"s01*****@mail.edu.tw")</f>
        <v>s01*****@mail.edu.tw</v>
      </c>
      <c r="E2967" s="17" t="str">
        <f>IFERROR(__xludf.DUMMYFUNCTION("""COMPUTED_VALUE"""),"南投縣中寮鄉廣福國民小學")</f>
        <v>南投縣中寮鄉廣福國民小學</v>
      </c>
      <c r="F2967" s="14" t="str">
        <f>IFERROR(__xludf.DUMMYFUNCTION("""COMPUTED_VALUE"""),"四年級")</f>
        <v>四年級</v>
      </c>
      <c r="G2967" s="14" t="str">
        <f>IFERROR(__xludf.DUMMYFUNCTION("""COMPUTED_VALUE"""),"★禮券$200")</f>
        <v>★禮券$200</v>
      </c>
      <c r="H2967" s="8"/>
    </row>
    <row r="2968">
      <c r="A2968" s="18"/>
      <c r="B2968" s="14">
        <f>IFERROR(__xludf.DUMMYFUNCTION("""COMPUTED_VALUE"""),971875.0)</f>
        <v>971875</v>
      </c>
      <c r="C2968" s="14" t="str">
        <f>IFERROR(__xludf.DUMMYFUNCTION("""COMPUTED_VALUE"""),"洪羽柔")</f>
        <v>洪羽柔</v>
      </c>
      <c r="D2968" s="16" t="str">
        <f>IFERROR(__xludf.DUMMYFUNCTION("""COMPUTED_VALUE"""),"s01*****@mail.edu.tw")</f>
        <v>s01*****@mail.edu.tw</v>
      </c>
      <c r="E2968" s="17" t="str">
        <f>IFERROR(__xludf.DUMMYFUNCTION("""COMPUTED_VALUE"""),"南投縣中寮鄉廣福國民小學")</f>
        <v>南投縣中寮鄉廣福國民小學</v>
      </c>
      <c r="F2968" s="14" t="str">
        <f>IFERROR(__xludf.DUMMYFUNCTION("""COMPUTED_VALUE"""),"四年級")</f>
        <v>四年級</v>
      </c>
      <c r="G2968" s="14" t="str">
        <f>IFERROR(__xludf.DUMMYFUNCTION("""COMPUTED_VALUE"""),"獎狀")</f>
        <v>獎狀</v>
      </c>
      <c r="H2968" s="8"/>
    </row>
    <row r="2969">
      <c r="A2969" s="18"/>
      <c r="B2969" s="14">
        <f>IFERROR(__xludf.DUMMYFUNCTION("""COMPUTED_VALUE"""),973655.0)</f>
        <v>973655</v>
      </c>
      <c r="C2969" s="14" t="str">
        <f>IFERROR(__xludf.DUMMYFUNCTION("""COMPUTED_VALUE"""),"劉晏慈")</f>
        <v>劉晏慈</v>
      </c>
      <c r="D2969" s="16" t="str">
        <f>IFERROR(__xludf.DUMMYFUNCTION("""COMPUTED_VALUE"""),"s01*****@mail.edu.tw")</f>
        <v>s01*****@mail.edu.tw</v>
      </c>
      <c r="E2969" s="17" t="str">
        <f>IFERROR(__xludf.DUMMYFUNCTION("""COMPUTED_VALUE"""),"南投縣中寮鄉廣福國民小學")</f>
        <v>南投縣中寮鄉廣福國民小學</v>
      </c>
      <c r="F2969" s="14" t="str">
        <f>IFERROR(__xludf.DUMMYFUNCTION("""COMPUTED_VALUE"""),"四年級")</f>
        <v>四年級</v>
      </c>
      <c r="G2969" s="14" t="str">
        <f>IFERROR(__xludf.DUMMYFUNCTION("""COMPUTED_VALUE"""),"獎狀")</f>
        <v>獎狀</v>
      </c>
      <c r="H2969" s="8"/>
    </row>
    <row r="2970">
      <c r="A2970" s="18"/>
      <c r="B2970" s="14">
        <f>IFERROR(__xludf.DUMMYFUNCTION("""COMPUTED_VALUE"""),549968.0)</f>
        <v>549968</v>
      </c>
      <c r="C2970" s="14" t="str">
        <f>IFERROR(__xludf.DUMMYFUNCTION("""COMPUTED_VALUE"""),"楊宜軒")</f>
        <v>楊宜軒</v>
      </c>
      <c r="D2970" s="16" t="str">
        <f>IFERROR(__xludf.DUMMYFUNCTION("""COMPUTED_VALUE"""),"s01*****@mail.edu.tw")</f>
        <v>s01*****@mail.edu.tw</v>
      </c>
      <c r="E2970" s="17" t="str">
        <f>IFERROR(__xludf.DUMMYFUNCTION("""COMPUTED_VALUE"""),"南投縣中寮鄉廣福國民小學")</f>
        <v>南投縣中寮鄉廣福國民小學</v>
      </c>
      <c r="F2970" s="14" t="str">
        <f>IFERROR(__xludf.DUMMYFUNCTION("""COMPUTED_VALUE"""),"五年級")</f>
        <v>五年級</v>
      </c>
      <c r="G2970" s="14" t="str">
        <f>IFERROR(__xludf.DUMMYFUNCTION("""COMPUTED_VALUE"""),"獎狀")</f>
        <v>獎狀</v>
      </c>
      <c r="H2970" s="8"/>
    </row>
    <row r="2971">
      <c r="A2971" s="18"/>
      <c r="B2971" s="14">
        <f>IFERROR(__xludf.DUMMYFUNCTION("""COMPUTED_VALUE"""),620767.0)</f>
        <v>620767</v>
      </c>
      <c r="C2971" s="14" t="str">
        <f>IFERROR(__xludf.DUMMYFUNCTION("""COMPUTED_VALUE"""),"林若宸")</f>
        <v>林若宸</v>
      </c>
      <c r="D2971" s="16" t="str">
        <f>IFERROR(__xludf.DUMMYFUNCTION("""COMPUTED_VALUE"""),"s01*****@mail.edu.tw")</f>
        <v>s01*****@mail.edu.tw</v>
      </c>
      <c r="E2971" s="17" t="str">
        <f>IFERROR(__xludf.DUMMYFUNCTION("""COMPUTED_VALUE"""),"南投縣中寮鄉廣福國民小學")</f>
        <v>南投縣中寮鄉廣福國民小學</v>
      </c>
      <c r="F2971" s="14" t="str">
        <f>IFERROR(__xludf.DUMMYFUNCTION("""COMPUTED_VALUE"""),"五年級")</f>
        <v>五年級</v>
      </c>
      <c r="G2971" s="14" t="str">
        <f>IFERROR(__xludf.DUMMYFUNCTION("""COMPUTED_VALUE"""),"●小禮物")</f>
        <v>●小禮物</v>
      </c>
      <c r="H2971" s="8"/>
    </row>
    <row r="2972">
      <c r="A2972" s="18"/>
      <c r="B2972" s="14">
        <f>IFERROR(__xludf.DUMMYFUNCTION("""COMPUTED_VALUE"""),973660.0)</f>
        <v>973660</v>
      </c>
      <c r="C2972" s="14" t="str">
        <f>IFERROR(__xludf.DUMMYFUNCTION("""COMPUTED_VALUE"""),"洪子安")</f>
        <v>洪子安</v>
      </c>
      <c r="D2972" s="16" t="str">
        <f>IFERROR(__xludf.DUMMYFUNCTION("""COMPUTED_VALUE"""),"s01*****@mail.edu.tw")</f>
        <v>s01*****@mail.edu.tw</v>
      </c>
      <c r="E2972" s="17" t="str">
        <f>IFERROR(__xludf.DUMMYFUNCTION("""COMPUTED_VALUE"""),"南投縣中寮鄉廣福國民小學")</f>
        <v>南投縣中寮鄉廣福國民小學</v>
      </c>
      <c r="F2972" s="14" t="str">
        <f>IFERROR(__xludf.DUMMYFUNCTION("""COMPUTED_VALUE"""),"五年級")</f>
        <v>五年級</v>
      </c>
      <c r="G2972" s="14" t="str">
        <f>IFERROR(__xludf.DUMMYFUNCTION("""COMPUTED_VALUE"""),"●小禮物")</f>
        <v>●小禮物</v>
      </c>
      <c r="H2972" s="8"/>
    </row>
    <row r="2973">
      <c r="A2973" s="18"/>
      <c r="B2973" s="14">
        <f>IFERROR(__xludf.DUMMYFUNCTION("""COMPUTED_VALUE"""),417487.0)</f>
        <v>417487</v>
      </c>
      <c r="C2973" s="14" t="str">
        <f>IFERROR(__xludf.DUMMYFUNCTION("""COMPUTED_VALUE"""),"劉雅瑄")</f>
        <v>劉雅瑄</v>
      </c>
      <c r="D2973" s="16" t="str">
        <f>IFERROR(__xludf.DUMMYFUNCTION("""COMPUTED_VALUE"""),"s01*****@mail.edu.tw")</f>
        <v>s01*****@mail.edu.tw</v>
      </c>
      <c r="E2973" s="17" t="str">
        <f>IFERROR(__xludf.DUMMYFUNCTION("""COMPUTED_VALUE"""),"南投縣中寮鄉廣福國民小學")</f>
        <v>南投縣中寮鄉廣福國民小學</v>
      </c>
      <c r="F2973" s="14" t="str">
        <f>IFERROR(__xludf.DUMMYFUNCTION("""COMPUTED_VALUE"""),"五年級")</f>
        <v>五年級</v>
      </c>
      <c r="G2973" s="14" t="str">
        <f>IFERROR(__xludf.DUMMYFUNCTION("""COMPUTED_VALUE"""),"●小禮物")</f>
        <v>●小禮物</v>
      </c>
      <c r="H2973" s="8"/>
    </row>
    <row r="2974">
      <c r="A2974" s="18"/>
      <c r="B2974" s="14">
        <f>IFERROR(__xludf.DUMMYFUNCTION("""COMPUTED_VALUE"""),971839.0)</f>
        <v>971839</v>
      </c>
      <c r="C2974" s="14" t="str">
        <f>IFERROR(__xludf.DUMMYFUNCTION("""COMPUTED_VALUE"""),"簡崇峻")</f>
        <v>簡崇峻</v>
      </c>
      <c r="D2974" s="16" t="str">
        <f>IFERROR(__xludf.DUMMYFUNCTION("""COMPUTED_VALUE"""),"s01*****@mail.edu.tw")</f>
        <v>s01*****@mail.edu.tw</v>
      </c>
      <c r="E2974" s="17" t="str">
        <f>IFERROR(__xludf.DUMMYFUNCTION("""COMPUTED_VALUE"""),"南投縣中寮鄉廣福國民小學")</f>
        <v>南投縣中寮鄉廣福國民小學</v>
      </c>
      <c r="F2974" s="14" t="str">
        <f>IFERROR(__xludf.DUMMYFUNCTION("""COMPUTED_VALUE"""),"五年級")</f>
        <v>五年級</v>
      </c>
      <c r="G2974" s="14" t="str">
        <f>IFERROR(__xludf.DUMMYFUNCTION("""COMPUTED_VALUE"""),"●小禮物")</f>
        <v>●小禮物</v>
      </c>
      <c r="H2974" s="8"/>
    </row>
    <row r="2975">
      <c r="A2975" s="18"/>
      <c r="B2975" s="14">
        <f>IFERROR(__xludf.DUMMYFUNCTION("""COMPUTED_VALUE"""),973656.0)</f>
        <v>973656</v>
      </c>
      <c r="C2975" s="14" t="str">
        <f>IFERROR(__xludf.DUMMYFUNCTION("""COMPUTED_VALUE"""),"洪羽彤")</f>
        <v>洪羽彤</v>
      </c>
      <c r="D2975" s="16" t="str">
        <f>IFERROR(__xludf.DUMMYFUNCTION("""COMPUTED_VALUE"""),"s01*****@mail.edu.tw")</f>
        <v>s01*****@mail.edu.tw</v>
      </c>
      <c r="E2975" s="17" t="str">
        <f>IFERROR(__xludf.DUMMYFUNCTION("""COMPUTED_VALUE"""),"南投縣中寮鄉廣福國民小學")</f>
        <v>南投縣中寮鄉廣福國民小學</v>
      </c>
      <c r="F2975" s="14" t="str">
        <f>IFERROR(__xludf.DUMMYFUNCTION("""COMPUTED_VALUE"""),"六年級")</f>
        <v>六年級</v>
      </c>
      <c r="G2975" s="14" t="str">
        <f>IFERROR(__xludf.DUMMYFUNCTION("""COMPUTED_VALUE"""),"●小禮物")</f>
        <v>●小禮物</v>
      </c>
      <c r="H2975" s="8"/>
    </row>
    <row r="2976">
      <c r="A2976" s="18"/>
      <c r="B2976" s="14">
        <f>IFERROR(__xludf.DUMMYFUNCTION("""COMPUTED_VALUE"""),423286.0)</f>
        <v>423286</v>
      </c>
      <c r="C2976" s="14" t="str">
        <f>IFERROR(__xludf.DUMMYFUNCTION("""COMPUTED_VALUE"""),"簡憑崴")</f>
        <v>簡憑崴</v>
      </c>
      <c r="D2976" s="16" t="str">
        <f>IFERROR(__xludf.DUMMYFUNCTION("""COMPUTED_VALUE"""),"s01*****@mail.edu.tw")</f>
        <v>s01*****@mail.edu.tw</v>
      </c>
      <c r="E2976" s="17" t="str">
        <f>IFERROR(__xludf.DUMMYFUNCTION("""COMPUTED_VALUE"""),"南投縣中寮鄉廣福國民小學")</f>
        <v>南投縣中寮鄉廣福國民小學</v>
      </c>
      <c r="F2976" s="14" t="str">
        <f>IFERROR(__xludf.DUMMYFUNCTION("""COMPUTED_VALUE"""),"六年級")</f>
        <v>六年級</v>
      </c>
      <c r="G2976" s="14" t="str">
        <f>IFERROR(__xludf.DUMMYFUNCTION("""COMPUTED_VALUE"""),"●小禮物")</f>
        <v>●小禮物</v>
      </c>
      <c r="H2976" s="8"/>
    </row>
    <row r="2977">
      <c r="A2977" s="18"/>
      <c r="B2977" s="14">
        <f>IFERROR(__xludf.DUMMYFUNCTION("""COMPUTED_VALUE"""),423260.0)</f>
        <v>423260</v>
      </c>
      <c r="C2977" s="14" t="str">
        <f>IFERROR(__xludf.DUMMYFUNCTION("""COMPUTED_VALUE"""),"曾婷儀")</f>
        <v>曾婷儀</v>
      </c>
      <c r="D2977" s="16" t="str">
        <f>IFERROR(__xludf.DUMMYFUNCTION("""COMPUTED_VALUE"""),"s01*****@mail.edu.tw")</f>
        <v>s01*****@mail.edu.tw</v>
      </c>
      <c r="E2977" s="17" t="str">
        <f>IFERROR(__xludf.DUMMYFUNCTION("""COMPUTED_VALUE"""),"南投縣中寮鄉廣福國民小學")</f>
        <v>南投縣中寮鄉廣福國民小學</v>
      </c>
      <c r="F2977" s="14" t="str">
        <f>IFERROR(__xludf.DUMMYFUNCTION("""COMPUTED_VALUE"""),"六年級")</f>
        <v>六年級</v>
      </c>
      <c r="G2977" s="14" t="str">
        <f>IFERROR(__xludf.DUMMYFUNCTION("""COMPUTED_VALUE"""),"獎狀")</f>
        <v>獎狀</v>
      </c>
      <c r="H2977" s="8"/>
    </row>
    <row r="2978">
      <c r="A2978" s="18"/>
      <c r="B2978" s="14">
        <f>IFERROR(__xludf.DUMMYFUNCTION("""COMPUTED_VALUE"""),600619.0)</f>
        <v>600619</v>
      </c>
      <c r="C2978" s="14" t="str">
        <f>IFERROR(__xludf.DUMMYFUNCTION("""COMPUTED_VALUE"""),"陳亮與")</f>
        <v>陳亮與</v>
      </c>
      <c r="D2978" s="16" t="str">
        <f>IFERROR(__xludf.DUMMYFUNCTION("""COMPUTED_VALUE"""),"s01*****.ntct@mail.edu.tw")</f>
        <v>s01*****.ntct@mail.edu.tw</v>
      </c>
      <c r="E2978" s="17" t="str">
        <f>IFERROR(__xludf.DUMMYFUNCTION("""COMPUTED_VALUE"""),"南投縣草屯鎮虎山國民小學")</f>
        <v>南投縣草屯鎮虎山國民小學</v>
      </c>
      <c r="F2978" s="14" t="str">
        <f>IFERROR(__xludf.DUMMYFUNCTION("""COMPUTED_VALUE"""),"五年級")</f>
        <v>五年級</v>
      </c>
      <c r="G2978" s="14" t="str">
        <f>IFERROR(__xludf.DUMMYFUNCTION("""COMPUTED_VALUE"""),"●小禮物")</f>
        <v>●小禮物</v>
      </c>
      <c r="H2978" s="8"/>
    </row>
    <row r="2979">
      <c r="A2979" s="18"/>
      <c r="B2979" s="14">
        <f>IFERROR(__xludf.DUMMYFUNCTION("""COMPUTED_VALUE"""),626204.0)</f>
        <v>626204</v>
      </c>
      <c r="C2979" s="14" t="str">
        <f>IFERROR(__xludf.DUMMYFUNCTION("""COMPUTED_VALUE"""),"童璵倩")</f>
        <v>童璵倩</v>
      </c>
      <c r="D2979" s="16" t="str">
        <f>IFERROR(__xludf.DUMMYFUNCTION("""COMPUTED_VALUE"""),"s01*****@mail.edu.tw")</f>
        <v>s01*****@mail.edu.tw</v>
      </c>
      <c r="E2979" s="17" t="str">
        <f>IFERROR(__xludf.DUMMYFUNCTION("""COMPUTED_VALUE"""),"南投縣草屯鎮虎山國民小學")</f>
        <v>南投縣草屯鎮虎山國民小學</v>
      </c>
      <c r="F2979" s="14" t="str">
        <f>IFERROR(__xludf.DUMMYFUNCTION("""COMPUTED_VALUE"""),"五年級")</f>
        <v>五年級</v>
      </c>
      <c r="G2979" s="14" t="str">
        <f>IFERROR(__xludf.DUMMYFUNCTION("""COMPUTED_VALUE"""),"●小禮物")</f>
        <v>●小禮物</v>
      </c>
      <c r="H2979" s="8"/>
    </row>
    <row r="2980">
      <c r="A2980" s="18"/>
      <c r="B2980" s="14">
        <f>IFERROR(__xludf.DUMMYFUNCTION("""COMPUTED_VALUE"""),707693.0)</f>
        <v>707693</v>
      </c>
      <c r="C2980" s="14" t="str">
        <f>IFERROR(__xludf.DUMMYFUNCTION("""COMPUTED_VALUE"""),"邱嵎竑")</f>
        <v>邱嵎竑</v>
      </c>
      <c r="D2980" s="16" t="str">
        <f>IFERROR(__xludf.DUMMYFUNCTION("""COMPUTED_VALUE"""),"s01*****.ntct@mail.edu.tw")</f>
        <v>s01*****.ntct@mail.edu.tw</v>
      </c>
      <c r="E2980" s="17" t="str">
        <f>IFERROR(__xludf.DUMMYFUNCTION("""COMPUTED_VALUE"""),"南投縣草屯鎮虎山國民小學")</f>
        <v>南投縣草屯鎮虎山國民小學</v>
      </c>
      <c r="F2980" s="14" t="str">
        <f>IFERROR(__xludf.DUMMYFUNCTION("""COMPUTED_VALUE"""),"五年級")</f>
        <v>五年級</v>
      </c>
      <c r="G2980" s="14" t="str">
        <f>IFERROR(__xludf.DUMMYFUNCTION("""COMPUTED_VALUE"""),"●小禮物")</f>
        <v>●小禮物</v>
      </c>
      <c r="H2980" s="8"/>
    </row>
    <row r="2981">
      <c r="A2981" s="18"/>
      <c r="B2981" s="14">
        <f>IFERROR(__xludf.DUMMYFUNCTION("""COMPUTED_VALUE"""),1184054.0)</f>
        <v>1184054</v>
      </c>
      <c r="C2981" s="14" t="str">
        <f>IFERROR(__xludf.DUMMYFUNCTION("""COMPUTED_VALUE"""),"曾柔蓁")</f>
        <v>曾柔蓁</v>
      </c>
      <c r="D2981" s="16" t="str">
        <f>IFERROR(__xludf.DUMMYFUNCTION("""COMPUTED_VALUE"""),"s01*****.ntct@mail.edu.tw")</f>
        <v>s01*****.ntct@mail.edu.tw</v>
      </c>
      <c r="E2981" s="17" t="str">
        <f>IFERROR(__xludf.DUMMYFUNCTION("""COMPUTED_VALUE"""),"南投縣草屯鎮虎山國民小學")</f>
        <v>南投縣草屯鎮虎山國民小學</v>
      </c>
      <c r="F2981" s="14" t="str">
        <f>IFERROR(__xludf.DUMMYFUNCTION("""COMPUTED_VALUE"""),"五年級")</f>
        <v>五年級</v>
      </c>
      <c r="G2981" s="14" t="str">
        <f>IFERROR(__xludf.DUMMYFUNCTION("""COMPUTED_VALUE"""),"●小禮物")</f>
        <v>●小禮物</v>
      </c>
      <c r="H2981" s="8"/>
    </row>
    <row r="2982">
      <c r="A2982" s="18"/>
      <c r="B2982" s="14">
        <f>IFERROR(__xludf.DUMMYFUNCTION("""COMPUTED_VALUE"""),708295.0)</f>
        <v>708295</v>
      </c>
      <c r="C2982" s="14" t="str">
        <f>IFERROR(__xludf.DUMMYFUNCTION("""COMPUTED_VALUE"""),"李昀禧")</f>
        <v>李昀禧</v>
      </c>
      <c r="D2982" s="16" t="str">
        <f>IFERROR(__xludf.DUMMYFUNCTION("""COMPUTED_VALUE"""),"s01*****.ntct@mail.edu.tw")</f>
        <v>s01*****.ntct@mail.edu.tw</v>
      </c>
      <c r="E2982" s="17" t="str">
        <f>IFERROR(__xludf.DUMMYFUNCTION("""COMPUTED_VALUE"""),"南投縣草屯鎮虎山國民小學")</f>
        <v>南投縣草屯鎮虎山國民小學</v>
      </c>
      <c r="F2982" s="14" t="str">
        <f>IFERROR(__xludf.DUMMYFUNCTION("""COMPUTED_VALUE"""),"五年級")</f>
        <v>五年級</v>
      </c>
      <c r="G2982" s="14" t="str">
        <f>IFERROR(__xludf.DUMMYFUNCTION("""COMPUTED_VALUE"""),"●小禮物")</f>
        <v>●小禮物</v>
      </c>
      <c r="H2982" s="8"/>
    </row>
    <row r="2983">
      <c r="A2983" s="18"/>
      <c r="B2983" s="14">
        <f>IFERROR(__xludf.DUMMYFUNCTION("""COMPUTED_VALUE"""),1184056.0)</f>
        <v>1184056</v>
      </c>
      <c r="C2983" s="14" t="str">
        <f>IFERROR(__xludf.DUMMYFUNCTION("""COMPUTED_VALUE"""),"王紫暄")</f>
        <v>王紫暄</v>
      </c>
      <c r="D2983" s="16" t="str">
        <f>IFERROR(__xludf.DUMMYFUNCTION("""COMPUTED_VALUE"""),"s01*****.ntct@mail.edu.tw")</f>
        <v>s01*****.ntct@mail.edu.tw</v>
      </c>
      <c r="E2983" s="17" t="str">
        <f>IFERROR(__xludf.DUMMYFUNCTION("""COMPUTED_VALUE"""),"南投縣草屯鎮虎山國民小學")</f>
        <v>南投縣草屯鎮虎山國民小學</v>
      </c>
      <c r="F2983" s="14" t="str">
        <f>IFERROR(__xludf.DUMMYFUNCTION("""COMPUTED_VALUE"""),"五年級")</f>
        <v>五年級</v>
      </c>
      <c r="G2983" s="14" t="str">
        <f>IFERROR(__xludf.DUMMYFUNCTION("""COMPUTED_VALUE"""),"獎狀")</f>
        <v>獎狀</v>
      </c>
      <c r="H2983" s="8"/>
    </row>
    <row r="2984">
      <c r="A2984" s="18"/>
      <c r="B2984" s="14">
        <f>IFERROR(__xludf.DUMMYFUNCTION("""COMPUTED_VALUE"""),599062.0)</f>
        <v>599062</v>
      </c>
      <c r="C2984" s="14" t="str">
        <f>IFERROR(__xludf.DUMMYFUNCTION("""COMPUTED_VALUE"""),"邱耀霆")</f>
        <v>邱耀霆</v>
      </c>
      <c r="D2984" s="16" t="str">
        <f>IFERROR(__xludf.DUMMYFUNCTION("""COMPUTED_VALUE"""),"s01*****.ntct@mail.edu.tw")</f>
        <v>s01*****.ntct@mail.edu.tw</v>
      </c>
      <c r="E2984" s="17" t="str">
        <f>IFERROR(__xludf.DUMMYFUNCTION("""COMPUTED_VALUE"""),"南投縣草屯鎮虎山國民小學")</f>
        <v>南投縣草屯鎮虎山國民小學</v>
      </c>
      <c r="F2984" s="14" t="str">
        <f>IFERROR(__xludf.DUMMYFUNCTION("""COMPUTED_VALUE"""),"五年級")</f>
        <v>五年級</v>
      </c>
      <c r="G2984" s="14" t="str">
        <f>IFERROR(__xludf.DUMMYFUNCTION("""COMPUTED_VALUE"""),"獎狀")</f>
        <v>獎狀</v>
      </c>
      <c r="H2984" s="8"/>
    </row>
    <row r="2985">
      <c r="A2985" s="18"/>
      <c r="B2985" s="14">
        <f>IFERROR(__xludf.DUMMYFUNCTION("""COMPUTED_VALUE"""),459616.0)</f>
        <v>459616</v>
      </c>
      <c r="C2985" s="14" t="str">
        <f>IFERROR(__xludf.DUMMYFUNCTION("""COMPUTED_VALUE"""),"陳昱全")</f>
        <v>陳昱全</v>
      </c>
      <c r="D2985" s="16" t="str">
        <f>IFERROR(__xludf.DUMMYFUNCTION("""COMPUTED_VALUE"""),"s01*****.ntct@mail.edu.tw")</f>
        <v>s01*****.ntct@mail.edu.tw</v>
      </c>
      <c r="E2985" s="17" t="str">
        <f>IFERROR(__xludf.DUMMYFUNCTION("""COMPUTED_VALUE"""),"南投縣草屯鎮虎山國民小學")</f>
        <v>南投縣草屯鎮虎山國民小學</v>
      </c>
      <c r="F2985" s="14" t="str">
        <f>IFERROR(__xludf.DUMMYFUNCTION("""COMPUTED_VALUE"""),"五年級")</f>
        <v>五年級</v>
      </c>
      <c r="G2985" s="14" t="str">
        <f>IFERROR(__xludf.DUMMYFUNCTION("""COMPUTED_VALUE"""),"獎狀")</f>
        <v>獎狀</v>
      </c>
      <c r="H2985" s="8"/>
    </row>
    <row r="2986">
      <c r="A2986" s="18"/>
      <c r="B2986" s="14">
        <f>IFERROR(__xludf.DUMMYFUNCTION("""COMPUTED_VALUE"""),702809.0)</f>
        <v>702809</v>
      </c>
      <c r="C2986" s="14" t="str">
        <f>IFERROR(__xludf.DUMMYFUNCTION("""COMPUTED_VALUE"""),"簡御哲")</f>
        <v>簡御哲</v>
      </c>
      <c r="D2986" s="16" t="str">
        <f>IFERROR(__xludf.DUMMYFUNCTION("""COMPUTED_VALUE"""),"s01*****.ntct@mail.edu.tw")</f>
        <v>s01*****.ntct@mail.edu.tw</v>
      </c>
      <c r="E2986" s="17" t="str">
        <f>IFERROR(__xludf.DUMMYFUNCTION("""COMPUTED_VALUE"""),"南投縣草屯鎮虎山國民小學")</f>
        <v>南投縣草屯鎮虎山國民小學</v>
      </c>
      <c r="F2986" s="14" t="str">
        <f>IFERROR(__xludf.DUMMYFUNCTION("""COMPUTED_VALUE"""),"五年級")</f>
        <v>五年級</v>
      </c>
      <c r="G2986" s="14" t="str">
        <f>IFERROR(__xludf.DUMMYFUNCTION("""COMPUTED_VALUE"""),"獎狀")</f>
        <v>獎狀</v>
      </c>
      <c r="H2986" s="8"/>
    </row>
    <row r="2987">
      <c r="A2987" s="18"/>
      <c r="B2987" s="14">
        <f>IFERROR(__xludf.DUMMYFUNCTION("""COMPUTED_VALUE"""),1075441.0)</f>
        <v>1075441</v>
      </c>
      <c r="C2987" s="14" t="str">
        <f>IFERROR(__xludf.DUMMYFUNCTION("""COMPUTED_VALUE"""),"周禹安")</f>
        <v>周禹安</v>
      </c>
      <c r="D2987" s="16" t="str">
        <f>IFERROR(__xludf.DUMMYFUNCTION("""COMPUTED_VALUE"""),"s01*****.ntct@go.edu.tw")</f>
        <v>s01*****.ntct@go.edu.tw</v>
      </c>
      <c r="E2987" s="17" t="str">
        <f>IFERROR(__xludf.DUMMYFUNCTION("""COMPUTED_VALUE"""),"南投縣草屯鎮虎山國民小學")</f>
        <v>南投縣草屯鎮虎山國民小學</v>
      </c>
      <c r="F2987" s="14" t="str">
        <f>IFERROR(__xludf.DUMMYFUNCTION("""COMPUTED_VALUE"""),"六年級")</f>
        <v>六年級</v>
      </c>
      <c r="G2987" s="14" t="str">
        <f>IFERROR(__xludf.DUMMYFUNCTION("""COMPUTED_VALUE"""),"●小禮物")</f>
        <v>●小禮物</v>
      </c>
      <c r="H2987" s="8"/>
    </row>
    <row r="2988">
      <c r="A2988" s="18"/>
      <c r="B2988" s="14">
        <f>IFERROR(__xludf.DUMMYFUNCTION("""COMPUTED_VALUE"""),586179.0)</f>
        <v>586179</v>
      </c>
      <c r="C2988" s="14" t="str">
        <f>IFERROR(__xludf.DUMMYFUNCTION("""COMPUTED_VALUE"""),"林彥瑋")</f>
        <v>林彥瑋</v>
      </c>
      <c r="D2988" s="16" t="str">
        <f>IFERROR(__xludf.DUMMYFUNCTION("""COMPUTED_VALUE"""),"s01*****.ntct@mail.edu.tw")</f>
        <v>s01*****.ntct@mail.edu.tw</v>
      </c>
      <c r="E2988" s="17" t="str">
        <f>IFERROR(__xludf.DUMMYFUNCTION("""COMPUTED_VALUE"""),"南投縣草屯鎮碧峰國民小學")</f>
        <v>南投縣草屯鎮碧峰國民小學</v>
      </c>
      <c r="F2988" s="14" t="str">
        <f>IFERROR(__xludf.DUMMYFUNCTION("""COMPUTED_VALUE"""),"五年級")</f>
        <v>五年級</v>
      </c>
      <c r="G2988" s="14" t="str">
        <f>IFERROR(__xludf.DUMMYFUNCTION("""COMPUTED_VALUE"""),"獎狀")</f>
        <v>獎狀</v>
      </c>
      <c r="H2988" s="8"/>
    </row>
    <row r="2989">
      <c r="A2989" s="18"/>
      <c r="B2989" s="14">
        <f>IFERROR(__xludf.DUMMYFUNCTION("""COMPUTED_VALUE"""),593221.0)</f>
        <v>593221</v>
      </c>
      <c r="C2989" s="14" t="str">
        <f>IFERROR(__xludf.DUMMYFUNCTION("""COMPUTED_VALUE"""),"林韋呈")</f>
        <v>林韋呈</v>
      </c>
      <c r="D2989" s="16" t="str">
        <f>IFERROR(__xludf.DUMMYFUNCTION("""COMPUTED_VALUE"""),"s01*****.ntct@mail.edu.tw")</f>
        <v>s01*****.ntct@mail.edu.tw</v>
      </c>
      <c r="E2989" s="17" t="str">
        <f>IFERROR(__xludf.DUMMYFUNCTION("""COMPUTED_VALUE"""),"南投縣草屯鎮碧峰國民小學")</f>
        <v>南投縣草屯鎮碧峰國民小學</v>
      </c>
      <c r="F2989" s="14" t="str">
        <f>IFERROR(__xludf.DUMMYFUNCTION("""COMPUTED_VALUE"""),"五年級")</f>
        <v>五年級</v>
      </c>
      <c r="G2989" s="14" t="str">
        <f>IFERROR(__xludf.DUMMYFUNCTION("""COMPUTED_VALUE"""),"獎狀")</f>
        <v>獎狀</v>
      </c>
      <c r="H2989" s="8"/>
    </row>
    <row r="2990">
      <c r="A2990" s="18"/>
      <c r="B2990" s="14">
        <f>IFERROR(__xludf.DUMMYFUNCTION("""COMPUTED_VALUE"""),1106437.0)</f>
        <v>1106437</v>
      </c>
      <c r="C2990" s="14" t="str">
        <f>IFERROR(__xludf.DUMMYFUNCTION("""COMPUTED_VALUE"""),"張紫緹")</f>
        <v>張紫緹</v>
      </c>
      <c r="D2990" s="16" t="str">
        <f>IFERROR(__xludf.DUMMYFUNCTION("""COMPUTED_VALUE"""),"s10*****mail.stps.ntct.edu.tw")</f>
        <v>s10*****mail.stps.ntct.edu.tw</v>
      </c>
      <c r="E2990" s="17" t="str">
        <f>IFERROR(__xludf.DUMMYFUNCTION("""COMPUTED_VALUE"""),"南投縣草屯鎮雙冬國民小學")</f>
        <v>南投縣草屯鎮雙冬國民小學</v>
      </c>
      <c r="F2990" s="14" t="str">
        <f>IFERROR(__xludf.DUMMYFUNCTION("""COMPUTED_VALUE"""),"三年級")</f>
        <v>三年級</v>
      </c>
      <c r="G2990" s="14" t="str">
        <f>IFERROR(__xludf.DUMMYFUNCTION("""COMPUTED_VALUE"""),"●小禮物")</f>
        <v>●小禮物</v>
      </c>
      <c r="H2990" s="8"/>
    </row>
    <row r="2991">
      <c r="A2991" s="18"/>
      <c r="B2991" s="14">
        <f>IFERROR(__xludf.DUMMYFUNCTION("""COMPUTED_VALUE"""),1106431.0)</f>
        <v>1106431</v>
      </c>
      <c r="C2991" s="14" t="str">
        <f>IFERROR(__xludf.DUMMYFUNCTION("""COMPUTED_VALUE"""),"甘竺穎")</f>
        <v>甘竺穎</v>
      </c>
      <c r="D2991" s="16" t="str">
        <f>IFERROR(__xludf.DUMMYFUNCTION("""COMPUTED_VALUE"""),"s10*****mail.stps.ntct.edu.tw")</f>
        <v>s10*****mail.stps.ntct.edu.tw</v>
      </c>
      <c r="E2991" s="17" t="str">
        <f>IFERROR(__xludf.DUMMYFUNCTION("""COMPUTED_VALUE"""),"南投縣草屯鎮雙冬國民小學")</f>
        <v>南投縣草屯鎮雙冬國民小學</v>
      </c>
      <c r="F2991" s="14" t="str">
        <f>IFERROR(__xludf.DUMMYFUNCTION("""COMPUTED_VALUE"""),"三年級")</f>
        <v>三年級</v>
      </c>
      <c r="G2991" s="14" t="str">
        <f>IFERROR(__xludf.DUMMYFUNCTION("""COMPUTED_VALUE"""),"獎狀")</f>
        <v>獎狀</v>
      </c>
      <c r="H2991" s="8"/>
    </row>
    <row r="2992">
      <c r="A2992" s="18"/>
      <c r="B2992" s="14">
        <f>IFERROR(__xludf.DUMMYFUNCTION("""COMPUTED_VALUE"""),1106436.0)</f>
        <v>1106436</v>
      </c>
      <c r="C2992" s="14" t="str">
        <f>IFERROR(__xludf.DUMMYFUNCTION("""COMPUTED_VALUE"""),"賴喬薰")</f>
        <v>賴喬薰</v>
      </c>
      <c r="D2992" s="16" t="str">
        <f>IFERROR(__xludf.DUMMYFUNCTION("""COMPUTED_VALUE"""),"s10*****mail.stps.ntct.edu.tw")</f>
        <v>s10*****mail.stps.ntct.edu.tw</v>
      </c>
      <c r="E2992" s="17" t="str">
        <f>IFERROR(__xludf.DUMMYFUNCTION("""COMPUTED_VALUE"""),"南投縣草屯鎮雙冬國民小學")</f>
        <v>南投縣草屯鎮雙冬國民小學</v>
      </c>
      <c r="F2992" s="14" t="str">
        <f>IFERROR(__xludf.DUMMYFUNCTION("""COMPUTED_VALUE"""),"三年級")</f>
        <v>三年級</v>
      </c>
      <c r="G2992" s="14" t="str">
        <f>IFERROR(__xludf.DUMMYFUNCTION("""COMPUTED_VALUE"""),"獎狀")</f>
        <v>獎狀</v>
      </c>
      <c r="H2992" s="8"/>
    </row>
    <row r="2993">
      <c r="A2993" s="18"/>
      <c r="B2993" s="14">
        <f>IFERROR(__xludf.DUMMYFUNCTION("""COMPUTED_VALUE"""),893157.0)</f>
        <v>893157</v>
      </c>
      <c r="C2993" s="14" t="str">
        <f>IFERROR(__xludf.DUMMYFUNCTION("""COMPUTED_VALUE"""),"林玠妘")</f>
        <v>林玠妘</v>
      </c>
      <c r="D2993" s="16" t="str">
        <f>IFERROR(__xludf.DUMMYFUNCTION("""COMPUTED_VALUE"""),"s10*****mail.stps.ntct.edu.tw")</f>
        <v>s10*****mail.stps.ntct.edu.tw</v>
      </c>
      <c r="E2993" s="17" t="str">
        <f>IFERROR(__xludf.DUMMYFUNCTION("""COMPUTED_VALUE"""),"南投縣草屯鎮雙冬國民小學")</f>
        <v>南投縣草屯鎮雙冬國民小學</v>
      </c>
      <c r="F2993" s="14" t="str">
        <f>IFERROR(__xludf.DUMMYFUNCTION("""COMPUTED_VALUE"""),"四年級")</f>
        <v>四年級</v>
      </c>
      <c r="G2993" s="14" t="str">
        <f>IFERROR(__xludf.DUMMYFUNCTION("""COMPUTED_VALUE"""),"獎狀")</f>
        <v>獎狀</v>
      </c>
      <c r="H2993" s="8"/>
    </row>
    <row r="2994">
      <c r="A2994" s="18"/>
      <c r="B2994" s="14">
        <f>IFERROR(__xludf.DUMMYFUNCTION("""COMPUTED_VALUE"""),893152.0)</f>
        <v>893152</v>
      </c>
      <c r="C2994" s="14" t="str">
        <f>IFERROR(__xludf.DUMMYFUNCTION("""COMPUTED_VALUE"""),"張翔喻")</f>
        <v>張翔喻</v>
      </c>
      <c r="D2994" s="16" t="str">
        <f>IFERROR(__xludf.DUMMYFUNCTION("""COMPUTED_VALUE"""),"s10*****mail.stps.ntct.edu.tw")</f>
        <v>s10*****mail.stps.ntct.edu.tw</v>
      </c>
      <c r="E2994" s="17" t="str">
        <f>IFERROR(__xludf.DUMMYFUNCTION("""COMPUTED_VALUE"""),"南投縣草屯鎮雙冬國民小學")</f>
        <v>南投縣草屯鎮雙冬國民小學</v>
      </c>
      <c r="F2994" s="14" t="str">
        <f>IFERROR(__xludf.DUMMYFUNCTION("""COMPUTED_VALUE"""),"四年級")</f>
        <v>四年級</v>
      </c>
      <c r="G2994" s="14" t="str">
        <f>IFERROR(__xludf.DUMMYFUNCTION("""COMPUTED_VALUE"""),"獎狀")</f>
        <v>獎狀</v>
      </c>
      <c r="H2994" s="8"/>
    </row>
    <row r="2995">
      <c r="A2995" s="18"/>
      <c r="B2995" s="14">
        <f>IFERROR(__xludf.DUMMYFUNCTION("""COMPUTED_VALUE"""),893158.0)</f>
        <v>893158</v>
      </c>
      <c r="C2995" s="14" t="str">
        <f>IFERROR(__xludf.DUMMYFUNCTION("""COMPUTED_VALUE"""),"楊昀庭")</f>
        <v>楊昀庭</v>
      </c>
      <c r="D2995" s="16" t="str">
        <f>IFERROR(__xludf.DUMMYFUNCTION("""COMPUTED_VALUE"""),"s10*****mail.stps.ntct.edu.tw")</f>
        <v>s10*****mail.stps.ntct.edu.tw</v>
      </c>
      <c r="E2995" s="17" t="str">
        <f>IFERROR(__xludf.DUMMYFUNCTION("""COMPUTED_VALUE"""),"南投縣草屯鎮雙冬國民小學")</f>
        <v>南投縣草屯鎮雙冬國民小學</v>
      </c>
      <c r="F2995" s="14" t="str">
        <f>IFERROR(__xludf.DUMMYFUNCTION("""COMPUTED_VALUE"""),"四年級")</f>
        <v>四年級</v>
      </c>
      <c r="G2995" s="14" t="str">
        <f>IFERROR(__xludf.DUMMYFUNCTION("""COMPUTED_VALUE"""),"獎狀")</f>
        <v>獎狀</v>
      </c>
      <c r="H2995" s="8"/>
    </row>
    <row r="2996">
      <c r="A2996" s="18"/>
      <c r="B2996" s="14">
        <f>IFERROR(__xludf.DUMMYFUNCTION("""COMPUTED_VALUE"""),893154.0)</f>
        <v>893154</v>
      </c>
      <c r="C2996" s="14" t="str">
        <f>IFERROR(__xludf.DUMMYFUNCTION("""COMPUTED_VALUE"""),"鄧竹宏")</f>
        <v>鄧竹宏</v>
      </c>
      <c r="D2996" s="16" t="str">
        <f>IFERROR(__xludf.DUMMYFUNCTION("""COMPUTED_VALUE"""),"s10*****mail.stps.ntct.edu.tw")</f>
        <v>s10*****mail.stps.ntct.edu.tw</v>
      </c>
      <c r="E2996" s="17" t="str">
        <f>IFERROR(__xludf.DUMMYFUNCTION("""COMPUTED_VALUE"""),"南投縣草屯鎮雙冬國民小學")</f>
        <v>南投縣草屯鎮雙冬國民小學</v>
      </c>
      <c r="F2996" s="14" t="str">
        <f>IFERROR(__xludf.DUMMYFUNCTION("""COMPUTED_VALUE"""),"四年級")</f>
        <v>四年級</v>
      </c>
      <c r="G2996" s="14" t="str">
        <f>IFERROR(__xludf.DUMMYFUNCTION("""COMPUTED_VALUE"""),"獎狀")</f>
        <v>獎狀</v>
      </c>
      <c r="H2996" s="8"/>
    </row>
    <row r="2997">
      <c r="A2997" s="18"/>
      <c r="B2997" s="14">
        <f>IFERROR(__xludf.DUMMYFUNCTION("""COMPUTED_VALUE"""),893165.0)</f>
        <v>893165</v>
      </c>
      <c r="C2997" s="14" t="str">
        <f>IFERROR(__xludf.DUMMYFUNCTION("""COMPUTED_VALUE"""),"洪芷怡")</f>
        <v>洪芷怡</v>
      </c>
      <c r="D2997" s="16" t="str">
        <f>IFERROR(__xludf.DUMMYFUNCTION("""COMPUTED_VALUE"""),"s10*****mail.stps.ntct.edu.tw")</f>
        <v>s10*****mail.stps.ntct.edu.tw</v>
      </c>
      <c r="E2997" s="17" t="str">
        <f>IFERROR(__xludf.DUMMYFUNCTION("""COMPUTED_VALUE"""),"南投縣草屯鎮雙冬國民小學")</f>
        <v>南投縣草屯鎮雙冬國民小學</v>
      </c>
      <c r="F2997" s="14" t="str">
        <f>IFERROR(__xludf.DUMMYFUNCTION("""COMPUTED_VALUE"""),"五年級")</f>
        <v>五年級</v>
      </c>
      <c r="G2997" s="14" t="str">
        <f>IFERROR(__xludf.DUMMYFUNCTION("""COMPUTED_VALUE"""),"獎狀")</f>
        <v>獎狀</v>
      </c>
      <c r="H2997" s="8"/>
    </row>
    <row r="2998">
      <c r="A2998" s="18"/>
      <c r="B2998" s="14">
        <f>IFERROR(__xludf.DUMMYFUNCTION("""COMPUTED_VALUE"""),893170.0)</f>
        <v>893170</v>
      </c>
      <c r="C2998" s="14" t="str">
        <f>IFERROR(__xludf.DUMMYFUNCTION("""COMPUTED_VALUE"""),"葉玟汝")</f>
        <v>葉玟汝</v>
      </c>
      <c r="D2998" s="16" t="str">
        <f>IFERROR(__xludf.DUMMYFUNCTION("""COMPUTED_VALUE"""),"s10*****mail.stps.ntct.edu.tw")</f>
        <v>s10*****mail.stps.ntct.edu.tw</v>
      </c>
      <c r="E2998" s="17" t="str">
        <f>IFERROR(__xludf.DUMMYFUNCTION("""COMPUTED_VALUE"""),"南投縣草屯鎮雙冬國民小學")</f>
        <v>南投縣草屯鎮雙冬國民小學</v>
      </c>
      <c r="F2998" s="14" t="str">
        <f>IFERROR(__xludf.DUMMYFUNCTION("""COMPUTED_VALUE"""),"五年級")</f>
        <v>五年級</v>
      </c>
      <c r="G2998" s="14" t="str">
        <f>IFERROR(__xludf.DUMMYFUNCTION("""COMPUTED_VALUE"""),"獎狀")</f>
        <v>獎狀</v>
      </c>
      <c r="H2998" s="8"/>
    </row>
    <row r="2999">
      <c r="A2999" s="18"/>
      <c r="B2999" s="14">
        <f>IFERROR(__xludf.DUMMYFUNCTION("""COMPUTED_VALUE"""),893161.0)</f>
        <v>893161</v>
      </c>
      <c r="C2999" s="14" t="str">
        <f>IFERROR(__xludf.DUMMYFUNCTION("""COMPUTED_VALUE"""),"賴賸祐")</f>
        <v>賴賸祐</v>
      </c>
      <c r="D2999" s="16" t="str">
        <f>IFERROR(__xludf.DUMMYFUNCTION("""COMPUTED_VALUE"""),"s10*****mail.stps.ntct.edu.tw")</f>
        <v>s10*****mail.stps.ntct.edu.tw</v>
      </c>
      <c r="E2999" s="17" t="str">
        <f>IFERROR(__xludf.DUMMYFUNCTION("""COMPUTED_VALUE"""),"南投縣草屯鎮雙冬國民小學")</f>
        <v>南投縣草屯鎮雙冬國民小學</v>
      </c>
      <c r="F2999" s="14" t="str">
        <f>IFERROR(__xludf.DUMMYFUNCTION("""COMPUTED_VALUE"""),"五年級")</f>
        <v>五年級</v>
      </c>
      <c r="G2999" s="14" t="str">
        <f>IFERROR(__xludf.DUMMYFUNCTION("""COMPUTED_VALUE"""),"獎狀")</f>
        <v>獎狀</v>
      </c>
      <c r="H2999" s="8"/>
    </row>
    <row r="3000">
      <c r="A3000" s="18"/>
      <c r="B3000" s="14">
        <f>IFERROR(__xludf.DUMMYFUNCTION("""COMPUTED_VALUE"""),893172.0)</f>
        <v>893172</v>
      </c>
      <c r="C3000" s="14" t="str">
        <f>IFERROR(__xludf.DUMMYFUNCTION("""COMPUTED_VALUE"""),"林尚澤")</f>
        <v>林尚澤</v>
      </c>
      <c r="D3000" s="16" t="str">
        <f>IFERROR(__xludf.DUMMYFUNCTION("""COMPUTED_VALUE"""),"s10*****mail.stps.ntct.edu.tw")</f>
        <v>s10*****mail.stps.ntct.edu.tw</v>
      </c>
      <c r="E3000" s="17" t="str">
        <f>IFERROR(__xludf.DUMMYFUNCTION("""COMPUTED_VALUE"""),"南投縣草屯鎮雙冬國民小學")</f>
        <v>南投縣草屯鎮雙冬國民小學</v>
      </c>
      <c r="F3000" s="14" t="str">
        <f>IFERROR(__xludf.DUMMYFUNCTION("""COMPUTED_VALUE"""),"六年級")</f>
        <v>六年級</v>
      </c>
      <c r="G3000" s="14" t="str">
        <f>IFERROR(__xludf.DUMMYFUNCTION("""COMPUTED_VALUE"""),"●小禮物")</f>
        <v>●小禮物</v>
      </c>
      <c r="H3000" s="8"/>
    </row>
    <row r="3001">
      <c r="A3001" s="18"/>
      <c r="B3001" s="14">
        <f>IFERROR(__xludf.DUMMYFUNCTION("""COMPUTED_VALUE"""),893179.0)</f>
        <v>893179</v>
      </c>
      <c r="C3001" s="14" t="str">
        <f>IFERROR(__xludf.DUMMYFUNCTION("""COMPUTED_VALUE"""),"藍彩華")</f>
        <v>藍彩華</v>
      </c>
      <c r="D3001" s="16" t="str">
        <f>IFERROR(__xludf.DUMMYFUNCTION("""COMPUTED_VALUE"""),"s10*****mail.stps.ntct.edu.tw")</f>
        <v>s10*****mail.stps.ntct.edu.tw</v>
      </c>
      <c r="E3001" s="17" t="str">
        <f>IFERROR(__xludf.DUMMYFUNCTION("""COMPUTED_VALUE"""),"南投縣草屯鎮雙冬國民小學")</f>
        <v>南投縣草屯鎮雙冬國民小學</v>
      </c>
      <c r="F3001" s="14" t="str">
        <f>IFERROR(__xludf.DUMMYFUNCTION("""COMPUTED_VALUE"""),"六年級")</f>
        <v>六年級</v>
      </c>
      <c r="G3001" s="14" t="str">
        <f>IFERROR(__xludf.DUMMYFUNCTION("""COMPUTED_VALUE"""),"●小禮物")</f>
        <v>●小禮物</v>
      </c>
      <c r="H3001" s="8"/>
    </row>
    <row r="3002">
      <c r="A3002" s="18"/>
      <c r="B3002" s="14">
        <f>IFERROR(__xludf.DUMMYFUNCTION("""COMPUTED_VALUE"""),893178.0)</f>
        <v>893178</v>
      </c>
      <c r="C3002" s="14" t="str">
        <f>IFERROR(__xludf.DUMMYFUNCTION("""COMPUTED_VALUE"""),"林妤恩")</f>
        <v>林妤恩</v>
      </c>
      <c r="D3002" s="16" t="str">
        <f>IFERROR(__xludf.DUMMYFUNCTION("""COMPUTED_VALUE"""),"s10*****mail.stps.ntct.edu.tw")</f>
        <v>s10*****mail.stps.ntct.edu.tw</v>
      </c>
      <c r="E3002" s="17" t="str">
        <f>IFERROR(__xludf.DUMMYFUNCTION("""COMPUTED_VALUE"""),"南投縣草屯鎮雙冬國民小學")</f>
        <v>南投縣草屯鎮雙冬國民小學</v>
      </c>
      <c r="F3002" s="14" t="str">
        <f>IFERROR(__xludf.DUMMYFUNCTION("""COMPUTED_VALUE"""),"六年級")</f>
        <v>六年級</v>
      </c>
      <c r="G3002" s="14" t="str">
        <f>IFERROR(__xludf.DUMMYFUNCTION("""COMPUTED_VALUE"""),"獎狀")</f>
        <v>獎狀</v>
      </c>
      <c r="H3002" s="8"/>
    </row>
    <row r="3003">
      <c r="A3003" s="18"/>
      <c r="B3003" s="14">
        <f>IFERROR(__xludf.DUMMYFUNCTION("""COMPUTED_VALUE"""),893171.0)</f>
        <v>893171</v>
      </c>
      <c r="C3003" s="14" t="str">
        <f>IFERROR(__xludf.DUMMYFUNCTION("""COMPUTED_VALUE"""),"黃芃瑞")</f>
        <v>黃芃瑞</v>
      </c>
      <c r="D3003" s="16" t="str">
        <f>IFERROR(__xludf.DUMMYFUNCTION("""COMPUTED_VALUE"""),"s10*****mail.stps.ntct.edu.tw")</f>
        <v>s10*****mail.stps.ntct.edu.tw</v>
      </c>
      <c r="E3003" s="17" t="str">
        <f>IFERROR(__xludf.DUMMYFUNCTION("""COMPUTED_VALUE"""),"南投縣草屯鎮雙冬國民小學")</f>
        <v>南投縣草屯鎮雙冬國民小學</v>
      </c>
      <c r="F3003" s="14" t="str">
        <f>IFERROR(__xludf.DUMMYFUNCTION("""COMPUTED_VALUE"""),"六年級")</f>
        <v>六年級</v>
      </c>
      <c r="G3003" s="14" t="str">
        <f>IFERROR(__xludf.DUMMYFUNCTION("""COMPUTED_VALUE"""),"獎狀")</f>
        <v>獎狀</v>
      </c>
      <c r="H3003" s="8"/>
    </row>
    <row r="3004">
      <c r="A3004" s="18"/>
      <c r="B3004" s="14">
        <f>IFERROR(__xludf.DUMMYFUNCTION("""COMPUTED_VALUE"""),931970.0)</f>
        <v>931970</v>
      </c>
      <c r="C3004" s="14" t="str">
        <f>IFERROR(__xludf.DUMMYFUNCTION("""COMPUTED_VALUE"""),"黃梓瑄")</f>
        <v>黃梓瑄</v>
      </c>
      <c r="D3004" s="16" t="str">
        <f>IFERROR(__xludf.DUMMYFUNCTION("""COMPUTED_VALUE"""),"s01*****.ntct@mail.edu.tw")</f>
        <v>s01*****.ntct@mail.edu.tw</v>
      </c>
      <c r="E3004" s="17" t="str">
        <f>IFERROR(__xludf.DUMMYFUNCTION("""COMPUTED_VALUE"""),"南投縣國姓鄉北山國民小學")</f>
        <v>南投縣國姓鄉北山國民小學</v>
      </c>
      <c r="F3004" s="14" t="str">
        <f>IFERROR(__xludf.DUMMYFUNCTION("""COMPUTED_VALUE"""),"五年級")</f>
        <v>五年級</v>
      </c>
      <c r="G3004" s="14" t="str">
        <f>IFERROR(__xludf.DUMMYFUNCTION("""COMPUTED_VALUE"""),"●小禮物")</f>
        <v>●小禮物</v>
      </c>
      <c r="H3004" s="8"/>
    </row>
    <row r="3005">
      <c r="A3005" s="18"/>
      <c r="B3005" s="14">
        <f>IFERROR(__xludf.DUMMYFUNCTION("""COMPUTED_VALUE"""),482788.0)</f>
        <v>482788</v>
      </c>
      <c r="C3005" s="14" t="str">
        <f>IFERROR(__xludf.DUMMYFUNCTION("""COMPUTED_VALUE"""),"蕭湘云")</f>
        <v>蕭湘云</v>
      </c>
      <c r="D3005" s="16" t="str">
        <f>IFERROR(__xludf.DUMMYFUNCTION("""COMPUTED_VALUE"""),"s01*****.ntct@mail.edu.tw")</f>
        <v>s01*****.ntct@mail.edu.tw</v>
      </c>
      <c r="E3005" s="17" t="str">
        <f>IFERROR(__xludf.DUMMYFUNCTION("""COMPUTED_VALUE"""),"南投縣國姓鄉北山國民小學")</f>
        <v>南投縣國姓鄉北山國民小學</v>
      </c>
      <c r="F3005" s="14" t="str">
        <f>IFERROR(__xludf.DUMMYFUNCTION("""COMPUTED_VALUE"""),"五年級")</f>
        <v>五年級</v>
      </c>
      <c r="G3005" s="14" t="str">
        <f>IFERROR(__xludf.DUMMYFUNCTION("""COMPUTED_VALUE"""),"●小禮物")</f>
        <v>●小禮物</v>
      </c>
      <c r="H3005" s="8"/>
    </row>
    <row r="3006">
      <c r="A3006" s="18"/>
      <c r="B3006" s="14">
        <f>IFERROR(__xludf.DUMMYFUNCTION("""COMPUTED_VALUE"""),931967.0)</f>
        <v>931967</v>
      </c>
      <c r="C3006" s="14" t="str">
        <f>IFERROR(__xludf.DUMMYFUNCTION("""COMPUTED_VALUE"""),"曾佳鈴")</f>
        <v>曾佳鈴</v>
      </c>
      <c r="D3006" s="16" t="str">
        <f>IFERROR(__xludf.DUMMYFUNCTION("""COMPUTED_VALUE"""),"s01*****.ntct@mail.edu.tw")</f>
        <v>s01*****.ntct@mail.edu.tw</v>
      </c>
      <c r="E3006" s="17" t="str">
        <f>IFERROR(__xludf.DUMMYFUNCTION("""COMPUTED_VALUE"""),"南投縣國姓鄉北山國民小學")</f>
        <v>南投縣國姓鄉北山國民小學</v>
      </c>
      <c r="F3006" s="14" t="str">
        <f>IFERROR(__xludf.DUMMYFUNCTION("""COMPUTED_VALUE"""),"五年級")</f>
        <v>五年級</v>
      </c>
      <c r="G3006" s="14" t="str">
        <f>IFERROR(__xludf.DUMMYFUNCTION("""COMPUTED_VALUE"""),"獎狀")</f>
        <v>獎狀</v>
      </c>
      <c r="H3006" s="8"/>
    </row>
    <row r="3007">
      <c r="A3007" s="18"/>
      <c r="B3007" s="14">
        <f>IFERROR(__xludf.DUMMYFUNCTION("""COMPUTED_VALUE"""),931968.0)</f>
        <v>931968</v>
      </c>
      <c r="C3007" s="14" t="str">
        <f>IFERROR(__xludf.DUMMYFUNCTION("""COMPUTED_VALUE"""),"楊沛晴")</f>
        <v>楊沛晴</v>
      </c>
      <c r="D3007" s="16" t="str">
        <f>IFERROR(__xludf.DUMMYFUNCTION("""COMPUTED_VALUE"""),"s01*****.ntct@mail.edu.tw")</f>
        <v>s01*****.ntct@mail.edu.tw</v>
      </c>
      <c r="E3007" s="17" t="str">
        <f>IFERROR(__xludf.DUMMYFUNCTION("""COMPUTED_VALUE"""),"南投縣國姓鄉北山國民小學")</f>
        <v>南投縣國姓鄉北山國民小學</v>
      </c>
      <c r="F3007" s="14" t="str">
        <f>IFERROR(__xludf.DUMMYFUNCTION("""COMPUTED_VALUE"""),"五年級")</f>
        <v>五年級</v>
      </c>
      <c r="G3007" s="14" t="str">
        <f>IFERROR(__xludf.DUMMYFUNCTION("""COMPUTED_VALUE"""),"獎狀")</f>
        <v>獎狀</v>
      </c>
      <c r="H3007" s="8"/>
    </row>
    <row r="3008">
      <c r="A3008" s="18"/>
      <c r="B3008" s="14">
        <f>IFERROR(__xludf.DUMMYFUNCTION("""COMPUTED_VALUE"""),931980.0)</f>
        <v>931980</v>
      </c>
      <c r="C3008" s="14" t="str">
        <f>IFERROR(__xludf.DUMMYFUNCTION("""COMPUTED_VALUE"""),"江紫嫣")</f>
        <v>江紫嫣</v>
      </c>
      <c r="D3008" s="16" t="str">
        <f>IFERROR(__xludf.DUMMYFUNCTION("""COMPUTED_VALUE"""),"s01*****.ntct@mail.edu.tw")</f>
        <v>s01*****.ntct@mail.edu.tw</v>
      </c>
      <c r="E3008" s="17" t="str">
        <f>IFERROR(__xludf.DUMMYFUNCTION("""COMPUTED_VALUE"""),"南投縣國姓鄉北山國民小學")</f>
        <v>南投縣國姓鄉北山國民小學</v>
      </c>
      <c r="F3008" s="14" t="str">
        <f>IFERROR(__xludf.DUMMYFUNCTION("""COMPUTED_VALUE"""),"六年級")</f>
        <v>六年級</v>
      </c>
      <c r="G3008" s="14" t="str">
        <f>IFERROR(__xludf.DUMMYFUNCTION("""COMPUTED_VALUE"""),"●小禮物")</f>
        <v>●小禮物</v>
      </c>
      <c r="H3008" s="8"/>
    </row>
    <row r="3009">
      <c r="A3009" s="18"/>
      <c r="B3009" s="14">
        <f>IFERROR(__xludf.DUMMYFUNCTION("""COMPUTED_VALUE"""),931978.0)</f>
        <v>931978</v>
      </c>
      <c r="C3009" s="14" t="str">
        <f>IFERROR(__xludf.DUMMYFUNCTION("""COMPUTED_VALUE"""),"陳彥綸")</f>
        <v>陳彥綸</v>
      </c>
      <c r="D3009" s="16" t="str">
        <f>IFERROR(__xludf.DUMMYFUNCTION("""COMPUTED_VALUE"""),"s01*****.ntct@mail.edu.tw")</f>
        <v>s01*****.ntct@mail.edu.tw</v>
      </c>
      <c r="E3009" s="17" t="str">
        <f>IFERROR(__xludf.DUMMYFUNCTION("""COMPUTED_VALUE"""),"南投縣國姓鄉北山國民小學")</f>
        <v>南投縣國姓鄉北山國民小學</v>
      </c>
      <c r="F3009" s="14" t="str">
        <f>IFERROR(__xludf.DUMMYFUNCTION("""COMPUTED_VALUE"""),"六年級")</f>
        <v>六年級</v>
      </c>
      <c r="G3009" s="14" t="str">
        <f>IFERROR(__xludf.DUMMYFUNCTION("""COMPUTED_VALUE"""),"●小禮物")</f>
        <v>●小禮物</v>
      </c>
      <c r="H3009" s="8"/>
    </row>
    <row r="3010">
      <c r="A3010" s="18"/>
      <c r="B3010" s="14">
        <f>IFERROR(__xludf.DUMMYFUNCTION("""COMPUTED_VALUE"""),931973.0)</f>
        <v>931973</v>
      </c>
      <c r="C3010" s="14" t="str">
        <f>IFERROR(__xludf.DUMMYFUNCTION("""COMPUTED_VALUE"""),"徐凱翼")</f>
        <v>徐凱翼</v>
      </c>
      <c r="D3010" s="16" t="str">
        <f>IFERROR(__xludf.DUMMYFUNCTION("""COMPUTED_VALUE"""),"s01*****.ntct@mail.edu.tw")</f>
        <v>s01*****.ntct@mail.edu.tw</v>
      </c>
      <c r="E3010" s="17" t="str">
        <f>IFERROR(__xludf.DUMMYFUNCTION("""COMPUTED_VALUE"""),"南投縣國姓鄉北山國民小學")</f>
        <v>南投縣國姓鄉北山國民小學</v>
      </c>
      <c r="F3010" s="14" t="str">
        <f>IFERROR(__xludf.DUMMYFUNCTION("""COMPUTED_VALUE"""),"六年級")</f>
        <v>六年級</v>
      </c>
      <c r="G3010" s="14" t="str">
        <f>IFERROR(__xludf.DUMMYFUNCTION("""COMPUTED_VALUE"""),"獎狀")</f>
        <v>獎狀</v>
      </c>
      <c r="H3010" s="8"/>
    </row>
    <row r="3011">
      <c r="A3011" s="18"/>
      <c r="B3011" s="14">
        <f>IFERROR(__xludf.DUMMYFUNCTION("""COMPUTED_VALUE"""),942863.0)</f>
        <v>942863</v>
      </c>
      <c r="C3011" s="14" t="str">
        <f>IFERROR(__xludf.DUMMYFUNCTION("""COMPUTED_VALUE"""),"盧沛禹")</f>
        <v>盧沛禹</v>
      </c>
      <c r="D3011" s="16" t="str">
        <f>IFERROR(__xludf.DUMMYFUNCTION("""COMPUTED_VALUE"""),"s01*****.ntct@mail.edu.tw")</f>
        <v>s01*****.ntct@mail.edu.tw</v>
      </c>
      <c r="E3011" s="17" t="str">
        <f>IFERROR(__xludf.DUMMYFUNCTION("""COMPUTED_VALUE"""),"南投縣國姓鄉乾峰國民小學")</f>
        <v>南投縣國姓鄉乾峰國民小學</v>
      </c>
      <c r="F3011" s="14" t="str">
        <f>IFERROR(__xludf.DUMMYFUNCTION("""COMPUTED_VALUE"""),"四年級")</f>
        <v>四年級</v>
      </c>
      <c r="G3011" s="14" t="str">
        <f>IFERROR(__xludf.DUMMYFUNCTION("""COMPUTED_VALUE"""),"●小禮物")</f>
        <v>●小禮物</v>
      </c>
      <c r="H3011" s="8"/>
    </row>
    <row r="3012">
      <c r="A3012" s="18"/>
      <c r="B3012" s="14">
        <f>IFERROR(__xludf.DUMMYFUNCTION("""COMPUTED_VALUE"""),942710.0)</f>
        <v>942710</v>
      </c>
      <c r="C3012" s="14" t="str">
        <f>IFERROR(__xludf.DUMMYFUNCTION("""COMPUTED_VALUE"""),"吳朕享")</f>
        <v>吳朕享</v>
      </c>
      <c r="D3012" s="16" t="str">
        <f>IFERROR(__xludf.DUMMYFUNCTION("""COMPUTED_VALUE"""),"s01*****.ntct@mail.edu.tw")</f>
        <v>s01*****.ntct@mail.edu.tw</v>
      </c>
      <c r="E3012" s="17" t="str">
        <f>IFERROR(__xludf.DUMMYFUNCTION("""COMPUTED_VALUE"""),"南投縣國姓鄉乾峰國民小學")</f>
        <v>南投縣國姓鄉乾峰國民小學</v>
      </c>
      <c r="F3012" s="14" t="str">
        <f>IFERROR(__xludf.DUMMYFUNCTION("""COMPUTED_VALUE"""),"四年級")</f>
        <v>四年級</v>
      </c>
      <c r="G3012" s="14" t="str">
        <f>IFERROR(__xludf.DUMMYFUNCTION("""COMPUTED_VALUE"""),"獎狀")</f>
        <v>獎狀</v>
      </c>
      <c r="H3012" s="8"/>
    </row>
    <row r="3013">
      <c r="A3013" s="18"/>
      <c r="B3013" s="14">
        <f>IFERROR(__xludf.DUMMYFUNCTION("""COMPUTED_VALUE"""),962492.0)</f>
        <v>962492</v>
      </c>
      <c r="C3013" s="14" t="str">
        <f>IFERROR(__xludf.DUMMYFUNCTION("""COMPUTED_VALUE"""),"邱可恩")</f>
        <v>邱可恩</v>
      </c>
      <c r="D3013" s="16" t="str">
        <f>IFERROR(__xludf.DUMMYFUNCTION("""COMPUTED_VALUE"""),"s01*****@mail.edu.tw")</f>
        <v>s01*****@mail.edu.tw</v>
      </c>
      <c r="E3013" s="17" t="str">
        <f>IFERROR(__xludf.DUMMYFUNCTION("""COMPUTED_VALUE"""),"南投縣國姓鄉乾峰國民小學")</f>
        <v>南投縣國姓鄉乾峰國民小學</v>
      </c>
      <c r="F3013" s="14" t="str">
        <f>IFERROR(__xludf.DUMMYFUNCTION("""COMPUTED_VALUE"""),"四年級")</f>
        <v>四年級</v>
      </c>
      <c r="G3013" s="14" t="str">
        <f>IFERROR(__xludf.DUMMYFUNCTION("""COMPUTED_VALUE"""),"獎狀")</f>
        <v>獎狀</v>
      </c>
      <c r="H3013" s="8"/>
    </row>
    <row r="3014">
      <c r="A3014" s="18"/>
      <c r="B3014" s="14">
        <f>IFERROR(__xludf.DUMMYFUNCTION("""COMPUTED_VALUE"""),942448.0)</f>
        <v>942448</v>
      </c>
      <c r="C3014" s="14" t="str">
        <f>IFERROR(__xludf.DUMMYFUNCTION("""COMPUTED_VALUE"""),"徐子瀚")</f>
        <v>徐子瀚</v>
      </c>
      <c r="D3014" s="16" t="str">
        <f>IFERROR(__xludf.DUMMYFUNCTION("""COMPUTED_VALUE"""),"s01*****@mail.edu.tw")</f>
        <v>s01*****@mail.edu.tw</v>
      </c>
      <c r="E3014" s="17" t="str">
        <f>IFERROR(__xludf.DUMMYFUNCTION("""COMPUTED_VALUE"""),"南投縣國姓鄉乾峰國民小學")</f>
        <v>南投縣國姓鄉乾峰國民小學</v>
      </c>
      <c r="F3014" s="14" t="str">
        <f>IFERROR(__xludf.DUMMYFUNCTION("""COMPUTED_VALUE"""),"四年級")</f>
        <v>四年級</v>
      </c>
      <c r="G3014" s="14" t="str">
        <f>IFERROR(__xludf.DUMMYFUNCTION("""COMPUTED_VALUE"""),"獎狀")</f>
        <v>獎狀</v>
      </c>
      <c r="H3014" s="8"/>
    </row>
    <row r="3015">
      <c r="A3015" s="18"/>
      <c r="B3015" s="14">
        <f>IFERROR(__xludf.DUMMYFUNCTION("""COMPUTED_VALUE"""),942857.0)</f>
        <v>942857</v>
      </c>
      <c r="C3015" s="14" t="str">
        <f>IFERROR(__xludf.DUMMYFUNCTION("""COMPUTED_VALUE"""),"廖庭悅")</f>
        <v>廖庭悅</v>
      </c>
      <c r="D3015" s="16" t="str">
        <f>IFERROR(__xludf.DUMMYFUNCTION("""COMPUTED_VALUE"""),"s01*****.ntct@mail.edu.tw")</f>
        <v>s01*****.ntct@mail.edu.tw</v>
      </c>
      <c r="E3015" s="17" t="str">
        <f>IFERROR(__xludf.DUMMYFUNCTION("""COMPUTED_VALUE"""),"南投縣國姓鄉乾峰國民小學")</f>
        <v>南投縣國姓鄉乾峰國民小學</v>
      </c>
      <c r="F3015" s="14" t="str">
        <f>IFERROR(__xludf.DUMMYFUNCTION("""COMPUTED_VALUE"""),"四年級")</f>
        <v>四年級</v>
      </c>
      <c r="G3015" s="14" t="str">
        <f>IFERROR(__xludf.DUMMYFUNCTION("""COMPUTED_VALUE"""),"獎狀")</f>
        <v>獎狀</v>
      </c>
      <c r="H3015" s="8"/>
    </row>
    <row r="3016">
      <c r="A3016" s="18"/>
      <c r="B3016" s="14">
        <f>IFERROR(__xludf.DUMMYFUNCTION("""COMPUTED_VALUE"""),942834.0)</f>
        <v>942834</v>
      </c>
      <c r="C3016" s="14" t="str">
        <f>IFERROR(__xludf.DUMMYFUNCTION("""COMPUTED_VALUE"""),"賴廖欣怡")</f>
        <v>賴廖欣怡</v>
      </c>
      <c r="D3016" s="16" t="str">
        <f>IFERROR(__xludf.DUMMYFUNCTION("""COMPUTED_VALUE"""),"s01*****.ntct@mail.edu.tw")</f>
        <v>s01*****.ntct@mail.edu.tw</v>
      </c>
      <c r="E3016" s="17" t="str">
        <f>IFERROR(__xludf.DUMMYFUNCTION("""COMPUTED_VALUE"""),"南投縣國姓鄉乾峰國民小學")</f>
        <v>南投縣國姓鄉乾峰國民小學</v>
      </c>
      <c r="F3016" s="14" t="str">
        <f>IFERROR(__xludf.DUMMYFUNCTION("""COMPUTED_VALUE"""),"四年級")</f>
        <v>四年級</v>
      </c>
      <c r="G3016" s="14" t="str">
        <f>IFERROR(__xludf.DUMMYFUNCTION("""COMPUTED_VALUE"""),"獎狀")</f>
        <v>獎狀</v>
      </c>
      <c r="H3016" s="8"/>
    </row>
    <row r="3017">
      <c r="A3017" s="18"/>
      <c r="B3017" s="14">
        <f>IFERROR(__xludf.DUMMYFUNCTION("""COMPUTED_VALUE"""),942855.0)</f>
        <v>942855</v>
      </c>
      <c r="C3017" s="14" t="str">
        <f>IFERROR(__xludf.DUMMYFUNCTION("""COMPUTED_VALUE"""),"賴震育")</f>
        <v>賴震育</v>
      </c>
      <c r="D3017" s="16" t="str">
        <f>IFERROR(__xludf.DUMMYFUNCTION("""COMPUTED_VALUE"""),"s01*****.ntct@mail.edu.tw")</f>
        <v>s01*****.ntct@mail.edu.tw</v>
      </c>
      <c r="E3017" s="17" t="str">
        <f>IFERROR(__xludf.DUMMYFUNCTION("""COMPUTED_VALUE"""),"南投縣國姓鄉乾峰國民小學")</f>
        <v>南投縣國姓鄉乾峰國民小學</v>
      </c>
      <c r="F3017" s="14" t="str">
        <f>IFERROR(__xludf.DUMMYFUNCTION("""COMPUTED_VALUE"""),"四年級")</f>
        <v>四年級</v>
      </c>
      <c r="G3017" s="14" t="str">
        <f>IFERROR(__xludf.DUMMYFUNCTION("""COMPUTED_VALUE"""),"獎狀")</f>
        <v>獎狀</v>
      </c>
      <c r="H3017" s="8"/>
    </row>
    <row r="3018">
      <c r="A3018" s="18"/>
      <c r="B3018" s="14">
        <f>IFERROR(__xludf.DUMMYFUNCTION("""COMPUTED_VALUE"""),949401.0)</f>
        <v>949401</v>
      </c>
      <c r="C3018" s="14" t="str">
        <f>IFERROR(__xludf.DUMMYFUNCTION("""COMPUTED_VALUE"""),"陳慶恆")</f>
        <v>陳慶恆</v>
      </c>
      <c r="D3018" s="16" t="str">
        <f>IFERROR(__xludf.DUMMYFUNCTION("""COMPUTED_VALUE"""),"s01*****@stu.nkps.ntct.edu.tw")</f>
        <v>s01*****@stu.nkps.ntct.edu.tw</v>
      </c>
      <c r="E3018" s="17" t="str">
        <f>IFERROR(__xludf.DUMMYFUNCTION("""COMPUTED_VALUE"""),"南投縣埔里鎮南光國民小學")</f>
        <v>南投縣埔里鎮南光國民小學</v>
      </c>
      <c r="F3018" s="14" t="str">
        <f>IFERROR(__xludf.DUMMYFUNCTION("""COMPUTED_VALUE"""),"四年級")</f>
        <v>四年級</v>
      </c>
      <c r="G3018" s="14" t="str">
        <f>IFERROR(__xludf.DUMMYFUNCTION("""COMPUTED_VALUE"""),"獎狀")</f>
        <v>獎狀</v>
      </c>
      <c r="H3018" s="8"/>
    </row>
    <row r="3019">
      <c r="A3019" s="18"/>
      <c r="B3019" s="14">
        <f>IFERROR(__xludf.DUMMYFUNCTION("""COMPUTED_VALUE"""),882346.0)</f>
        <v>882346</v>
      </c>
      <c r="C3019" s="14" t="str">
        <f>IFERROR(__xludf.DUMMYFUNCTION("""COMPUTED_VALUE"""),"李妍熙")</f>
        <v>李妍熙</v>
      </c>
      <c r="D3019" s="16" t="str">
        <f>IFERROR(__xludf.DUMMYFUNCTION("""COMPUTED_VALUE"""),"s01*****@mail.edu.tw")</f>
        <v>s01*****@mail.edu.tw</v>
      </c>
      <c r="E3019" s="17" t="str">
        <f>IFERROR(__xludf.DUMMYFUNCTION("""COMPUTED_VALUE"""),"南投縣埔里鎮水尾國民小學")</f>
        <v>南投縣埔里鎮水尾國民小學</v>
      </c>
      <c r="F3019" s="14" t="str">
        <f>IFERROR(__xludf.DUMMYFUNCTION("""COMPUTED_VALUE"""),"四年級")</f>
        <v>四年級</v>
      </c>
      <c r="G3019" s="14" t="str">
        <f>IFERROR(__xludf.DUMMYFUNCTION("""COMPUTED_VALUE"""),"●小禮物")</f>
        <v>●小禮物</v>
      </c>
      <c r="H3019" s="8"/>
    </row>
    <row r="3020">
      <c r="A3020" s="18"/>
      <c r="B3020" s="14">
        <f>IFERROR(__xludf.DUMMYFUNCTION("""COMPUTED_VALUE"""),882347.0)</f>
        <v>882347</v>
      </c>
      <c r="C3020" s="14" t="str">
        <f>IFERROR(__xludf.DUMMYFUNCTION("""COMPUTED_VALUE"""),"林子勍")</f>
        <v>林子勍</v>
      </c>
      <c r="D3020" s="16" t="str">
        <f>IFERROR(__xludf.DUMMYFUNCTION("""COMPUTED_VALUE"""),"s01*****@mail.edu.tw")</f>
        <v>s01*****@mail.edu.tw</v>
      </c>
      <c r="E3020" s="17" t="str">
        <f>IFERROR(__xludf.DUMMYFUNCTION("""COMPUTED_VALUE"""),"南投縣埔里鎮水尾國民小學")</f>
        <v>南投縣埔里鎮水尾國民小學</v>
      </c>
      <c r="F3020" s="14" t="str">
        <f>IFERROR(__xludf.DUMMYFUNCTION("""COMPUTED_VALUE"""),"四年級")</f>
        <v>四年級</v>
      </c>
      <c r="G3020" s="14" t="str">
        <f>IFERROR(__xludf.DUMMYFUNCTION("""COMPUTED_VALUE"""),"●小禮物")</f>
        <v>●小禮物</v>
      </c>
      <c r="H3020" s="8"/>
    </row>
    <row r="3021">
      <c r="A3021" s="18"/>
      <c r="B3021" s="14">
        <f>IFERROR(__xludf.DUMMYFUNCTION("""COMPUTED_VALUE"""),882344.0)</f>
        <v>882344</v>
      </c>
      <c r="C3021" s="14" t="str">
        <f>IFERROR(__xludf.DUMMYFUNCTION("""COMPUTED_VALUE"""),"徐偉翔")</f>
        <v>徐偉翔</v>
      </c>
      <c r="D3021" s="16" t="str">
        <f>IFERROR(__xludf.DUMMYFUNCTION("""COMPUTED_VALUE"""),"s01*****@mail.edu.tw")</f>
        <v>s01*****@mail.edu.tw</v>
      </c>
      <c r="E3021" s="17" t="str">
        <f>IFERROR(__xludf.DUMMYFUNCTION("""COMPUTED_VALUE"""),"南投縣埔里鎮水尾國民小學")</f>
        <v>南投縣埔里鎮水尾國民小學</v>
      </c>
      <c r="F3021" s="14" t="str">
        <f>IFERROR(__xludf.DUMMYFUNCTION("""COMPUTED_VALUE"""),"四年級")</f>
        <v>四年級</v>
      </c>
      <c r="G3021" s="14" t="str">
        <f>IFERROR(__xludf.DUMMYFUNCTION("""COMPUTED_VALUE"""),"●小禮物")</f>
        <v>●小禮物</v>
      </c>
      <c r="H3021" s="8"/>
    </row>
    <row r="3022">
      <c r="A3022" s="18"/>
      <c r="B3022" s="14">
        <f>IFERROR(__xludf.DUMMYFUNCTION("""COMPUTED_VALUE"""),873184.0)</f>
        <v>873184</v>
      </c>
      <c r="C3022" s="14" t="str">
        <f>IFERROR(__xludf.DUMMYFUNCTION("""COMPUTED_VALUE"""),"凌筱茵")</f>
        <v>凌筱茵</v>
      </c>
      <c r="D3022" s="16" t="str">
        <f>IFERROR(__xludf.DUMMYFUNCTION("""COMPUTED_VALUE"""),"s01*****@mail.edu.tw")</f>
        <v>s01*****@mail.edu.tw</v>
      </c>
      <c r="E3022" s="17" t="str">
        <f>IFERROR(__xludf.DUMMYFUNCTION("""COMPUTED_VALUE"""),"南投縣埔里鎮水尾國民小學")</f>
        <v>南投縣埔里鎮水尾國民小學</v>
      </c>
      <c r="F3022" s="14" t="str">
        <f>IFERROR(__xludf.DUMMYFUNCTION("""COMPUTED_VALUE"""),"四年級")</f>
        <v>四年級</v>
      </c>
      <c r="G3022" s="14" t="str">
        <f>IFERROR(__xludf.DUMMYFUNCTION("""COMPUTED_VALUE"""),"獎狀")</f>
        <v>獎狀</v>
      </c>
      <c r="H3022" s="8"/>
    </row>
    <row r="3023">
      <c r="A3023" s="18"/>
      <c r="B3023" s="14">
        <f>IFERROR(__xludf.DUMMYFUNCTION("""COMPUTED_VALUE"""),882341.0)</f>
        <v>882341</v>
      </c>
      <c r="C3023" s="14" t="str">
        <f>IFERROR(__xludf.DUMMYFUNCTION("""COMPUTED_VALUE"""),"徐方喆")</f>
        <v>徐方喆</v>
      </c>
      <c r="D3023" s="16" t="str">
        <f>IFERROR(__xludf.DUMMYFUNCTION("""COMPUTED_VALUE"""),"s01*****@mail.edu.tw")</f>
        <v>s01*****@mail.edu.tw</v>
      </c>
      <c r="E3023" s="17" t="str">
        <f>IFERROR(__xludf.DUMMYFUNCTION("""COMPUTED_VALUE"""),"南投縣埔里鎮水尾國民小學")</f>
        <v>南投縣埔里鎮水尾國民小學</v>
      </c>
      <c r="F3023" s="14" t="str">
        <f>IFERROR(__xludf.DUMMYFUNCTION("""COMPUTED_VALUE"""),"四年級")</f>
        <v>四年級</v>
      </c>
      <c r="G3023" s="14" t="str">
        <f>IFERROR(__xludf.DUMMYFUNCTION("""COMPUTED_VALUE"""),"獎狀")</f>
        <v>獎狀</v>
      </c>
      <c r="H3023" s="8"/>
    </row>
    <row r="3024">
      <c r="A3024" s="18"/>
      <c r="B3024" s="14">
        <f>IFERROR(__xludf.DUMMYFUNCTION("""COMPUTED_VALUE"""),882343.0)</f>
        <v>882343</v>
      </c>
      <c r="C3024" s="14" t="str">
        <f>IFERROR(__xludf.DUMMYFUNCTION("""COMPUTED_VALUE"""),"郭俊廷")</f>
        <v>郭俊廷</v>
      </c>
      <c r="D3024" s="16" t="str">
        <f>IFERROR(__xludf.DUMMYFUNCTION("""COMPUTED_VALUE"""),"s01*****@mail.edu.tw")</f>
        <v>s01*****@mail.edu.tw</v>
      </c>
      <c r="E3024" s="17" t="str">
        <f>IFERROR(__xludf.DUMMYFUNCTION("""COMPUTED_VALUE"""),"南投縣埔里鎮水尾國民小學")</f>
        <v>南投縣埔里鎮水尾國民小學</v>
      </c>
      <c r="F3024" s="14" t="str">
        <f>IFERROR(__xludf.DUMMYFUNCTION("""COMPUTED_VALUE"""),"四年級")</f>
        <v>四年級</v>
      </c>
      <c r="G3024" s="14" t="str">
        <f>IFERROR(__xludf.DUMMYFUNCTION("""COMPUTED_VALUE"""),"獎狀")</f>
        <v>獎狀</v>
      </c>
      <c r="H3024" s="8"/>
    </row>
    <row r="3025">
      <c r="A3025" s="18"/>
      <c r="B3025" s="14">
        <f>IFERROR(__xludf.DUMMYFUNCTION("""COMPUTED_VALUE"""),882342.0)</f>
        <v>882342</v>
      </c>
      <c r="C3025" s="14" t="str">
        <f>IFERROR(__xludf.DUMMYFUNCTION("""COMPUTED_VALUE"""),"曾依靚")</f>
        <v>曾依靚</v>
      </c>
      <c r="D3025" s="16" t="str">
        <f>IFERROR(__xludf.DUMMYFUNCTION("""COMPUTED_VALUE"""),"s01*****@mail.edu.tw")</f>
        <v>s01*****@mail.edu.tw</v>
      </c>
      <c r="E3025" s="17" t="str">
        <f>IFERROR(__xludf.DUMMYFUNCTION("""COMPUTED_VALUE"""),"南投縣埔里鎮水尾國民小學")</f>
        <v>南投縣埔里鎮水尾國民小學</v>
      </c>
      <c r="F3025" s="14" t="str">
        <f>IFERROR(__xludf.DUMMYFUNCTION("""COMPUTED_VALUE"""),"四年級")</f>
        <v>四年級</v>
      </c>
      <c r="G3025" s="14" t="str">
        <f>IFERROR(__xludf.DUMMYFUNCTION("""COMPUTED_VALUE"""),"獎狀")</f>
        <v>獎狀</v>
      </c>
      <c r="H3025" s="8"/>
    </row>
    <row r="3026">
      <c r="A3026" s="18"/>
      <c r="B3026" s="14">
        <f>IFERROR(__xludf.DUMMYFUNCTION("""COMPUTED_VALUE"""),882345.0)</f>
        <v>882345</v>
      </c>
      <c r="C3026" s="14" t="str">
        <f>IFERROR(__xludf.DUMMYFUNCTION("""COMPUTED_VALUE"""),"楊綱昊")</f>
        <v>楊綱昊</v>
      </c>
      <c r="D3026" s="16" t="str">
        <f>IFERROR(__xludf.DUMMYFUNCTION("""COMPUTED_VALUE"""),"s01*****@mail.edu.tw")</f>
        <v>s01*****@mail.edu.tw</v>
      </c>
      <c r="E3026" s="17" t="str">
        <f>IFERROR(__xludf.DUMMYFUNCTION("""COMPUTED_VALUE"""),"南投縣埔里鎮水尾國民小學")</f>
        <v>南投縣埔里鎮水尾國民小學</v>
      </c>
      <c r="F3026" s="14" t="str">
        <f>IFERROR(__xludf.DUMMYFUNCTION("""COMPUTED_VALUE"""),"四年級")</f>
        <v>四年級</v>
      </c>
      <c r="G3026" s="14" t="str">
        <f>IFERROR(__xludf.DUMMYFUNCTION("""COMPUTED_VALUE"""),"獎狀")</f>
        <v>獎狀</v>
      </c>
      <c r="H3026" s="8"/>
    </row>
    <row r="3027">
      <c r="A3027" s="18"/>
      <c r="B3027" s="14">
        <f>IFERROR(__xludf.DUMMYFUNCTION("""COMPUTED_VALUE"""),829369.0)</f>
        <v>829369</v>
      </c>
      <c r="C3027" s="14" t="str">
        <f>IFERROR(__xludf.DUMMYFUNCTION("""COMPUTED_VALUE"""),"李心言")</f>
        <v>李心言</v>
      </c>
      <c r="D3027" s="16" t="str">
        <f>IFERROR(__xludf.DUMMYFUNCTION("""COMPUTED_VALUE"""),"s01*****@mail.edu.tw")</f>
        <v>s01*****@mail.edu.tw</v>
      </c>
      <c r="E3027" s="17" t="str">
        <f>IFERROR(__xludf.DUMMYFUNCTION("""COMPUTED_VALUE"""),"南投縣埔里鎮水尾國民小學")</f>
        <v>南投縣埔里鎮水尾國民小學</v>
      </c>
      <c r="F3027" s="14" t="str">
        <f>IFERROR(__xludf.DUMMYFUNCTION("""COMPUTED_VALUE"""),"五年級")</f>
        <v>五年級</v>
      </c>
      <c r="G3027" s="14" t="str">
        <f>IFERROR(__xludf.DUMMYFUNCTION("""COMPUTED_VALUE"""),"獎狀")</f>
        <v>獎狀</v>
      </c>
      <c r="H3027" s="8"/>
    </row>
    <row r="3028">
      <c r="A3028" s="18"/>
      <c r="B3028" s="14">
        <f>IFERROR(__xludf.DUMMYFUNCTION("""COMPUTED_VALUE"""),582079.0)</f>
        <v>582079</v>
      </c>
      <c r="C3028" s="14" t="str">
        <f>IFERROR(__xludf.DUMMYFUNCTION("""COMPUTED_VALUE"""),"徐明毅")</f>
        <v>徐明毅</v>
      </c>
      <c r="D3028" s="16" t="str">
        <f>IFERROR(__xludf.DUMMYFUNCTION("""COMPUTED_VALUE"""),"s01*****@mail.edu.tw")</f>
        <v>s01*****@mail.edu.tw</v>
      </c>
      <c r="E3028" s="17" t="str">
        <f>IFERROR(__xludf.DUMMYFUNCTION("""COMPUTED_VALUE"""),"南投縣埔里鎮水尾國民小學")</f>
        <v>南投縣埔里鎮水尾國民小學</v>
      </c>
      <c r="F3028" s="14" t="str">
        <f>IFERROR(__xludf.DUMMYFUNCTION("""COMPUTED_VALUE"""),"六年級")</f>
        <v>六年級</v>
      </c>
      <c r="G3028" s="14" t="str">
        <f>IFERROR(__xludf.DUMMYFUNCTION("""COMPUTED_VALUE"""),"●小禮物")</f>
        <v>●小禮物</v>
      </c>
      <c r="H3028" s="8"/>
    </row>
    <row r="3029">
      <c r="A3029" s="18"/>
      <c r="B3029" s="14">
        <f>IFERROR(__xludf.DUMMYFUNCTION("""COMPUTED_VALUE"""),513198.0)</f>
        <v>513198</v>
      </c>
      <c r="C3029" s="14" t="str">
        <f>IFERROR(__xludf.DUMMYFUNCTION("""COMPUTED_VALUE"""),"陳絨郁")</f>
        <v>陳絨郁</v>
      </c>
      <c r="D3029" s="16" t="str">
        <f>IFERROR(__xludf.DUMMYFUNCTION("""COMPUTED_VALUE"""),"s01*****@mail.edu.tw")</f>
        <v>s01*****@mail.edu.tw</v>
      </c>
      <c r="E3029" s="17" t="str">
        <f>IFERROR(__xludf.DUMMYFUNCTION("""COMPUTED_VALUE"""),"南投縣埔里鎮水尾國民小學")</f>
        <v>南投縣埔里鎮水尾國民小學</v>
      </c>
      <c r="F3029" s="14" t="str">
        <f>IFERROR(__xludf.DUMMYFUNCTION("""COMPUTED_VALUE"""),"六年級")</f>
        <v>六年級</v>
      </c>
      <c r="G3029" s="14" t="str">
        <f>IFERROR(__xludf.DUMMYFUNCTION("""COMPUTED_VALUE"""),"●小禮物")</f>
        <v>●小禮物</v>
      </c>
      <c r="H3029" s="8"/>
    </row>
    <row r="3030">
      <c r="A3030" s="18"/>
      <c r="B3030" s="14">
        <f>IFERROR(__xludf.DUMMYFUNCTION("""COMPUTED_VALUE"""),513194.0)</f>
        <v>513194</v>
      </c>
      <c r="C3030" s="14" t="str">
        <f>IFERROR(__xludf.DUMMYFUNCTION("""COMPUTED_VALUE"""),"曾浩恩")</f>
        <v>曾浩恩</v>
      </c>
      <c r="D3030" s="16" t="str">
        <f>IFERROR(__xludf.DUMMYFUNCTION("""COMPUTED_VALUE"""),"s01*****@mail.edu.tw")</f>
        <v>s01*****@mail.edu.tw</v>
      </c>
      <c r="E3030" s="17" t="str">
        <f>IFERROR(__xludf.DUMMYFUNCTION("""COMPUTED_VALUE"""),"南投縣埔里鎮水尾國民小學")</f>
        <v>南投縣埔里鎮水尾國民小學</v>
      </c>
      <c r="F3030" s="14" t="str">
        <f>IFERROR(__xludf.DUMMYFUNCTION("""COMPUTED_VALUE"""),"六年級")</f>
        <v>六年級</v>
      </c>
      <c r="G3030" s="14" t="str">
        <f>IFERROR(__xludf.DUMMYFUNCTION("""COMPUTED_VALUE"""),"●小禮物")</f>
        <v>●小禮物</v>
      </c>
      <c r="H3030" s="8"/>
    </row>
    <row r="3031">
      <c r="A3031" s="18"/>
      <c r="B3031" s="14">
        <f>IFERROR(__xludf.DUMMYFUNCTION("""COMPUTED_VALUE"""),420781.0)</f>
        <v>420781</v>
      </c>
      <c r="C3031" s="14" t="str">
        <f>IFERROR(__xludf.DUMMYFUNCTION("""COMPUTED_VALUE"""),"凌弘哲")</f>
        <v>凌弘哲</v>
      </c>
      <c r="D3031" s="16" t="str">
        <f>IFERROR(__xludf.DUMMYFUNCTION("""COMPUTED_VALUE"""),"tc.*****5@mail.edu.tw")</f>
        <v>tc.*****5@mail.edu.tw</v>
      </c>
      <c r="E3031" s="17" t="str">
        <f>IFERROR(__xludf.DUMMYFUNCTION("""COMPUTED_VALUE"""),"南投縣埔里鎮水尾國民小學")</f>
        <v>南投縣埔里鎮水尾國民小學</v>
      </c>
      <c r="F3031" s="14" t="str">
        <f>IFERROR(__xludf.DUMMYFUNCTION("""COMPUTED_VALUE"""),"六年級")</f>
        <v>六年級</v>
      </c>
      <c r="G3031" s="14" t="str">
        <f>IFERROR(__xludf.DUMMYFUNCTION("""COMPUTED_VALUE"""),"獎狀")</f>
        <v>獎狀</v>
      </c>
      <c r="H3031" s="8"/>
    </row>
    <row r="3032">
      <c r="A3032" s="18"/>
      <c r="B3032" s="14">
        <f>IFERROR(__xludf.DUMMYFUNCTION("""COMPUTED_VALUE"""),513196.0)</f>
        <v>513196</v>
      </c>
      <c r="C3032" s="14" t="str">
        <f>IFERROR(__xludf.DUMMYFUNCTION("""COMPUTED_VALUE"""),"曹馨予")</f>
        <v>曹馨予</v>
      </c>
      <c r="D3032" s="16" t="str">
        <f>IFERROR(__xludf.DUMMYFUNCTION("""COMPUTED_VALUE"""),"s01*****@mail.edu.tw")</f>
        <v>s01*****@mail.edu.tw</v>
      </c>
      <c r="E3032" s="17" t="str">
        <f>IFERROR(__xludf.DUMMYFUNCTION("""COMPUTED_VALUE"""),"南投縣埔里鎮水尾國民小學")</f>
        <v>南投縣埔里鎮水尾國民小學</v>
      </c>
      <c r="F3032" s="14" t="str">
        <f>IFERROR(__xludf.DUMMYFUNCTION("""COMPUTED_VALUE"""),"六年級")</f>
        <v>六年級</v>
      </c>
      <c r="G3032" s="14" t="str">
        <f>IFERROR(__xludf.DUMMYFUNCTION("""COMPUTED_VALUE"""),"獎狀")</f>
        <v>獎狀</v>
      </c>
      <c r="H3032" s="8"/>
    </row>
    <row r="3033">
      <c r="A3033" s="18"/>
      <c r="B3033" s="14">
        <f>IFERROR(__xludf.DUMMYFUNCTION("""COMPUTED_VALUE"""),513197.0)</f>
        <v>513197</v>
      </c>
      <c r="C3033" s="14" t="str">
        <f>IFERROR(__xludf.DUMMYFUNCTION("""COMPUTED_VALUE"""),"陳如鈺")</f>
        <v>陳如鈺</v>
      </c>
      <c r="D3033" s="16" t="str">
        <f>IFERROR(__xludf.DUMMYFUNCTION("""COMPUTED_VALUE"""),"s01*****@mail.edu.tw")</f>
        <v>s01*****@mail.edu.tw</v>
      </c>
      <c r="E3033" s="17" t="str">
        <f>IFERROR(__xludf.DUMMYFUNCTION("""COMPUTED_VALUE"""),"南投縣埔里鎮水尾國民小學")</f>
        <v>南投縣埔里鎮水尾國民小學</v>
      </c>
      <c r="F3033" s="14" t="str">
        <f>IFERROR(__xludf.DUMMYFUNCTION("""COMPUTED_VALUE"""),"六年級")</f>
        <v>六年級</v>
      </c>
      <c r="G3033" s="14" t="str">
        <f>IFERROR(__xludf.DUMMYFUNCTION("""COMPUTED_VALUE"""),"獎狀")</f>
        <v>獎狀</v>
      </c>
      <c r="H3033" s="8"/>
    </row>
    <row r="3034">
      <c r="A3034" s="18"/>
      <c r="B3034" s="14">
        <f>IFERROR(__xludf.DUMMYFUNCTION("""COMPUTED_VALUE"""),513195.0)</f>
        <v>513195</v>
      </c>
      <c r="C3034" s="14" t="str">
        <f>IFERROR(__xludf.DUMMYFUNCTION("""COMPUTED_VALUE"""),"湯歆恩")</f>
        <v>湯歆恩</v>
      </c>
      <c r="D3034" s="16" t="str">
        <f>IFERROR(__xludf.DUMMYFUNCTION("""COMPUTED_VALUE"""),"s01*****@mail.edu.tw")</f>
        <v>s01*****@mail.edu.tw</v>
      </c>
      <c r="E3034" s="17" t="str">
        <f>IFERROR(__xludf.DUMMYFUNCTION("""COMPUTED_VALUE"""),"南投縣埔里鎮水尾國民小學")</f>
        <v>南投縣埔里鎮水尾國民小學</v>
      </c>
      <c r="F3034" s="14" t="str">
        <f>IFERROR(__xludf.DUMMYFUNCTION("""COMPUTED_VALUE"""),"六年級")</f>
        <v>六年級</v>
      </c>
      <c r="G3034" s="14" t="str">
        <f>IFERROR(__xludf.DUMMYFUNCTION("""COMPUTED_VALUE"""),"獎狀")</f>
        <v>獎狀</v>
      </c>
      <c r="H3034" s="8"/>
    </row>
    <row r="3035">
      <c r="A3035" s="18"/>
      <c r="B3035" s="14">
        <f>IFERROR(__xludf.DUMMYFUNCTION("""COMPUTED_VALUE"""),707363.0)</f>
        <v>707363</v>
      </c>
      <c r="C3035" s="14" t="str">
        <f>IFERROR(__xludf.DUMMYFUNCTION("""COMPUTED_VALUE"""),"柯妤璇")</f>
        <v>柯妤璇</v>
      </c>
      <c r="D3035" s="16" t="str">
        <f>IFERROR(__xludf.DUMMYFUNCTION("""COMPUTED_VALUE"""),"s01*****@go.edu.tw")</f>
        <v>s01*****@go.edu.tw</v>
      </c>
      <c r="E3035" s="17" t="str">
        <f>IFERROR(__xludf.DUMMYFUNCTION("""COMPUTED_VALUE"""),"南投縣埔里鎮太平國民小學")</f>
        <v>南投縣埔里鎮太平國民小學</v>
      </c>
      <c r="F3035" s="14" t="str">
        <f>IFERROR(__xludf.DUMMYFUNCTION("""COMPUTED_VALUE"""),"五年級")</f>
        <v>五年級</v>
      </c>
      <c r="G3035" s="14" t="str">
        <f>IFERROR(__xludf.DUMMYFUNCTION("""COMPUTED_VALUE"""),"●小禮物")</f>
        <v>●小禮物</v>
      </c>
      <c r="H3035" s="8"/>
    </row>
    <row r="3036">
      <c r="A3036" s="18"/>
      <c r="B3036" s="14">
        <f>IFERROR(__xludf.DUMMYFUNCTION("""COMPUTED_VALUE"""),861845.0)</f>
        <v>861845</v>
      </c>
      <c r="C3036" s="14" t="str">
        <f>IFERROR(__xludf.DUMMYFUNCTION("""COMPUTED_VALUE"""),"王嘉霖")</f>
        <v>王嘉霖</v>
      </c>
      <c r="D3036" s="16" t="str">
        <f>IFERROR(__xludf.DUMMYFUNCTION("""COMPUTED_VALUE"""),"106*****les.ntct.edu.tw")</f>
        <v>106*****les.ntct.edu.tw</v>
      </c>
      <c r="E3036" s="17" t="str">
        <f>IFERROR(__xludf.DUMMYFUNCTION("""COMPUTED_VALUE"""),"南投縣埔里鎮埔里國民小學")</f>
        <v>南投縣埔里鎮埔里國民小學</v>
      </c>
      <c r="F3036" s="14" t="str">
        <f>IFERROR(__xludf.DUMMYFUNCTION("""COMPUTED_VALUE"""),"六年級")</f>
        <v>六年級</v>
      </c>
      <c r="G3036" s="14" t="str">
        <f>IFERROR(__xludf.DUMMYFUNCTION("""COMPUTED_VALUE"""),"●小禮物")</f>
        <v>●小禮物</v>
      </c>
      <c r="H3036" s="8"/>
    </row>
    <row r="3037">
      <c r="A3037" s="18"/>
      <c r="B3037" s="14">
        <f>IFERROR(__xludf.DUMMYFUNCTION("""COMPUTED_VALUE"""),861842.0)</f>
        <v>861842</v>
      </c>
      <c r="C3037" s="14" t="str">
        <f>IFERROR(__xludf.DUMMYFUNCTION("""COMPUTED_VALUE"""),"李恩妤")</f>
        <v>李恩妤</v>
      </c>
      <c r="D3037" s="16" t="str">
        <f>IFERROR(__xludf.DUMMYFUNCTION("""COMPUTED_VALUE"""),"106*****les.ntct.edu.tw")</f>
        <v>106*****les.ntct.edu.tw</v>
      </c>
      <c r="E3037" s="17" t="str">
        <f>IFERROR(__xludf.DUMMYFUNCTION("""COMPUTED_VALUE"""),"南投縣埔里鎮埔里國民小學")</f>
        <v>南投縣埔里鎮埔里國民小學</v>
      </c>
      <c r="F3037" s="14" t="str">
        <f>IFERROR(__xludf.DUMMYFUNCTION("""COMPUTED_VALUE"""),"六年級")</f>
        <v>六年級</v>
      </c>
      <c r="G3037" s="14" t="str">
        <f>IFERROR(__xludf.DUMMYFUNCTION("""COMPUTED_VALUE"""),"●小禮物")</f>
        <v>●小禮物</v>
      </c>
      <c r="H3037" s="8"/>
    </row>
    <row r="3038">
      <c r="A3038" s="18"/>
      <c r="B3038" s="14">
        <f>IFERROR(__xludf.DUMMYFUNCTION("""COMPUTED_VALUE"""),861837.0)</f>
        <v>861837</v>
      </c>
      <c r="C3038" s="14" t="str">
        <f>IFERROR(__xludf.DUMMYFUNCTION("""COMPUTED_VALUE"""),"周妤欣")</f>
        <v>周妤欣</v>
      </c>
      <c r="D3038" s="16" t="str">
        <f>IFERROR(__xludf.DUMMYFUNCTION("""COMPUTED_VALUE"""),"106*****les.ntct.edu.tw")</f>
        <v>106*****les.ntct.edu.tw</v>
      </c>
      <c r="E3038" s="17" t="str">
        <f>IFERROR(__xludf.DUMMYFUNCTION("""COMPUTED_VALUE"""),"南投縣埔里鎮埔里國民小學")</f>
        <v>南投縣埔里鎮埔里國民小學</v>
      </c>
      <c r="F3038" s="14" t="str">
        <f>IFERROR(__xludf.DUMMYFUNCTION("""COMPUTED_VALUE"""),"六年級")</f>
        <v>六年級</v>
      </c>
      <c r="G3038" s="14" t="str">
        <f>IFERROR(__xludf.DUMMYFUNCTION("""COMPUTED_VALUE"""),"●小禮物")</f>
        <v>●小禮物</v>
      </c>
      <c r="H3038" s="8"/>
    </row>
    <row r="3039">
      <c r="A3039" s="18"/>
      <c r="B3039" s="14">
        <f>IFERROR(__xludf.DUMMYFUNCTION("""COMPUTED_VALUE"""),861839.0)</f>
        <v>861839</v>
      </c>
      <c r="C3039" s="14" t="str">
        <f>IFERROR(__xludf.DUMMYFUNCTION("""COMPUTED_VALUE"""),"林歆倪")</f>
        <v>林歆倪</v>
      </c>
      <c r="D3039" s="16" t="str">
        <f>IFERROR(__xludf.DUMMYFUNCTION("""COMPUTED_VALUE"""),"106*****les.ntct.edu.tw")</f>
        <v>106*****les.ntct.edu.tw</v>
      </c>
      <c r="E3039" s="17" t="str">
        <f>IFERROR(__xludf.DUMMYFUNCTION("""COMPUTED_VALUE"""),"南投縣埔里鎮埔里國民小學")</f>
        <v>南投縣埔里鎮埔里國民小學</v>
      </c>
      <c r="F3039" s="14" t="str">
        <f>IFERROR(__xludf.DUMMYFUNCTION("""COMPUTED_VALUE"""),"六年級")</f>
        <v>六年級</v>
      </c>
      <c r="G3039" s="14" t="str">
        <f>IFERROR(__xludf.DUMMYFUNCTION("""COMPUTED_VALUE"""),"●小禮物")</f>
        <v>●小禮物</v>
      </c>
      <c r="H3039" s="8"/>
    </row>
    <row r="3040">
      <c r="A3040" s="18"/>
      <c r="B3040" s="14">
        <f>IFERROR(__xludf.DUMMYFUNCTION("""COMPUTED_VALUE"""),861844.0)</f>
        <v>861844</v>
      </c>
      <c r="C3040" s="14" t="str">
        <f>IFERROR(__xludf.DUMMYFUNCTION("""COMPUTED_VALUE"""),"徐子娗")</f>
        <v>徐子娗</v>
      </c>
      <c r="D3040" s="16" t="str">
        <f>IFERROR(__xludf.DUMMYFUNCTION("""COMPUTED_VALUE"""),"106*****les.ntct.edu.tw")</f>
        <v>106*****les.ntct.edu.tw</v>
      </c>
      <c r="E3040" s="17" t="str">
        <f>IFERROR(__xludf.DUMMYFUNCTION("""COMPUTED_VALUE"""),"南投縣埔里鎮埔里國民小學")</f>
        <v>南投縣埔里鎮埔里國民小學</v>
      </c>
      <c r="F3040" s="14" t="str">
        <f>IFERROR(__xludf.DUMMYFUNCTION("""COMPUTED_VALUE"""),"六年級")</f>
        <v>六年級</v>
      </c>
      <c r="G3040" s="14" t="str">
        <f>IFERROR(__xludf.DUMMYFUNCTION("""COMPUTED_VALUE"""),"●小禮物")</f>
        <v>●小禮物</v>
      </c>
      <c r="H3040" s="8"/>
    </row>
    <row r="3041">
      <c r="A3041" s="18"/>
      <c r="B3041" s="14">
        <f>IFERROR(__xludf.DUMMYFUNCTION("""COMPUTED_VALUE"""),861847.0)</f>
        <v>861847</v>
      </c>
      <c r="C3041" s="14" t="str">
        <f>IFERROR(__xludf.DUMMYFUNCTION("""COMPUTED_VALUE"""),"張斐婷")</f>
        <v>張斐婷</v>
      </c>
      <c r="D3041" s="16" t="str">
        <f>IFERROR(__xludf.DUMMYFUNCTION("""COMPUTED_VALUE"""),"106*****les.ntct.edu.tw")</f>
        <v>106*****les.ntct.edu.tw</v>
      </c>
      <c r="E3041" s="17" t="str">
        <f>IFERROR(__xludf.DUMMYFUNCTION("""COMPUTED_VALUE"""),"南投縣埔里鎮埔里國民小學")</f>
        <v>南投縣埔里鎮埔里國民小學</v>
      </c>
      <c r="F3041" s="14" t="str">
        <f>IFERROR(__xludf.DUMMYFUNCTION("""COMPUTED_VALUE"""),"六年級")</f>
        <v>六年級</v>
      </c>
      <c r="G3041" s="14" t="str">
        <f>IFERROR(__xludf.DUMMYFUNCTION("""COMPUTED_VALUE"""),"●小禮物")</f>
        <v>●小禮物</v>
      </c>
      <c r="H3041" s="8"/>
    </row>
    <row r="3042">
      <c r="A3042" s="18"/>
      <c r="B3042" s="14">
        <f>IFERROR(__xludf.DUMMYFUNCTION("""COMPUTED_VALUE"""),861846.0)</f>
        <v>861846</v>
      </c>
      <c r="C3042" s="14" t="str">
        <f>IFERROR(__xludf.DUMMYFUNCTION("""COMPUTED_VALUE"""),"梁以馨")</f>
        <v>梁以馨</v>
      </c>
      <c r="D3042" s="16" t="str">
        <f>IFERROR(__xludf.DUMMYFUNCTION("""COMPUTED_VALUE"""),"106*****les.ntct.edu.tw")</f>
        <v>106*****les.ntct.edu.tw</v>
      </c>
      <c r="E3042" s="17" t="str">
        <f>IFERROR(__xludf.DUMMYFUNCTION("""COMPUTED_VALUE"""),"南投縣埔里鎮埔里國民小學")</f>
        <v>南投縣埔里鎮埔里國民小學</v>
      </c>
      <c r="F3042" s="14" t="str">
        <f>IFERROR(__xludf.DUMMYFUNCTION("""COMPUTED_VALUE"""),"六年級")</f>
        <v>六年級</v>
      </c>
      <c r="G3042" s="14" t="str">
        <f>IFERROR(__xludf.DUMMYFUNCTION("""COMPUTED_VALUE"""),"●小禮物")</f>
        <v>●小禮物</v>
      </c>
      <c r="H3042" s="8"/>
    </row>
    <row r="3043">
      <c r="A3043" s="18"/>
      <c r="B3043" s="14">
        <f>IFERROR(__xludf.DUMMYFUNCTION("""COMPUTED_VALUE"""),861857.0)</f>
        <v>861857</v>
      </c>
      <c r="C3043" s="14" t="str">
        <f>IFERROR(__xludf.DUMMYFUNCTION("""COMPUTED_VALUE"""),"陳喜恩")</f>
        <v>陳喜恩</v>
      </c>
      <c r="D3043" s="16" t="str">
        <f>IFERROR(__xludf.DUMMYFUNCTION("""COMPUTED_VALUE"""),"106*****les.ntct.edu.tw")</f>
        <v>106*****les.ntct.edu.tw</v>
      </c>
      <c r="E3043" s="17" t="str">
        <f>IFERROR(__xludf.DUMMYFUNCTION("""COMPUTED_VALUE"""),"南投縣埔里鎮埔里國民小學")</f>
        <v>南投縣埔里鎮埔里國民小學</v>
      </c>
      <c r="F3043" s="14" t="str">
        <f>IFERROR(__xludf.DUMMYFUNCTION("""COMPUTED_VALUE"""),"六年級")</f>
        <v>六年級</v>
      </c>
      <c r="G3043" s="14" t="str">
        <f>IFERROR(__xludf.DUMMYFUNCTION("""COMPUTED_VALUE"""),"●小禮物")</f>
        <v>●小禮物</v>
      </c>
      <c r="H3043" s="8"/>
    </row>
    <row r="3044">
      <c r="A3044" s="18"/>
      <c r="B3044" s="14">
        <f>IFERROR(__xludf.DUMMYFUNCTION("""COMPUTED_VALUE"""),861843.0)</f>
        <v>861843</v>
      </c>
      <c r="C3044" s="14" t="str">
        <f>IFERROR(__xludf.DUMMYFUNCTION("""COMPUTED_VALUE"""),"黃子紘")</f>
        <v>黃子紘</v>
      </c>
      <c r="D3044" s="16" t="str">
        <f>IFERROR(__xludf.DUMMYFUNCTION("""COMPUTED_VALUE"""),"106*****les.ntct.edu.tw")</f>
        <v>106*****les.ntct.edu.tw</v>
      </c>
      <c r="E3044" s="17" t="str">
        <f>IFERROR(__xludf.DUMMYFUNCTION("""COMPUTED_VALUE"""),"南投縣埔里鎮埔里國民小學")</f>
        <v>南投縣埔里鎮埔里國民小學</v>
      </c>
      <c r="F3044" s="14" t="str">
        <f>IFERROR(__xludf.DUMMYFUNCTION("""COMPUTED_VALUE"""),"六年級")</f>
        <v>六年級</v>
      </c>
      <c r="G3044" s="14" t="str">
        <f>IFERROR(__xludf.DUMMYFUNCTION("""COMPUTED_VALUE"""),"●小禮物")</f>
        <v>●小禮物</v>
      </c>
      <c r="H3044" s="8"/>
    </row>
    <row r="3045">
      <c r="A3045" s="18"/>
      <c r="B3045" s="14">
        <f>IFERROR(__xludf.DUMMYFUNCTION("""COMPUTED_VALUE"""),861840.0)</f>
        <v>861840</v>
      </c>
      <c r="C3045" s="14" t="str">
        <f>IFERROR(__xludf.DUMMYFUNCTION("""COMPUTED_VALUE"""),"塗立丞")</f>
        <v>塗立丞</v>
      </c>
      <c r="D3045" s="16" t="str">
        <f>IFERROR(__xludf.DUMMYFUNCTION("""COMPUTED_VALUE"""),"106*****les.ntct.edu.tw")</f>
        <v>106*****les.ntct.edu.tw</v>
      </c>
      <c r="E3045" s="17" t="str">
        <f>IFERROR(__xludf.DUMMYFUNCTION("""COMPUTED_VALUE"""),"南投縣埔里鎮埔里國民小學")</f>
        <v>南投縣埔里鎮埔里國民小學</v>
      </c>
      <c r="F3045" s="14" t="str">
        <f>IFERROR(__xludf.DUMMYFUNCTION("""COMPUTED_VALUE"""),"六年級")</f>
        <v>六年級</v>
      </c>
      <c r="G3045" s="14" t="str">
        <f>IFERROR(__xludf.DUMMYFUNCTION("""COMPUTED_VALUE"""),"●小禮物")</f>
        <v>●小禮物</v>
      </c>
      <c r="H3045" s="8"/>
    </row>
    <row r="3046">
      <c r="A3046" s="18"/>
      <c r="B3046" s="14">
        <f>IFERROR(__xludf.DUMMYFUNCTION("""COMPUTED_VALUE"""),861851.0)</f>
        <v>861851</v>
      </c>
      <c r="C3046" s="14" t="str">
        <f>IFERROR(__xludf.DUMMYFUNCTION("""COMPUTED_VALUE"""),"蘇虹云")</f>
        <v>蘇虹云</v>
      </c>
      <c r="D3046" s="16" t="str">
        <f>IFERROR(__xludf.DUMMYFUNCTION("""COMPUTED_VALUE"""),"106*****les.ntct.edu.tw")</f>
        <v>106*****les.ntct.edu.tw</v>
      </c>
      <c r="E3046" s="17" t="str">
        <f>IFERROR(__xludf.DUMMYFUNCTION("""COMPUTED_VALUE"""),"南投縣埔里鎮埔里國民小學")</f>
        <v>南投縣埔里鎮埔里國民小學</v>
      </c>
      <c r="F3046" s="14" t="str">
        <f>IFERROR(__xludf.DUMMYFUNCTION("""COMPUTED_VALUE"""),"六年級")</f>
        <v>六年級</v>
      </c>
      <c r="G3046" s="14" t="str">
        <f>IFERROR(__xludf.DUMMYFUNCTION("""COMPUTED_VALUE"""),"●小禮物")</f>
        <v>●小禮物</v>
      </c>
      <c r="H3046" s="8"/>
    </row>
    <row r="3047">
      <c r="A3047" s="18"/>
      <c r="B3047" s="14">
        <f>IFERROR(__xludf.DUMMYFUNCTION("""COMPUTED_VALUE"""),862224.0)</f>
        <v>862224</v>
      </c>
      <c r="C3047" s="14" t="str">
        <f>IFERROR(__xludf.DUMMYFUNCTION("""COMPUTED_VALUE"""),"劉洧銨")</f>
        <v>劉洧銨</v>
      </c>
      <c r="D3047" s="16" t="str">
        <f>IFERROR(__xludf.DUMMYFUNCTION("""COMPUTED_VALUE"""),"106*****les.ntct.edu.tw")</f>
        <v>106*****les.ntct.edu.tw</v>
      </c>
      <c r="E3047" s="17" t="str">
        <f>IFERROR(__xludf.DUMMYFUNCTION("""COMPUTED_VALUE"""),"南投縣埔里鎮埔里國民小學")</f>
        <v>南投縣埔里鎮埔里國民小學</v>
      </c>
      <c r="F3047" s="14" t="str">
        <f>IFERROR(__xludf.DUMMYFUNCTION("""COMPUTED_VALUE"""),"六年級")</f>
        <v>六年級</v>
      </c>
      <c r="G3047" s="14" t="str">
        <f>IFERROR(__xludf.DUMMYFUNCTION("""COMPUTED_VALUE"""),"★禮券$200")</f>
        <v>★禮券$200</v>
      </c>
      <c r="H3047" s="8"/>
    </row>
    <row r="3048">
      <c r="A3048" s="18"/>
      <c r="B3048" s="14">
        <f>IFERROR(__xludf.DUMMYFUNCTION("""COMPUTED_VALUE"""),861852.0)</f>
        <v>861852</v>
      </c>
      <c r="C3048" s="14" t="str">
        <f>IFERROR(__xludf.DUMMYFUNCTION("""COMPUTED_VALUE"""),"巫睿恩")</f>
        <v>巫睿恩</v>
      </c>
      <c r="D3048" s="16" t="str">
        <f>IFERROR(__xludf.DUMMYFUNCTION("""COMPUTED_VALUE"""),"106*****les.ntct.edu.tw")</f>
        <v>106*****les.ntct.edu.tw</v>
      </c>
      <c r="E3048" s="17" t="str">
        <f>IFERROR(__xludf.DUMMYFUNCTION("""COMPUTED_VALUE"""),"南投縣埔里鎮埔里國民小學")</f>
        <v>南投縣埔里鎮埔里國民小學</v>
      </c>
      <c r="F3048" s="14" t="str">
        <f>IFERROR(__xludf.DUMMYFUNCTION("""COMPUTED_VALUE"""),"六年級")</f>
        <v>六年級</v>
      </c>
      <c r="G3048" s="14" t="str">
        <f>IFERROR(__xludf.DUMMYFUNCTION("""COMPUTED_VALUE"""),"獎狀")</f>
        <v>獎狀</v>
      </c>
      <c r="H3048" s="8"/>
    </row>
    <row r="3049">
      <c r="A3049" s="18"/>
      <c r="B3049" s="14">
        <f>IFERROR(__xludf.DUMMYFUNCTION("""COMPUTED_VALUE"""),861849.0)</f>
        <v>861849</v>
      </c>
      <c r="C3049" s="14" t="str">
        <f>IFERROR(__xludf.DUMMYFUNCTION("""COMPUTED_VALUE"""),"洪裕恩")</f>
        <v>洪裕恩</v>
      </c>
      <c r="D3049" s="16" t="str">
        <f>IFERROR(__xludf.DUMMYFUNCTION("""COMPUTED_VALUE"""),"106*****les.ntct.edu.tw")</f>
        <v>106*****les.ntct.edu.tw</v>
      </c>
      <c r="E3049" s="17" t="str">
        <f>IFERROR(__xludf.DUMMYFUNCTION("""COMPUTED_VALUE"""),"南投縣埔里鎮埔里國民小學")</f>
        <v>南投縣埔里鎮埔里國民小學</v>
      </c>
      <c r="F3049" s="14" t="str">
        <f>IFERROR(__xludf.DUMMYFUNCTION("""COMPUTED_VALUE"""),"六年級")</f>
        <v>六年級</v>
      </c>
      <c r="G3049" s="14" t="str">
        <f>IFERROR(__xludf.DUMMYFUNCTION("""COMPUTED_VALUE"""),"獎狀")</f>
        <v>獎狀</v>
      </c>
      <c r="H3049" s="8"/>
    </row>
    <row r="3050">
      <c r="A3050" s="18"/>
      <c r="B3050" s="14">
        <f>IFERROR(__xludf.DUMMYFUNCTION("""COMPUTED_VALUE"""),862225.0)</f>
        <v>862225</v>
      </c>
      <c r="C3050" s="14" t="str">
        <f>IFERROR(__xludf.DUMMYFUNCTION("""COMPUTED_VALUE"""),"曼妮．石卡達華度")</f>
        <v>曼妮．石卡達華度</v>
      </c>
      <c r="D3050" s="16" t="str">
        <f>IFERROR(__xludf.DUMMYFUNCTION("""COMPUTED_VALUE"""),"106*****les.ntct.edu.tw")</f>
        <v>106*****les.ntct.edu.tw</v>
      </c>
      <c r="E3050" s="17" t="str">
        <f>IFERROR(__xludf.DUMMYFUNCTION("""COMPUTED_VALUE"""),"南投縣埔里鎮埔里國民小學")</f>
        <v>南投縣埔里鎮埔里國民小學</v>
      </c>
      <c r="F3050" s="14" t="str">
        <f>IFERROR(__xludf.DUMMYFUNCTION("""COMPUTED_VALUE"""),"六年級")</f>
        <v>六年級</v>
      </c>
      <c r="G3050" s="14" t="str">
        <f>IFERROR(__xludf.DUMMYFUNCTION("""COMPUTED_VALUE"""),"獎狀")</f>
        <v>獎狀</v>
      </c>
      <c r="H3050" s="8"/>
    </row>
    <row r="3051">
      <c r="A3051" s="18"/>
      <c r="B3051" s="14">
        <f>IFERROR(__xludf.DUMMYFUNCTION("""COMPUTED_VALUE"""),861841.0)</f>
        <v>861841</v>
      </c>
      <c r="C3051" s="14" t="str">
        <f>IFERROR(__xludf.DUMMYFUNCTION("""COMPUTED_VALUE"""),"梁書毓")</f>
        <v>梁書毓</v>
      </c>
      <c r="D3051" s="16" t="str">
        <f>IFERROR(__xludf.DUMMYFUNCTION("""COMPUTED_VALUE"""),"106*****les.ntct.edu.tw")</f>
        <v>106*****les.ntct.edu.tw</v>
      </c>
      <c r="E3051" s="17" t="str">
        <f>IFERROR(__xludf.DUMMYFUNCTION("""COMPUTED_VALUE"""),"南投縣埔里鎮埔里國民小學")</f>
        <v>南投縣埔里鎮埔里國民小學</v>
      </c>
      <c r="F3051" s="14" t="str">
        <f>IFERROR(__xludf.DUMMYFUNCTION("""COMPUTED_VALUE"""),"六年級")</f>
        <v>六年級</v>
      </c>
      <c r="G3051" s="14" t="str">
        <f>IFERROR(__xludf.DUMMYFUNCTION("""COMPUTED_VALUE"""),"獎狀")</f>
        <v>獎狀</v>
      </c>
      <c r="H3051" s="8"/>
    </row>
    <row r="3052">
      <c r="A3052" s="18"/>
      <c r="B3052" s="14">
        <f>IFERROR(__xludf.DUMMYFUNCTION("""COMPUTED_VALUE"""),861848.0)</f>
        <v>861848</v>
      </c>
      <c r="C3052" s="14" t="str">
        <f>IFERROR(__xludf.DUMMYFUNCTION("""COMPUTED_VALUE"""),"許品安")</f>
        <v>許品安</v>
      </c>
      <c r="D3052" s="16" t="str">
        <f>IFERROR(__xludf.DUMMYFUNCTION("""COMPUTED_VALUE"""),"106*****les.ntct.edu.tw")</f>
        <v>106*****les.ntct.edu.tw</v>
      </c>
      <c r="E3052" s="17" t="str">
        <f>IFERROR(__xludf.DUMMYFUNCTION("""COMPUTED_VALUE"""),"南投縣埔里鎮埔里國民小學")</f>
        <v>南投縣埔里鎮埔里國民小學</v>
      </c>
      <c r="F3052" s="14" t="str">
        <f>IFERROR(__xludf.DUMMYFUNCTION("""COMPUTED_VALUE"""),"六年級")</f>
        <v>六年級</v>
      </c>
      <c r="G3052" s="14" t="str">
        <f>IFERROR(__xludf.DUMMYFUNCTION("""COMPUTED_VALUE"""),"獎狀")</f>
        <v>獎狀</v>
      </c>
      <c r="H3052" s="8"/>
    </row>
    <row r="3053">
      <c r="A3053" s="18"/>
      <c r="B3053" s="14">
        <f>IFERROR(__xludf.DUMMYFUNCTION("""COMPUTED_VALUE"""),861838.0)</f>
        <v>861838</v>
      </c>
      <c r="C3053" s="14" t="str">
        <f>IFERROR(__xludf.DUMMYFUNCTION("""COMPUTED_VALUE"""),"陳靖雯")</f>
        <v>陳靖雯</v>
      </c>
      <c r="D3053" s="16" t="str">
        <f>IFERROR(__xludf.DUMMYFUNCTION("""COMPUTED_VALUE"""),"106*****les.ntct.edu.tw")</f>
        <v>106*****les.ntct.edu.tw</v>
      </c>
      <c r="E3053" s="17" t="str">
        <f>IFERROR(__xludf.DUMMYFUNCTION("""COMPUTED_VALUE"""),"南投縣埔里鎮埔里國民小學")</f>
        <v>南投縣埔里鎮埔里國民小學</v>
      </c>
      <c r="F3053" s="14" t="str">
        <f>IFERROR(__xludf.DUMMYFUNCTION("""COMPUTED_VALUE"""),"六年級")</f>
        <v>六年級</v>
      </c>
      <c r="G3053" s="14" t="str">
        <f>IFERROR(__xludf.DUMMYFUNCTION("""COMPUTED_VALUE"""),"獎狀")</f>
        <v>獎狀</v>
      </c>
      <c r="H3053" s="8"/>
    </row>
    <row r="3054">
      <c r="A3054" s="18"/>
      <c r="B3054" s="14">
        <f>IFERROR(__xludf.DUMMYFUNCTION("""COMPUTED_VALUE"""),861850.0)</f>
        <v>861850</v>
      </c>
      <c r="C3054" s="14" t="str">
        <f>IFERROR(__xludf.DUMMYFUNCTION("""COMPUTED_VALUE"""),"黃子權")</f>
        <v>黃子權</v>
      </c>
      <c r="D3054" s="16" t="str">
        <f>IFERROR(__xludf.DUMMYFUNCTION("""COMPUTED_VALUE"""),"106*****les.ntct.edu.tw")</f>
        <v>106*****les.ntct.edu.tw</v>
      </c>
      <c r="E3054" s="17" t="str">
        <f>IFERROR(__xludf.DUMMYFUNCTION("""COMPUTED_VALUE"""),"南投縣埔里鎮埔里國民小學")</f>
        <v>南投縣埔里鎮埔里國民小學</v>
      </c>
      <c r="F3054" s="14" t="str">
        <f>IFERROR(__xludf.DUMMYFUNCTION("""COMPUTED_VALUE"""),"六年級")</f>
        <v>六年級</v>
      </c>
      <c r="G3054" s="14" t="str">
        <f>IFERROR(__xludf.DUMMYFUNCTION("""COMPUTED_VALUE"""),"獎狀")</f>
        <v>獎狀</v>
      </c>
      <c r="H3054" s="8"/>
    </row>
    <row r="3055">
      <c r="A3055" s="18"/>
      <c r="B3055" s="14">
        <f>IFERROR(__xludf.DUMMYFUNCTION("""COMPUTED_VALUE"""),861853.0)</f>
        <v>861853</v>
      </c>
      <c r="C3055" s="14" t="str">
        <f>IFERROR(__xludf.DUMMYFUNCTION("""COMPUTED_VALUE"""),"黃亮中")</f>
        <v>黃亮中</v>
      </c>
      <c r="D3055" s="16" t="str">
        <f>IFERROR(__xludf.DUMMYFUNCTION("""COMPUTED_VALUE"""),"106*****les.ntct.edu.tw")</f>
        <v>106*****les.ntct.edu.tw</v>
      </c>
      <c r="E3055" s="17" t="str">
        <f>IFERROR(__xludf.DUMMYFUNCTION("""COMPUTED_VALUE"""),"南投縣埔里鎮埔里國民小學")</f>
        <v>南投縣埔里鎮埔里國民小學</v>
      </c>
      <c r="F3055" s="14" t="str">
        <f>IFERROR(__xludf.DUMMYFUNCTION("""COMPUTED_VALUE"""),"六年級")</f>
        <v>六年級</v>
      </c>
      <c r="G3055" s="14" t="str">
        <f>IFERROR(__xludf.DUMMYFUNCTION("""COMPUTED_VALUE"""),"獎狀")</f>
        <v>獎狀</v>
      </c>
      <c r="H3055" s="8"/>
    </row>
    <row r="3056">
      <c r="A3056" s="18"/>
      <c r="B3056" s="14">
        <f>IFERROR(__xludf.DUMMYFUNCTION("""COMPUTED_VALUE"""),861860.0)</f>
        <v>861860</v>
      </c>
      <c r="C3056" s="14" t="str">
        <f>IFERROR(__xludf.DUMMYFUNCTION("""COMPUTED_VALUE"""),"劉子奇")</f>
        <v>劉子奇</v>
      </c>
      <c r="D3056" s="16" t="str">
        <f>IFERROR(__xludf.DUMMYFUNCTION("""COMPUTED_VALUE"""),"106*****les.ntct.edu.tw")</f>
        <v>106*****les.ntct.edu.tw</v>
      </c>
      <c r="E3056" s="17" t="str">
        <f>IFERROR(__xludf.DUMMYFUNCTION("""COMPUTED_VALUE"""),"南投縣埔里鎮埔里國民小學")</f>
        <v>南投縣埔里鎮埔里國民小學</v>
      </c>
      <c r="F3056" s="14" t="str">
        <f>IFERROR(__xludf.DUMMYFUNCTION("""COMPUTED_VALUE"""),"六年級")</f>
        <v>六年級</v>
      </c>
      <c r="G3056" s="14" t="str">
        <f>IFERROR(__xludf.DUMMYFUNCTION("""COMPUTED_VALUE"""),"獎狀")</f>
        <v>獎狀</v>
      </c>
      <c r="H3056" s="8"/>
    </row>
    <row r="3057">
      <c r="A3057" s="18"/>
      <c r="B3057" s="14">
        <f>IFERROR(__xludf.DUMMYFUNCTION("""COMPUTED_VALUE"""),861858.0)</f>
        <v>861858</v>
      </c>
      <c r="C3057" s="14" t="str">
        <f>IFERROR(__xludf.DUMMYFUNCTION("""COMPUTED_VALUE"""),"蔡承祐")</f>
        <v>蔡承祐</v>
      </c>
      <c r="D3057" s="16" t="str">
        <f>IFERROR(__xludf.DUMMYFUNCTION("""COMPUTED_VALUE"""),"106*****les.ntct.edu.tw")</f>
        <v>106*****les.ntct.edu.tw</v>
      </c>
      <c r="E3057" s="17" t="str">
        <f>IFERROR(__xludf.DUMMYFUNCTION("""COMPUTED_VALUE"""),"南投縣埔里鎮埔里國民小學")</f>
        <v>南投縣埔里鎮埔里國民小學</v>
      </c>
      <c r="F3057" s="14" t="str">
        <f>IFERROR(__xludf.DUMMYFUNCTION("""COMPUTED_VALUE"""),"六年級")</f>
        <v>六年級</v>
      </c>
      <c r="G3057" s="14" t="str">
        <f>IFERROR(__xludf.DUMMYFUNCTION("""COMPUTED_VALUE"""),"獎狀")</f>
        <v>獎狀</v>
      </c>
      <c r="H3057" s="8"/>
    </row>
    <row r="3058">
      <c r="A3058" s="18"/>
      <c r="B3058" s="14">
        <f>IFERROR(__xludf.DUMMYFUNCTION("""COMPUTED_VALUE"""),861836.0)</f>
        <v>861836</v>
      </c>
      <c r="C3058" s="14" t="str">
        <f>IFERROR(__xludf.DUMMYFUNCTION("""COMPUTED_VALUE"""),"鄭姵熏")</f>
        <v>鄭姵熏</v>
      </c>
      <c r="D3058" s="16" t="str">
        <f>IFERROR(__xludf.DUMMYFUNCTION("""COMPUTED_VALUE"""),"106*****les.ntct.edu.tw")</f>
        <v>106*****les.ntct.edu.tw</v>
      </c>
      <c r="E3058" s="17" t="str">
        <f>IFERROR(__xludf.DUMMYFUNCTION("""COMPUTED_VALUE"""),"南投縣埔里鎮埔里國民小學")</f>
        <v>南投縣埔里鎮埔里國民小學</v>
      </c>
      <c r="F3058" s="14" t="str">
        <f>IFERROR(__xludf.DUMMYFUNCTION("""COMPUTED_VALUE"""),"六年級")</f>
        <v>六年級</v>
      </c>
      <c r="G3058" s="14" t="str">
        <f>IFERROR(__xludf.DUMMYFUNCTION("""COMPUTED_VALUE"""),"獎狀")</f>
        <v>獎狀</v>
      </c>
      <c r="H3058" s="8"/>
    </row>
    <row r="3059">
      <c r="A3059" s="18"/>
      <c r="B3059" s="14">
        <f>IFERROR(__xludf.DUMMYFUNCTION("""COMPUTED_VALUE"""),367166.0)</f>
        <v>367166</v>
      </c>
      <c r="C3059" s="14" t="str">
        <f>IFERROR(__xludf.DUMMYFUNCTION("""COMPUTED_VALUE"""),"林洺守")</f>
        <v>林洺守</v>
      </c>
      <c r="D3059" s="16" t="str">
        <f>IFERROR(__xludf.DUMMYFUNCTION("""COMPUTED_VALUE"""),"lms*****0503@gmail.com")</f>
        <v>lms*****0503@gmail.com</v>
      </c>
      <c r="E3059" s="17" t="str">
        <f>IFERROR(__xludf.DUMMYFUNCTION("""COMPUTED_VALUE"""),"南投縣埔里鎮埔里國民小學")</f>
        <v>南投縣埔里鎮埔里國民小學</v>
      </c>
      <c r="F3059" s="14" t="str">
        <f>IFERROR(__xludf.DUMMYFUNCTION("""COMPUTED_VALUE"""),"六年級")</f>
        <v>六年級</v>
      </c>
      <c r="G3059" s="14" t="str">
        <f>IFERROR(__xludf.DUMMYFUNCTION("""COMPUTED_VALUE"""),"獎狀")</f>
        <v>獎狀</v>
      </c>
      <c r="H3059" s="8"/>
    </row>
    <row r="3060">
      <c r="A3060" s="18"/>
      <c r="B3060" s="14">
        <f>IFERROR(__xludf.DUMMYFUNCTION("""COMPUTED_VALUE"""),278892.0)</f>
        <v>278892</v>
      </c>
      <c r="C3060" s="14" t="str">
        <f>IFERROR(__xludf.DUMMYFUNCTION("""COMPUTED_VALUE"""),"劉子婕")</f>
        <v>劉子婕</v>
      </c>
      <c r="D3060" s="16" t="str">
        <f>IFERROR(__xludf.DUMMYFUNCTION("""COMPUTED_VALUE"""),"zij*****1107@gmail.com")</f>
        <v>zij*****1107@gmail.com</v>
      </c>
      <c r="E3060" s="17" t="str">
        <f>IFERROR(__xludf.DUMMYFUNCTION("""COMPUTED_VALUE"""),"南投縣埔里鎮愛蘭國民小學")</f>
        <v>南投縣埔里鎮愛蘭國民小學</v>
      </c>
      <c r="F3060" s="14" t="str">
        <f>IFERROR(__xludf.DUMMYFUNCTION("""COMPUTED_VALUE"""),"四年級")</f>
        <v>四年級</v>
      </c>
      <c r="G3060" s="14" t="str">
        <f>IFERROR(__xludf.DUMMYFUNCTION("""COMPUTED_VALUE"""),"獎狀")</f>
        <v>獎狀</v>
      </c>
      <c r="H3060" s="8"/>
    </row>
    <row r="3061">
      <c r="A3061" s="18"/>
      <c r="B3061" s="14">
        <f>IFERROR(__xludf.DUMMYFUNCTION("""COMPUTED_VALUE"""),993519.0)</f>
        <v>993519</v>
      </c>
      <c r="C3061" s="14" t="str">
        <f>IFERROR(__xludf.DUMMYFUNCTION("""COMPUTED_VALUE"""),"張宇彤")</f>
        <v>張宇彤</v>
      </c>
      <c r="D3061" s="16" t="str">
        <f>IFERROR(__xludf.DUMMYFUNCTION("""COMPUTED_VALUE"""),"107*****lps.ntct.edu.tw")</f>
        <v>107*****lps.ntct.edu.tw</v>
      </c>
      <c r="E3061" s="17" t="str">
        <f>IFERROR(__xludf.DUMMYFUNCTION("""COMPUTED_VALUE"""),"南投縣埔里鎮愛蘭國民小學")</f>
        <v>南投縣埔里鎮愛蘭國民小學</v>
      </c>
      <c r="F3061" s="14" t="str">
        <f>IFERROR(__xludf.DUMMYFUNCTION("""COMPUTED_VALUE"""),"五年級")</f>
        <v>五年級</v>
      </c>
      <c r="G3061" s="14" t="str">
        <f>IFERROR(__xludf.DUMMYFUNCTION("""COMPUTED_VALUE"""),"獎狀")</f>
        <v>獎狀</v>
      </c>
      <c r="H3061" s="8"/>
    </row>
    <row r="3062">
      <c r="A3062" s="18"/>
      <c r="B3062" s="14">
        <f>IFERROR(__xludf.DUMMYFUNCTION("""COMPUTED_VALUE"""),603891.0)</f>
        <v>603891</v>
      </c>
      <c r="C3062" s="14" t="str">
        <f>IFERROR(__xludf.DUMMYFUNCTION("""COMPUTED_VALUE"""),"葉羿辰")</f>
        <v>葉羿辰</v>
      </c>
      <c r="D3062" s="16" t="str">
        <f>IFERROR(__xludf.DUMMYFUNCTION("""COMPUTED_VALUE"""),"s10*****snps.ntct.edu.tw")</f>
        <v>s10*****snps.ntct.edu.tw</v>
      </c>
      <c r="E3062" s="17" t="str">
        <f>IFERROR(__xludf.DUMMYFUNCTION("""COMPUTED_VALUE"""),"南投縣埔里鎮溪南國民小學")</f>
        <v>南投縣埔里鎮溪南國民小學</v>
      </c>
      <c r="F3062" s="14" t="str">
        <f>IFERROR(__xludf.DUMMYFUNCTION("""COMPUTED_VALUE"""),"五年級")</f>
        <v>五年級</v>
      </c>
      <c r="G3062" s="14" t="str">
        <f>IFERROR(__xludf.DUMMYFUNCTION("""COMPUTED_VALUE"""),"獎狀")</f>
        <v>獎狀</v>
      </c>
      <c r="H3062" s="8"/>
    </row>
    <row r="3063">
      <c r="A3063" s="18"/>
      <c r="B3063" s="14">
        <f>IFERROR(__xludf.DUMMYFUNCTION("""COMPUTED_VALUE"""),420593.0)</f>
        <v>420593</v>
      </c>
      <c r="C3063" s="14" t="str">
        <f>IFERROR(__xludf.DUMMYFUNCTION("""COMPUTED_VALUE"""),"曾子嫣")</f>
        <v>曾子嫣</v>
      </c>
      <c r="D3063" s="16" t="str">
        <f>IFERROR(__xludf.DUMMYFUNCTION("""COMPUTED_VALUE"""),"jun*****@mail.edu.tw")</f>
        <v>jun*****@mail.edu.tw</v>
      </c>
      <c r="E3063" s="17" t="str">
        <f>IFERROR(__xludf.DUMMYFUNCTION("""COMPUTED_VALUE"""),"南投縣埔里鎮溪南國民小學")</f>
        <v>南投縣埔里鎮溪南國民小學</v>
      </c>
      <c r="F3063" s="14" t="str">
        <f>IFERROR(__xludf.DUMMYFUNCTION("""COMPUTED_VALUE"""),"六年級")</f>
        <v>六年級</v>
      </c>
      <c r="G3063" s="14" t="str">
        <f>IFERROR(__xludf.DUMMYFUNCTION("""COMPUTED_VALUE"""),"●小禮物")</f>
        <v>●小禮物</v>
      </c>
      <c r="H3063" s="8"/>
    </row>
    <row r="3064">
      <c r="A3064" s="18"/>
      <c r="B3064" s="14">
        <f>IFERROR(__xludf.DUMMYFUNCTION("""COMPUTED_VALUE"""),1166412.0)</f>
        <v>1166412</v>
      </c>
      <c r="C3064" s="14" t="str">
        <f>IFERROR(__xludf.DUMMYFUNCTION("""COMPUTED_VALUE"""),"何怡璇")</f>
        <v>何怡璇</v>
      </c>
      <c r="D3064" s="16" t="str">
        <f>IFERROR(__xludf.DUMMYFUNCTION("""COMPUTED_VALUE"""),"s01*****@go.edu.tw")</f>
        <v>s01*****@go.edu.tw</v>
      </c>
      <c r="E3064" s="17" t="str">
        <f>IFERROR(__xludf.DUMMYFUNCTION("""COMPUTED_VALUE"""),"南投縣埔里鎮史港國民小學")</f>
        <v>南投縣埔里鎮史港國民小學</v>
      </c>
      <c r="F3064" s="14" t="str">
        <f>IFERROR(__xludf.DUMMYFUNCTION("""COMPUTED_VALUE"""),"五年級")</f>
        <v>五年級</v>
      </c>
      <c r="G3064" s="14" t="str">
        <f>IFERROR(__xludf.DUMMYFUNCTION("""COMPUTED_VALUE"""),"●小禮物")</f>
        <v>●小禮物</v>
      </c>
      <c r="H3064" s="8"/>
    </row>
    <row r="3065">
      <c r="A3065" s="18"/>
      <c r="B3065" s="14">
        <f>IFERROR(__xludf.DUMMYFUNCTION("""COMPUTED_VALUE"""),1166375.0)</f>
        <v>1166375</v>
      </c>
      <c r="C3065" s="14" t="str">
        <f>IFERROR(__xludf.DUMMYFUNCTION("""COMPUTED_VALUE"""),"紀振福")</f>
        <v>紀振福</v>
      </c>
      <c r="D3065" s="16" t="str">
        <f>IFERROR(__xludf.DUMMYFUNCTION("""COMPUTED_VALUE"""),"s01*****@go.edu.tw")</f>
        <v>s01*****@go.edu.tw</v>
      </c>
      <c r="E3065" s="17" t="str">
        <f>IFERROR(__xludf.DUMMYFUNCTION("""COMPUTED_VALUE"""),"南投縣埔里鎮史港國民小學")</f>
        <v>南投縣埔里鎮史港國民小學</v>
      </c>
      <c r="F3065" s="14" t="str">
        <f>IFERROR(__xludf.DUMMYFUNCTION("""COMPUTED_VALUE"""),"五年級")</f>
        <v>五年級</v>
      </c>
      <c r="G3065" s="14" t="str">
        <f>IFERROR(__xludf.DUMMYFUNCTION("""COMPUTED_VALUE"""),"●小禮物")</f>
        <v>●小禮物</v>
      </c>
      <c r="H3065" s="8"/>
    </row>
    <row r="3066">
      <c r="A3066" s="18"/>
      <c r="B3066" s="14">
        <f>IFERROR(__xludf.DUMMYFUNCTION("""COMPUTED_VALUE"""),1166476.0)</f>
        <v>1166476</v>
      </c>
      <c r="C3066" s="14" t="str">
        <f>IFERROR(__xludf.DUMMYFUNCTION("""COMPUTED_VALUE"""),"潘宏裕")</f>
        <v>潘宏裕</v>
      </c>
      <c r="D3066" s="16" t="str">
        <f>IFERROR(__xludf.DUMMYFUNCTION("""COMPUTED_VALUE"""),"s01*****@go.edu.tw")</f>
        <v>s01*****@go.edu.tw</v>
      </c>
      <c r="E3066" s="17" t="str">
        <f>IFERROR(__xludf.DUMMYFUNCTION("""COMPUTED_VALUE"""),"南投縣埔里鎮史港國民小學")</f>
        <v>南投縣埔里鎮史港國民小學</v>
      </c>
      <c r="F3066" s="14" t="str">
        <f>IFERROR(__xludf.DUMMYFUNCTION("""COMPUTED_VALUE"""),"五年級")</f>
        <v>五年級</v>
      </c>
      <c r="G3066" s="14" t="str">
        <f>IFERROR(__xludf.DUMMYFUNCTION("""COMPUTED_VALUE"""),"●小禮物")</f>
        <v>●小禮物</v>
      </c>
      <c r="H3066" s="8"/>
    </row>
    <row r="3067">
      <c r="A3067" s="18"/>
      <c r="B3067" s="14">
        <f>IFERROR(__xludf.DUMMYFUNCTION("""COMPUTED_VALUE"""),1166383.0)</f>
        <v>1166383</v>
      </c>
      <c r="C3067" s="14" t="str">
        <f>IFERROR(__xludf.DUMMYFUNCTION("""COMPUTED_VALUE"""),"蔡鴻順")</f>
        <v>蔡鴻順</v>
      </c>
      <c r="D3067" s="16" t="str">
        <f>IFERROR(__xludf.DUMMYFUNCTION("""COMPUTED_VALUE"""),"s01*****@go.edu.tw")</f>
        <v>s01*****@go.edu.tw</v>
      </c>
      <c r="E3067" s="17" t="str">
        <f>IFERROR(__xludf.DUMMYFUNCTION("""COMPUTED_VALUE"""),"南投縣埔里鎮史港國民小學")</f>
        <v>南投縣埔里鎮史港國民小學</v>
      </c>
      <c r="F3067" s="14" t="str">
        <f>IFERROR(__xludf.DUMMYFUNCTION("""COMPUTED_VALUE"""),"五年級")</f>
        <v>五年級</v>
      </c>
      <c r="G3067" s="14" t="str">
        <f>IFERROR(__xludf.DUMMYFUNCTION("""COMPUTED_VALUE"""),"●小禮物")</f>
        <v>●小禮物</v>
      </c>
      <c r="H3067" s="8"/>
    </row>
    <row r="3068">
      <c r="A3068" s="18"/>
      <c r="B3068" s="14">
        <f>IFERROR(__xludf.DUMMYFUNCTION("""COMPUTED_VALUE"""),1166390.0)</f>
        <v>1166390</v>
      </c>
      <c r="C3068" s="14" t="str">
        <f>IFERROR(__xludf.DUMMYFUNCTION("""COMPUTED_VALUE"""),"王子芸")</f>
        <v>王子芸</v>
      </c>
      <c r="D3068" s="16" t="str">
        <f>IFERROR(__xludf.DUMMYFUNCTION("""COMPUTED_VALUE"""),"s01*****@go.edu.tw")</f>
        <v>s01*****@go.edu.tw</v>
      </c>
      <c r="E3068" s="17" t="str">
        <f>IFERROR(__xludf.DUMMYFUNCTION("""COMPUTED_VALUE"""),"南投縣埔里鎮史港國民小學")</f>
        <v>南投縣埔里鎮史港國民小學</v>
      </c>
      <c r="F3068" s="14" t="str">
        <f>IFERROR(__xludf.DUMMYFUNCTION("""COMPUTED_VALUE"""),"五年級")</f>
        <v>五年級</v>
      </c>
      <c r="G3068" s="14" t="str">
        <f>IFERROR(__xludf.DUMMYFUNCTION("""COMPUTED_VALUE"""),"獎狀")</f>
        <v>獎狀</v>
      </c>
      <c r="H3068" s="8"/>
    </row>
    <row r="3069">
      <c r="A3069" s="18"/>
      <c r="B3069" s="14">
        <f>IFERROR(__xludf.DUMMYFUNCTION("""COMPUTED_VALUE"""),1166400.0)</f>
        <v>1166400</v>
      </c>
      <c r="C3069" s="14" t="str">
        <f>IFERROR(__xludf.DUMMYFUNCTION("""COMPUTED_VALUE"""),"何怡潔")</f>
        <v>何怡潔</v>
      </c>
      <c r="D3069" s="16" t="str">
        <f>IFERROR(__xludf.DUMMYFUNCTION("""COMPUTED_VALUE"""),"s01*****@go.edu.tw")</f>
        <v>s01*****@go.edu.tw</v>
      </c>
      <c r="E3069" s="17" t="str">
        <f>IFERROR(__xludf.DUMMYFUNCTION("""COMPUTED_VALUE"""),"南投縣埔里鎮史港國民小學")</f>
        <v>南投縣埔里鎮史港國民小學</v>
      </c>
      <c r="F3069" s="14" t="str">
        <f>IFERROR(__xludf.DUMMYFUNCTION("""COMPUTED_VALUE"""),"五年級")</f>
        <v>五年級</v>
      </c>
      <c r="G3069" s="14" t="str">
        <f>IFERROR(__xludf.DUMMYFUNCTION("""COMPUTED_VALUE"""),"獎狀")</f>
        <v>獎狀</v>
      </c>
      <c r="H3069" s="8"/>
    </row>
    <row r="3070">
      <c r="A3070" s="18"/>
      <c r="B3070" s="14">
        <f>IFERROR(__xludf.DUMMYFUNCTION("""COMPUTED_VALUE"""),1166527.0)</f>
        <v>1166527</v>
      </c>
      <c r="C3070" s="14" t="str">
        <f>IFERROR(__xludf.DUMMYFUNCTION("""COMPUTED_VALUE"""),"呂函諭")</f>
        <v>呂函諭</v>
      </c>
      <c r="D3070" s="16" t="str">
        <f>IFERROR(__xludf.DUMMYFUNCTION("""COMPUTED_VALUE"""),"s01*****@go.edu.tw")</f>
        <v>s01*****@go.edu.tw</v>
      </c>
      <c r="E3070" s="17" t="str">
        <f>IFERROR(__xludf.DUMMYFUNCTION("""COMPUTED_VALUE"""),"南投縣埔里鎮史港國民小學")</f>
        <v>南投縣埔里鎮史港國民小學</v>
      </c>
      <c r="F3070" s="14" t="str">
        <f>IFERROR(__xludf.DUMMYFUNCTION("""COMPUTED_VALUE"""),"五年級")</f>
        <v>五年級</v>
      </c>
      <c r="G3070" s="14" t="str">
        <f>IFERROR(__xludf.DUMMYFUNCTION("""COMPUTED_VALUE"""),"獎狀")</f>
        <v>獎狀</v>
      </c>
      <c r="H3070" s="8"/>
    </row>
    <row r="3071">
      <c r="A3071" s="18"/>
      <c r="B3071" s="14">
        <f>IFERROR(__xludf.DUMMYFUNCTION("""COMPUTED_VALUE"""),588689.0)</f>
        <v>588689</v>
      </c>
      <c r="C3071" s="14" t="str">
        <f>IFERROR(__xludf.DUMMYFUNCTION("""COMPUTED_VALUE"""),"蔡晴茪")</f>
        <v>蔡晴茪</v>
      </c>
      <c r="D3071" s="16" t="str">
        <f>IFERROR(__xludf.DUMMYFUNCTION("""COMPUTED_VALUE"""),"s01*****.ntct@mail.edu.tw")</f>
        <v>s01*****.ntct@mail.edu.tw</v>
      </c>
      <c r="E3071" s="17" t="str">
        <f>IFERROR(__xludf.DUMMYFUNCTION("""COMPUTED_VALUE"""),"南投縣仁愛鄉仁愛國民小學")</f>
        <v>南投縣仁愛鄉仁愛國民小學</v>
      </c>
      <c r="F3071" s="14" t="str">
        <f>IFERROR(__xludf.DUMMYFUNCTION("""COMPUTED_VALUE"""),"六年級")</f>
        <v>六年級</v>
      </c>
      <c r="G3071" s="14" t="str">
        <f>IFERROR(__xludf.DUMMYFUNCTION("""COMPUTED_VALUE"""),"獎狀")</f>
        <v>獎狀</v>
      </c>
      <c r="H3071" s="8"/>
    </row>
    <row r="3072">
      <c r="A3072" s="18"/>
      <c r="B3072" s="14">
        <f>IFERROR(__xludf.DUMMYFUNCTION("""COMPUTED_VALUE"""),855198.0)</f>
        <v>855198</v>
      </c>
      <c r="C3072" s="14" t="str">
        <f>IFERROR(__xludf.DUMMYFUNCTION("""COMPUTED_VALUE"""),"汪彥寧")</f>
        <v>汪彥寧</v>
      </c>
      <c r="D3072" s="16" t="str">
        <f>IFERROR(__xludf.DUMMYFUNCTION("""COMPUTED_VALUE"""),"106*****ces.ntct.edu.tw")</f>
        <v>106*****ces.ntct.edu.tw</v>
      </c>
      <c r="E3072" s="17" t="str">
        <f>IFERROR(__xludf.DUMMYFUNCTION("""COMPUTED_VALUE"""),"南投縣名間鄉名間國民小學")</f>
        <v>南投縣名間鄉名間國民小學</v>
      </c>
      <c r="F3072" s="14" t="str">
        <f>IFERROR(__xludf.DUMMYFUNCTION("""COMPUTED_VALUE"""),"六年級")</f>
        <v>六年級</v>
      </c>
      <c r="G3072" s="14" t="str">
        <f>IFERROR(__xludf.DUMMYFUNCTION("""COMPUTED_VALUE"""),"獎狀")</f>
        <v>獎狀</v>
      </c>
      <c r="H3072" s="8"/>
    </row>
    <row r="3073">
      <c r="A3073" s="18"/>
      <c r="B3073" s="14">
        <f>IFERROR(__xludf.DUMMYFUNCTION("""COMPUTED_VALUE"""),658773.0)</f>
        <v>658773</v>
      </c>
      <c r="C3073" s="14" t="str">
        <f>IFERROR(__xludf.DUMMYFUNCTION("""COMPUTED_VALUE"""),"黃品橙")</f>
        <v>黃品橙</v>
      </c>
      <c r="D3073" s="16" t="str">
        <f>IFERROR(__xludf.DUMMYFUNCTION("""COMPUTED_VALUE"""),"mwl*****27@gmail.com")</f>
        <v>mwl*****27@gmail.com</v>
      </c>
      <c r="E3073" s="17" t="str">
        <f>IFERROR(__xludf.DUMMYFUNCTION("""COMPUTED_VALUE"""),"南投縣集集鎮永昌國民小學")</f>
        <v>南投縣集集鎮永昌國民小學</v>
      </c>
      <c r="F3073" s="14" t="str">
        <f>IFERROR(__xludf.DUMMYFUNCTION("""COMPUTED_VALUE"""),"四年級")</f>
        <v>四年級</v>
      </c>
      <c r="G3073" s="14" t="str">
        <f>IFERROR(__xludf.DUMMYFUNCTION("""COMPUTED_VALUE"""),"●小禮物")</f>
        <v>●小禮物</v>
      </c>
      <c r="H3073" s="8"/>
    </row>
    <row r="3074">
      <c r="A3074" s="18"/>
      <c r="B3074" s="14">
        <f>IFERROR(__xludf.DUMMYFUNCTION("""COMPUTED_VALUE"""),410059.0)</f>
        <v>410059</v>
      </c>
      <c r="C3074" s="14" t="str">
        <f>IFERROR(__xludf.DUMMYFUNCTION("""COMPUTED_VALUE"""),"林力欣")</f>
        <v>林力欣</v>
      </c>
      <c r="D3074" s="16" t="str">
        <f>IFERROR(__xludf.DUMMYFUNCTION("""COMPUTED_VALUE"""),"min*****ang1@gmail.com")</f>
        <v>min*****ang1@gmail.com</v>
      </c>
      <c r="E3074" s="17" t="str">
        <f>IFERROR(__xludf.DUMMYFUNCTION("""COMPUTED_VALUE"""),"南投縣水里鄉成城國民小學")</f>
        <v>南投縣水里鄉成城國民小學</v>
      </c>
      <c r="F3074" s="14" t="str">
        <f>IFERROR(__xludf.DUMMYFUNCTION("""COMPUTED_VALUE"""),"五年級")</f>
        <v>五年級</v>
      </c>
      <c r="G3074" s="14" t="str">
        <f>IFERROR(__xludf.DUMMYFUNCTION("""COMPUTED_VALUE"""),"★禮券$500")</f>
        <v>★禮券$500</v>
      </c>
      <c r="H3074" s="8"/>
    </row>
    <row r="3075">
      <c r="A3075" s="18"/>
      <c r="B3075" s="14">
        <f>IFERROR(__xludf.DUMMYFUNCTION("""COMPUTED_VALUE"""),595298.0)</f>
        <v>595298</v>
      </c>
      <c r="C3075" s="14" t="str">
        <f>IFERROR(__xludf.DUMMYFUNCTION("""COMPUTED_VALUE"""),"陳常棣")</f>
        <v>陳常棣</v>
      </c>
      <c r="D3075" s="16" t="str">
        <f>IFERROR(__xludf.DUMMYFUNCTION("""COMPUTED_VALUE"""),"cha*****chen.ccd2@gmail.com")</f>
        <v>cha*****chen.ccd2@gmail.com</v>
      </c>
      <c r="E3075" s="17" t="str">
        <f>IFERROR(__xludf.DUMMYFUNCTION("""COMPUTED_VALUE"""),"南投縣魚池鄉共和國民小學")</f>
        <v>南投縣魚池鄉共和國民小學</v>
      </c>
      <c r="F3075" s="14" t="str">
        <f>IFERROR(__xludf.DUMMYFUNCTION("""COMPUTED_VALUE"""),"六年級")</f>
        <v>六年級</v>
      </c>
      <c r="G3075" s="14" t="str">
        <f>IFERROR(__xludf.DUMMYFUNCTION("""COMPUTED_VALUE"""),"●小禮物")</f>
        <v>●小禮物</v>
      </c>
      <c r="H3075" s="8"/>
    </row>
    <row r="3076">
      <c r="A3076" s="18"/>
      <c r="B3076" s="14">
        <f>IFERROR(__xludf.DUMMYFUNCTION("""COMPUTED_VALUE"""),466644.0)</f>
        <v>466644</v>
      </c>
      <c r="C3076" s="14" t="str">
        <f>IFERROR(__xludf.DUMMYFUNCTION("""COMPUTED_VALUE"""),"吳宣螢")</f>
        <v>吳宣螢</v>
      </c>
      <c r="D3076" s="16" t="str">
        <f>IFERROR(__xludf.DUMMYFUNCTION("""COMPUTED_VALUE"""),"s01*****.ntct@mail.edu.tw")</f>
        <v>s01*****.ntct@mail.edu.tw</v>
      </c>
      <c r="E3076" s="17" t="str">
        <f>IFERROR(__xludf.DUMMYFUNCTION("""COMPUTED_VALUE"""),"南投縣魚池鄉新城國民小學")</f>
        <v>南投縣魚池鄉新城國民小學</v>
      </c>
      <c r="F3076" s="14" t="str">
        <f>IFERROR(__xludf.DUMMYFUNCTION("""COMPUTED_VALUE"""),"六年級")</f>
        <v>六年級</v>
      </c>
      <c r="G3076" s="14" t="str">
        <f>IFERROR(__xludf.DUMMYFUNCTION("""COMPUTED_VALUE"""),"獎狀")</f>
        <v>獎狀</v>
      </c>
      <c r="H3076" s="8"/>
    </row>
    <row r="3077">
      <c r="A3077" s="18"/>
      <c r="B3077" s="14">
        <f>IFERROR(__xludf.DUMMYFUNCTION("""COMPUTED_VALUE"""),1021253.0)</f>
        <v>1021253</v>
      </c>
      <c r="C3077" s="14" t="str">
        <f>IFERROR(__xludf.DUMMYFUNCTION("""COMPUTED_VALUE"""),"黎津秀")</f>
        <v>黎津秀</v>
      </c>
      <c r="D3077" s="16" t="str">
        <f>IFERROR(__xludf.DUMMYFUNCTION("""COMPUTED_VALUE"""),"s01*****@lwps.ntct.edu.tw")</f>
        <v>s01*****@lwps.ntct.edu.tw</v>
      </c>
      <c r="E3077" s="17" t="str">
        <f>IFERROR(__xludf.DUMMYFUNCTION("""COMPUTED_VALUE"""),"南投縣信義鄉隆華國民小學")</f>
        <v>南投縣信義鄉隆華國民小學</v>
      </c>
      <c r="F3077" s="14" t="str">
        <f>IFERROR(__xludf.DUMMYFUNCTION("""COMPUTED_VALUE"""),"五年級")</f>
        <v>五年級</v>
      </c>
      <c r="G3077" s="14" t="str">
        <f>IFERROR(__xludf.DUMMYFUNCTION("""COMPUTED_VALUE"""),"●小禮物")</f>
        <v>●小禮物</v>
      </c>
      <c r="H3077" s="8"/>
    </row>
    <row r="3078">
      <c r="A3078" s="18"/>
      <c r="B3078" s="14">
        <f>IFERROR(__xludf.DUMMYFUNCTION("""COMPUTED_VALUE"""),1027183.0)</f>
        <v>1027183</v>
      </c>
      <c r="C3078" s="14" t="str">
        <f>IFERROR(__xludf.DUMMYFUNCTION("""COMPUTED_VALUE"""),"楊秉儒")</f>
        <v>楊秉儒</v>
      </c>
      <c r="D3078" s="16" t="str">
        <f>IFERROR(__xludf.DUMMYFUNCTION("""COMPUTED_VALUE"""),"s11*****@csunps.ntct.edu.tw")</f>
        <v>s11*****@csunps.ntct.edu.tw</v>
      </c>
      <c r="E3078" s="17" t="str">
        <f>IFERROR(__xludf.DUMMYFUNCTION("""COMPUTED_VALUE"""),"南投縣竹山鎮前山國民小學")</f>
        <v>南投縣竹山鎮前山國民小學</v>
      </c>
      <c r="F3078" s="14" t="str">
        <f>IFERROR(__xludf.DUMMYFUNCTION("""COMPUTED_VALUE"""),"六年級")</f>
        <v>六年級</v>
      </c>
      <c r="G3078" s="14" t="str">
        <f>IFERROR(__xludf.DUMMYFUNCTION("""COMPUTED_VALUE"""),"●小禮物")</f>
        <v>●小禮物</v>
      </c>
      <c r="H3078" s="8"/>
    </row>
    <row r="3079">
      <c r="A3079" s="18"/>
      <c r="B3079" s="14">
        <f>IFERROR(__xludf.DUMMYFUNCTION("""COMPUTED_VALUE"""),925599.0)</f>
        <v>925599</v>
      </c>
      <c r="C3079" s="14" t="str">
        <f>IFERROR(__xludf.DUMMYFUNCTION("""COMPUTED_VALUE"""),"李映晴")</f>
        <v>李映晴</v>
      </c>
      <c r="D3079" s="16" t="str">
        <f>IFERROR(__xludf.DUMMYFUNCTION("""COMPUTED_VALUE"""),"s01*****.ntct@mail.edu.tw")</f>
        <v>s01*****.ntct@mail.edu.tw</v>
      </c>
      <c r="E3079" s="17" t="str">
        <f>IFERROR(__xludf.DUMMYFUNCTION("""COMPUTED_VALUE"""),"南投縣竹山鎮秀林國民小學")</f>
        <v>南投縣竹山鎮秀林國民小學</v>
      </c>
      <c r="F3079" s="14" t="str">
        <f>IFERROR(__xludf.DUMMYFUNCTION("""COMPUTED_VALUE"""),"五年級")</f>
        <v>五年級</v>
      </c>
      <c r="G3079" s="14" t="str">
        <f>IFERROR(__xludf.DUMMYFUNCTION("""COMPUTED_VALUE"""),"獎狀")</f>
        <v>獎狀</v>
      </c>
      <c r="H3079" s="8"/>
    </row>
    <row r="3080">
      <c r="A3080" s="18"/>
      <c r="B3080" s="14">
        <f>IFERROR(__xludf.DUMMYFUNCTION("""COMPUTED_VALUE"""),1177422.0)</f>
        <v>1177422</v>
      </c>
      <c r="C3080" s="14" t="str">
        <f>IFERROR(__xludf.DUMMYFUNCTION("""COMPUTED_VALUE"""),"林靖潔")</f>
        <v>林靖潔</v>
      </c>
      <c r="D3080" s="16" t="str">
        <f>IFERROR(__xludf.DUMMYFUNCTION("""COMPUTED_VALUE"""),"s01*****.ntct@mail.edu.tw")</f>
        <v>s01*****.ntct@mail.edu.tw</v>
      </c>
      <c r="E3080" s="17" t="str">
        <f>IFERROR(__xludf.DUMMYFUNCTION("""COMPUTED_VALUE"""),"南投縣竹山鎮竹山國民小學")</f>
        <v>南投縣竹山鎮竹山國民小學</v>
      </c>
      <c r="F3080" s="14" t="str">
        <f>IFERROR(__xludf.DUMMYFUNCTION("""COMPUTED_VALUE"""),"四年級")</f>
        <v>四年級</v>
      </c>
      <c r="G3080" s="14" t="str">
        <f>IFERROR(__xludf.DUMMYFUNCTION("""COMPUTED_VALUE"""),"●小禮物")</f>
        <v>●小禮物</v>
      </c>
      <c r="H3080" s="8"/>
    </row>
    <row r="3081">
      <c r="A3081" s="18"/>
      <c r="B3081" s="14">
        <f>IFERROR(__xludf.DUMMYFUNCTION("""COMPUTED_VALUE"""),537798.0)</f>
        <v>537798</v>
      </c>
      <c r="C3081" s="14" t="str">
        <f>IFERROR(__xludf.DUMMYFUNCTION("""COMPUTED_VALUE"""),"林子繹")</f>
        <v>林子繹</v>
      </c>
      <c r="D3081" s="16" t="str">
        <f>IFERROR(__xludf.DUMMYFUNCTION("""COMPUTED_VALUE"""),"s00*****@mail.edu.tw")</f>
        <v>s00*****@mail.edu.tw</v>
      </c>
      <c r="E3081" s="17" t="str">
        <f>IFERROR(__xludf.DUMMYFUNCTION("""COMPUTED_VALUE"""),"南投縣竹山鎮竹山國民小學")</f>
        <v>南投縣竹山鎮竹山國民小學</v>
      </c>
      <c r="F3081" s="14" t="str">
        <f>IFERROR(__xludf.DUMMYFUNCTION("""COMPUTED_VALUE"""),"五年級")</f>
        <v>五年級</v>
      </c>
      <c r="G3081" s="14" t="str">
        <f>IFERROR(__xludf.DUMMYFUNCTION("""COMPUTED_VALUE"""),"獎狀")</f>
        <v>獎狀</v>
      </c>
      <c r="H3081" s="8"/>
    </row>
    <row r="3082">
      <c r="A3082" s="18"/>
      <c r="B3082" s="14">
        <f>IFERROR(__xludf.DUMMYFUNCTION("""COMPUTED_VALUE"""),588578.0)</f>
        <v>588578</v>
      </c>
      <c r="C3082" s="14" t="str">
        <f>IFERROR(__xludf.DUMMYFUNCTION("""COMPUTED_VALUE"""),"林祉岑")</f>
        <v>林祉岑</v>
      </c>
      <c r="D3082" s="16" t="str">
        <f>IFERROR(__xludf.DUMMYFUNCTION("""COMPUTED_VALUE"""),"s01*****.ntct@mail.edu.tw")</f>
        <v>s01*****.ntct@mail.edu.tw</v>
      </c>
      <c r="E3082" s="17" t="str">
        <f>IFERROR(__xludf.DUMMYFUNCTION("""COMPUTED_VALUE"""),"南投縣竹山鎮社寮國民小學")</f>
        <v>南投縣竹山鎮社寮國民小學</v>
      </c>
      <c r="F3082" s="14" t="str">
        <f>IFERROR(__xludf.DUMMYFUNCTION("""COMPUTED_VALUE"""),"六年級")</f>
        <v>六年級</v>
      </c>
      <c r="G3082" s="14" t="str">
        <f>IFERROR(__xludf.DUMMYFUNCTION("""COMPUTED_VALUE"""),"獎狀")</f>
        <v>獎狀</v>
      </c>
      <c r="H3082" s="8"/>
    </row>
    <row r="3083">
      <c r="A3083" s="18"/>
      <c r="B3083" s="14">
        <f>IFERROR(__xludf.DUMMYFUNCTION("""COMPUTED_VALUE"""),737144.0)</f>
        <v>737144</v>
      </c>
      <c r="C3083" s="14" t="str">
        <f>IFERROR(__xludf.DUMMYFUNCTION("""COMPUTED_VALUE"""),"羅婕予")</f>
        <v>羅婕予</v>
      </c>
      <c r="D3083" s="16" t="str">
        <f>IFERROR(__xludf.DUMMYFUNCTION("""COMPUTED_VALUE"""),"s01*****.ntct@mail.edu.tw")</f>
        <v>s01*****.ntct@mail.edu.tw</v>
      </c>
      <c r="E3083" s="17" t="str">
        <f>IFERROR(__xludf.DUMMYFUNCTION("""COMPUTED_VALUE"""),"南投縣竹山鎮雲林國民小學")</f>
        <v>南投縣竹山鎮雲林國民小學</v>
      </c>
      <c r="F3083" s="14" t="str">
        <f>IFERROR(__xludf.DUMMYFUNCTION("""COMPUTED_VALUE"""),"六年級")</f>
        <v>六年級</v>
      </c>
      <c r="G3083" s="14" t="str">
        <f>IFERROR(__xludf.DUMMYFUNCTION("""COMPUTED_VALUE"""),"獎狀")</f>
        <v>獎狀</v>
      </c>
      <c r="H3083" s="8"/>
    </row>
    <row r="3084">
      <c r="A3084" s="18"/>
      <c r="B3084" s="14">
        <f>IFERROR(__xludf.DUMMYFUNCTION("""COMPUTED_VALUE"""),1098602.0)</f>
        <v>1098602</v>
      </c>
      <c r="C3084" s="14" t="str">
        <f>IFERROR(__xludf.DUMMYFUNCTION("""COMPUTED_VALUE"""),"張舒喬")</f>
        <v>張舒喬</v>
      </c>
      <c r="D3084" s="16" t="str">
        <f>IFERROR(__xludf.DUMMYFUNCTION("""COMPUTED_VALUE"""),"suz*****95@gmail.com")</f>
        <v>suz*****95@gmail.com</v>
      </c>
      <c r="E3084" s="17" t="str">
        <f>IFERROR(__xludf.DUMMYFUNCTION("""COMPUTED_VALUE"""),"嘉義市西區港坪國民小學")</f>
        <v>嘉義市西區港坪國民小學</v>
      </c>
      <c r="F3084" s="14" t="str">
        <f>IFERROR(__xludf.DUMMYFUNCTION("""COMPUTED_VALUE"""),"五年級")</f>
        <v>五年級</v>
      </c>
      <c r="G3084" s="14" t="str">
        <f>IFERROR(__xludf.DUMMYFUNCTION("""COMPUTED_VALUE"""),"●小禮物")</f>
        <v>●小禮物</v>
      </c>
      <c r="H3084" s="8"/>
    </row>
    <row r="3085">
      <c r="A3085" s="18"/>
      <c r="B3085" s="14">
        <f>IFERROR(__xludf.DUMMYFUNCTION("""COMPUTED_VALUE"""),1186407.0)</f>
        <v>1186407</v>
      </c>
      <c r="C3085" s="14" t="str">
        <f>IFERROR(__xludf.DUMMYFUNCTION("""COMPUTED_VALUE"""),"蕭宥蘭")</f>
        <v>蕭宥蘭</v>
      </c>
      <c r="D3085" s="16" t="str">
        <f>IFERROR(__xludf.DUMMYFUNCTION("""COMPUTED_VALUE"""),"jud*****l312@gmail.com")</f>
        <v>jud*****l312@gmail.com</v>
      </c>
      <c r="E3085" s="17" t="str">
        <f>IFERROR(__xludf.DUMMYFUNCTION("""COMPUTED_VALUE"""),"嘉義市西區博愛國民小學")</f>
        <v>嘉義市西區博愛國民小學</v>
      </c>
      <c r="F3085" s="14" t="str">
        <f>IFERROR(__xludf.DUMMYFUNCTION("""COMPUTED_VALUE"""),"三年級")</f>
        <v>三年級</v>
      </c>
      <c r="G3085" s="14" t="str">
        <f>IFERROR(__xludf.DUMMYFUNCTION("""COMPUTED_VALUE"""),"獎狀")</f>
        <v>獎狀</v>
      </c>
      <c r="H3085" s="8"/>
    </row>
    <row r="3086">
      <c r="A3086" s="18"/>
      <c r="B3086" s="14">
        <f>IFERROR(__xludf.DUMMYFUNCTION("""COMPUTED_VALUE"""),1198943.0)</f>
        <v>1198943</v>
      </c>
      <c r="C3086" s="14" t="str">
        <f>IFERROR(__xludf.DUMMYFUNCTION("""COMPUTED_VALUE"""),"王力儀")</f>
        <v>王力儀</v>
      </c>
      <c r="D3086" s="16" t="str">
        <f>IFERROR(__xludf.DUMMYFUNCTION("""COMPUTED_VALUE"""),"eri*****1000903@gmail.com")</f>
        <v>eri*****1000903@gmail.com</v>
      </c>
      <c r="E3086" s="17" t="str">
        <f>IFERROR(__xludf.DUMMYFUNCTION("""COMPUTED_VALUE"""),"嘉義市西區博愛國民小學")</f>
        <v>嘉義市西區博愛國民小學</v>
      </c>
      <c r="F3086" s="14" t="str">
        <f>IFERROR(__xludf.DUMMYFUNCTION("""COMPUTED_VALUE"""),"五年級")</f>
        <v>五年級</v>
      </c>
      <c r="G3086" s="14" t="str">
        <f>IFERROR(__xludf.DUMMYFUNCTION("""COMPUTED_VALUE"""),"獎狀")</f>
        <v>獎狀</v>
      </c>
      <c r="H3086" s="8"/>
    </row>
    <row r="3087">
      <c r="A3087" s="18"/>
      <c r="B3087" s="14">
        <f>IFERROR(__xludf.DUMMYFUNCTION("""COMPUTED_VALUE"""),748631.0)</f>
        <v>748631</v>
      </c>
      <c r="C3087" s="14" t="str">
        <f>IFERROR(__xludf.DUMMYFUNCTION("""COMPUTED_VALUE"""),"林新霏")</f>
        <v>林新霏</v>
      </c>
      <c r="D3087" s="16" t="str">
        <f>IFERROR(__xludf.DUMMYFUNCTION("""COMPUTED_VALUE"""),"107*****pp.paes.cy.edu.tw")</f>
        <v>107*****pp.paes.cy.edu.tw</v>
      </c>
      <c r="E3087" s="17" t="str">
        <f>IFERROR(__xludf.DUMMYFUNCTION("""COMPUTED_VALUE"""),"嘉義市西區博愛國民小學")</f>
        <v>嘉義市西區博愛國民小學</v>
      </c>
      <c r="F3087" s="14" t="str">
        <f>IFERROR(__xludf.DUMMYFUNCTION("""COMPUTED_VALUE"""),"五年級")</f>
        <v>五年級</v>
      </c>
      <c r="G3087" s="14" t="str">
        <f>IFERROR(__xludf.DUMMYFUNCTION("""COMPUTED_VALUE"""),"獎狀")</f>
        <v>獎狀</v>
      </c>
      <c r="H3087" s="8"/>
    </row>
    <row r="3088">
      <c r="A3088" s="18"/>
      <c r="B3088" s="14">
        <f>IFERROR(__xludf.DUMMYFUNCTION("""COMPUTED_VALUE"""),1099975.0)</f>
        <v>1099975</v>
      </c>
      <c r="C3088" s="14" t="str">
        <f>IFERROR(__xludf.DUMMYFUNCTION("""COMPUTED_VALUE"""),"翁晨瑜")</f>
        <v>翁晨瑜</v>
      </c>
      <c r="D3088" s="16" t="str">
        <f>IFERROR(__xludf.DUMMYFUNCTION("""COMPUTED_VALUE"""),"107*****app.paes.cy.edu.tw")</f>
        <v>107*****app.paes.cy.edu.tw</v>
      </c>
      <c r="E3088" s="17" t="str">
        <f>IFERROR(__xludf.DUMMYFUNCTION("""COMPUTED_VALUE"""),"嘉義市西區博愛國民小學")</f>
        <v>嘉義市西區博愛國民小學</v>
      </c>
      <c r="F3088" s="14" t="str">
        <f>IFERROR(__xludf.DUMMYFUNCTION("""COMPUTED_VALUE"""),"五年級")</f>
        <v>五年級</v>
      </c>
      <c r="G3088" s="14" t="str">
        <f>IFERROR(__xludf.DUMMYFUNCTION("""COMPUTED_VALUE"""),"獎狀")</f>
        <v>獎狀</v>
      </c>
      <c r="H3088" s="8"/>
    </row>
    <row r="3089">
      <c r="A3089" s="18"/>
      <c r="B3089" s="14">
        <f>IFERROR(__xludf.DUMMYFUNCTION("""COMPUTED_VALUE"""),1117581.0)</f>
        <v>1117581</v>
      </c>
      <c r="C3089" s="14" t="str">
        <f>IFERROR(__xludf.DUMMYFUNCTION("""COMPUTED_VALUE"""),"蕭妤芳")</f>
        <v>蕭妤芳</v>
      </c>
      <c r="D3089" s="16" t="str">
        <f>IFERROR(__xludf.DUMMYFUNCTION("""COMPUTED_VALUE"""),"106*****app.paes.cy.edu.tw")</f>
        <v>106*****app.paes.cy.edu.tw</v>
      </c>
      <c r="E3089" s="17" t="str">
        <f>IFERROR(__xludf.DUMMYFUNCTION("""COMPUTED_VALUE"""),"嘉義市西區博愛國民小學")</f>
        <v>嘉義市西區博愛國民小學</v>
      </c>
      <c r="F3089" s="14" t="str">
        <f>IFERROR(__xludf.DUMMYFUNCTION("""COMPUTED_VALUE"""),"六年級")</f>
        <v>六年級</v>
      </c>
      <c r="G3089" s="14" t="str">
        <f>IFERROR(__xludf.DUMMYFUNCTION("""COMPUTED_VALUE"""),"獎狀")</f>
        <v>獎狀</v>
      </c>
      <c r="H3089" s="8"/>
    </row>
    <row r="3090">
      <c r="A3090" s="18"/>
      <c r="B3090" s="14">
        <f>IFERROR(__xludf.DUMMYFUNCTION("""COMPUTED_VALUE"""),652574.0)</f>
        <v>652574</v>
      </c>
      <c r="C3090" s="14" t="str">
        <f>IFERROR(__xludf.DUMMYFUNCTION("""COMPUTED_VALUE"""),"蕭妤芯")</f>
        <v>蕭妤芯</v>
      </c>
      <c r="D3090" s="16" t="str">
        <f>IFERROR(__xludf.DUMMYFUNCTION("""COMPUTED_VALUE"""),"106*****app.paes.cy.edu.tw")</f>
        <v>106*****app.paes.cy.edu.tw</v>
      </c>
      <c r="E3090" s="17" t="str">
        <f>IFERROR(__xludf.DUMMYFUNCTION("""COMPUTED_VALUE"""),"嘉義市西區博愛國民小學")</f>
        <v>嘉義市西區博愛國民小學</v>
      </c>
      <c r="F3090" s="14" t="str">
        <f>IFERROR(__xludf.DUMMYFUNCTION("""COMPUTED_VALUE"""),"六年級")</f>
        <v>六年級</v>
      </c>
      <c r="G3090" s="14" t="str">
        <f>IFERROR(__xludf.DUMMYFUNCTION("""COMPUTED_VALUE"""),"●小禮物")</f>
        <v>●小禮物</v>
      </c>
      <c r="H3090" s="8"/>
    </row>
    <row r="3091">
      <c r="A3091" s="18"/>
      <c r="B3091" s="14">
        <f>IFERROR(__xludf.DUMMYFUNCTION("""COMPUTED_VALUE"""),971037.0)</f>
        <v>971037</v>
      </c>
      <c r="C3091" s="14" t="str">
        <f>IFERROR(__xludf.DUMMYFUNCTION("""COMPUTED_VALUE"""),"劉芳彣")</f>
        <v>劉芳彣</v>
      </c>
      <c r="D3091" s="16" t="str">
        <f>IFERROR(__xludf.DUMMYFUNCTION("""COMPUTED_VALUE"""),"106*****app.paes.cy.edu.tw")</f>
        <v>106*****app.paes.cy.edu.tw</v>
      </c>
      <c r="E3091" s="17" t="str">
        <f>IFERROR(__xludf.DUMMYFUNCTION("""COMPUTED_VALUE"""),"嘉義市西區博愛國民小學")</f>
        <v>嘉義市西區博愛國民小學</v>
      </c>
      <c r="F3091" s="14" t="str">
        <f>IFERROR(__xludf.DUMMYFUNCTION("""COMPUTED_VALUE"""),"六年級")</f>
        <v>六年級</v>
      </c>
      <c r="G3091" s="14" t="str">
        <f>IFERROR(__xludf.DUMMYFUNCTION("""COMPUTED_VALUE"""),"獎狀")</f>
        <v>獎狀</v>
      </c>
      <c r="H3091" s="8"/>
    </row>
    <row r="3092">
      <c r="A3092" s="18"/>
      <c r="B3092" s="14">
        <f>IFERROR(__xludf.DUMMYFUNCTION("""COMPUTED_VALUE"""),883905.0)</f>
        <v>883905</v>
      </c>
      <c r="C3092" s="14" t="str">
        <f>IFERROR(__xludf.DUMMYFUNCTION("""COMPUTED_VALUE"""),"蔡承璿")</f>
        <v>蔡承璿</v>
      </c>
      <c r="D3092" s="16" t="str">
        <f>IFERROR(__xludf.DUMMYFUNCTION("""COMPUTED_VALUE"""),"she*****27.cy@mail.edu.tw")</f>
        <v>she*****27.cy@mail.edu.tw</v>
      </c>
      <c r="E3092" s="17" t="str">
        <f>IFERROR(__xludf.DUMMYFUNCTION("""COMPUTED_VALUE"""),"嘉義市西區世賢國民小學")</f>
        <v>嘉義市西區世賢國民小學</v>
      </c>
      <c r="F3092" s="14" t="str">
        <f>IFERROR(__xludf.DUMMYFUNCTION("""COMPUTED_VALUE"""),"四年級")</f>
        <v>四年級</v>
      </c>
      <c r="G3092" s="14" t="str">
        <f>IFERROR(__xludf.DUMMYFUNCTION("""COMPUTED_VALUE"""),"●小禮物")</f>
        <v>●小禮物</v>
      </c>
      <c r="H3092" s="8"/>
    </row>
    <row r="3093">
      <c r="A3093" s="18"/>
      <c r="B3093" s="14">
        <f>IFERROR(__xludf.DUMMYFUNCTION("""COMPUTED_VALUE"""),301445.0)</f>
        <v>301445</v>
      </c>
      <c r="C3093" s="14" t="str">
        <f>IFERROR(__xludf.DUMMYFUNCTION("""COMPUTED_VALUE"""),"林鉑承")</f>
        <v>林鉑承</v>
      </c>
      <c r="D3093" s="16" t="str">
        <f>IFERROR(__xludf.DUMMYFUNCTION("""COMPUTED_VALUE"""),"q12*****89.cy@mail.edu.tw")</f>
        <v>q12*****89.cy@mail.edu.tw</v>
      </c>
      <c r="E3093" s="17" t="str">
        <f>IFERROR(__xludf.DUMMYFUNCTION("""COMPUTED_VALUE"""),"嘉義市西區世賢國民小學")</f>
        <v>嘉義市西區世賢國民小學</v>
      </c>
      <c r="F3093" s="14" t="str">
        <f>IFERROR(__xludf.DUMMYFUNCTION("""COMPUTED_VALUE"""),"四年級")</f>
        <v>四年級</v>
      </c>
      <c r="G3093" s="14" t="str">
        <f>IFERROR(__xludf.DUMMYFUNCTION("""COMPUTED_VALUE"""),"●小禮物")</f>
        <v>●小禮物</v>
      </c>
      <c r="H3093" s="8"/>
    </row>
    <row r="3094">
      <c r="A3094" s="18"/>
      <c r="B3094" s="14">
        <f>IFERROR(__xludf.DUMMYFUNCTION("""COMPUTED_VALUE"""),565001.0)</f>
        <v>565001</v>
      </c>
      <c r="C3094" s="14" t="str">
        <f>IFERROR(__xludf.DUMMYFUNCTION("""COMPUTED_VALUE"""),"王子菱")</f>
        <v>王子菱</v>
      </c>
      <c r="D3094" s="16" t="str">
        <f>IFERROR(__xludf.DUMMYFUNCTION("""COMPUTED_VALUE"""),"she*****5@mail.edu.tw")</f>
        <v>she*****5@mail.edu.tw</v>
      </c>
      <c r="E3094" s="17" t="str">
        <f>IFERROR(__xludf.DUMMYFUNCTION("""COMPUTED_VALUE"""),"嘉義市西區世賢國民小學")</f>
        <v>嘉義市西區世賢國民小學</v>
      </c>
      <c r="F3094" s="14" t="str">
        <f>IFERROR(__xludf.DUMMYFUNCTION("""COMPUTED_VALUE"""),"五年級")</f>
        <v>五年級</v>
      </c>
      <c r="G3094" s="14" t="str">
        <f>IFERROR(__xludf.DUMMYFUNCTION("""COMPUTED_VALUE"""),"●小禮物")</f>
        <v>●小禮物</v>
      </c>
      <c r="H3094" s="8"/>
    </row>
    <row r="3095">
      <c r="A3095" s="18"/>
      <c r="B3095" s="14">
        <f>IFERROR(__xludf.DUMMYFUNCTION("""COMPUTED_VALUE"""),570960.0)</f>
        <v>570960</v>
      </c>
      <c r="C3095" s="14" t="str">
        <f>IFERROR(__xludf.DUMMYFUNCTION("""COMPUTED_VALUE"""),"邱玥渝")</f>
        <v>邱玥渝</v>
      </c>
      <c r="D3095" s="16" t="str">
        <f>IFERROR(__xludf.DUMMYFUNCTION("""COMPUTED_VALUE"""),"she*****4.cy@mail.edu.tw")</f>
        <v>she*****4.cy@mail.edu.tw</v>
      </c>
      <c r="E3095" s="17" t="str">
        <f>IFERROR(__xludf.DUMMYFUNCTION("""COMPUTED_VALUE"""),"嘉義市西區世賢國民小學")</f>
        <v>嘉義市西區世賢國民小學</v>
      </c>
      <c r="F3095" s="14" t="str">
        <f>IFERROR(__xludf.DUMMYFUNCTION("""COMPUTED_VALUE"""),"五年級")</f>
        <v>五年級</v>
      </c>
      <c r="G3095" s="14" t="str">
        <f>IFERROR(__xludf.DUMMYFUNCTION("""COMPUTED_VALUE"""),"獎狀")</f>
        <v>獎狀</v>
      </c>
      <c r="H3095" s="8"/>
    </row>
    <row r="3096">
      <c r="A3096" s="18"/>
      <c r="B3096" s="14">
        <f>IFERROR(__xludf.DUMMYFUNCTION("""COMPUTED_VALUE"""),570964.0)</f>
        <v>570964</v>
      </c>
      <c r="C3096" s="14" t="str">
        <f>IFERROR(__xludf.DUMMYFUNCTION("""COMPUTED_VALUE"""),"徐采晴")</f>
        <v>徐采晴</v>
      </c>
      <c r="D3096" s="16" t="str">
        <f>IFERROR(__xludf.DUMMYFUNCTION("""COMPUTED_VALUE"""),"she*****8.cy@mail.edu.tw")</f>
        <v>she*****8.cy@mail.edu.tw</v>
      </c>
      <c r="E3096" s="17" t="str">
        <f>IFERROR(__xludf.DUMMYFUNCTION("""COMPUTED_VALUE"""),"嘉義市西區世賢國民小學")</f>
        <v>嘉義市西區世賢國民小學</v>
      </c>
      <c r="F3096" s="14" t="str">
        <f>IFERROR(__xludf.DUMMYFUNCTION("""COMPUTED_VALUE"""),"五年級")</f>
        <v>五年級</v>
      </c>
      <c r="G3096" s="14" t="str">
        <f>IFERROR(__xludf.DUMMYFUNCTION("""COMPUTED_VALUE"""),"獎狀")</f>
        <v>獎狀</v>
      </c>
      <c r="H3096" s="8"/>
    </row>
    <row r="3097">
      <c r="A3097" s="18"/>
      <c r="B3097" s="14">
        <f>IFERROR(__xludf.DUMMYFUNCTION("""COMPUTED_VALUE"""),570862.0)</f>
        <v>570862</v>
      </c>
      <c r="C3097" s="14" t="str">
        <f>IFERROR(__xludf.DUMMYFUNCTION("""COMPUTED_VALUE"""),"王薽妤")</f>
        <v>王薽妤</v>
      </c>
      <c r="D3097" s="16" t="str">
        <f>IFERROR(__xludf.DUMMYFUNCTION("""COMPUTED_VALUE"""),"she*****7.cy@mail.edu.tw")</f>
        <v>she*****7.cy@mail.edu.tw</v>
      </c>
      <c r="E3097" s="17" t="str">
        <f>IFERROR(__xludf.DUMMYFUNCTION("""COMPUTED_VALUE"""),"嘉義市西區世賢國民小學")</f>
        <v>嘉義市西區世賢國民小學</v>
      </c>
      <c r="F3097" s="14" t="str">
        <f>IFERROR(__xludf.DUMMYFUNCTION("""COMPUTED_VALUE"""),"五年級")</f>
        <v>五年級</v>
      </c>
      <c r="G3097" s="14" t="str">
        <f>IFERROR(__xludf.DUMMYFUNCTION("""COMPUTED_VALUE"""),"●小禮物")</f>
        <v>●小禮物</v>
      </c>
      <c r="H3097" s="8"/>
    </row>
    <row r="3098">
      <c r="A3098" s="18"/>
      <c r="B3098" s="14">
        <f>IFERROR(__xludf.DUMMYFUNCTION("""COMPUTED_VALUE"""),570638.0)</f>
        <v>570638</v>
      </c>
      <c r="C3098" s="14" t="str">
        <f>IFERROR(__xludf.DUMMYFUNCTION("""COMPUTED_VALUE"""),"方譽程")</f>
        <v>方譽程</v>
      </c>
      <c r="D3098" s="16" t="str">
        <f>IFERROR(__xludf.DUMMYFUNCTION("""COMPUTED_VALUE"""),"she*****1.cy@mail.edu.tw")</f>
        <v>she*****1.cy@mail.edu.tw</v>
      </c>
      <c r="E3098" s="17" t="str">
        <f>IFERROR(__xludf.DUMMYFUNCTION("""COMPUTED_VALUE"""),"嘉義市西區世賢國民小學")</f>
        <v>嘉義市西區世賢國民小學</v>
      </c>
      <c r="F3098" s="14" t="str">
        <f>IFERROR(__xludf.DUMMYFUNCTION("""COMPUTED_VALUE"""),"五年級")</f>
        <v>五年級</v>
      </c>
      <c r="G3098" s="14" t="str">
        <f>IFERROR(__xludf.DUMMYFUNCTION("""COMPUTED_VALUE"""),"●小禮物")</f>
        <v>●小禮物</v>
      </c>
      <c r="H3098" s="8"/>
    </row>
    <row r="3099">
      <c r="A3099" s="18"/>
      <c r="B3099" s="14">
        <f>IFERROR(__xludf.DUMMYFUNCTION("""COMPUTED_VALUE"""),570958.0)</f>
        <v>570958</v>
      </c>
      <c r="C3099" s="14" t="str">
        <f>IFERROR(__xludf.DUMMYFUNCTION("""COMPUTED_VALUE"""),"鄭宇心")</f>
        <v>鄭宇心</v>
      </c>
      <c r="D3099" s="16" t="str">
        <f>IFERROR(__xludf.DUMMYFUNCTION("""COMPUTED_VALUE"""),"she*****2.cy@mail.edu.tw")</f>
        <v>she*****2.cy@mail.edu.tw</v>
      </c>
      <c r="E3099" s="17" t="str">
        <f>IFERROR(__xludf.DUMMYFUNCTION("""COMPUTED_VALUE"""),"嘉義市西區世賢國民小學")</f>
        <v>嘉義市西區世賢國民小學</v>
      </c>
      <c r="F3099" s="14" t="str">
        <f>IFERROR(__xludf.DUMMYFUNCTION("""COMPUTED_VALUE"""),"五年級")</f>
        <v>五年級</v>
      </c>
      <c r="G3099" s="14" t="str">
        <f>IFERROR(__xludf.DUMMYFUNCTION("""COMPUTED_VALUE"""),"●小禮物")</f>
        <v>●小禮物</v>
      </c>
      <c r="H3099" s="8"/>
    </row>
    <row r="3100">
      <c r="A3100" s="18"/>
      <c r="B3100" s="14">
        <f>IFERROR(__xludf.DUMMYFUNCTION("""COMPUTED_VALUE"""),570953.0)</f>
        <v>570953</v>
      </c>
      <c r="C3100" s="14" t="str">
        <f>IFERROR(__xludf.DUMMYFUNCTION("""COMPUTED_VALUE"""),"沈俊佑")</f>
        <v>沈俊佑</v>
      </c>
      <c r="D3100" s="16" t="str">
        <f>IFERROR(__xludf.DUMMYFUNCTION("""COMPUTED_VALUE"""),"she*****7.cy@mail.edu.tw")</f>
        <v>she*****7.cy@mail.edu.tw</v>
      </c>
      <c r="E3100" s="17" t="str">
        <f>IFERROR(__xludf.DUMMYFUNCTION("""COMPUTED_VALUE"""),"嘉義市西區世賢國民小學")</f>
        <v>嘉義市西區世賢國民小學</v>
      </c>
      <c r="F3100" s="14" t="str">
        <f>IFERROR(__xludf.DUMMYFUNCTION("""COMPUTED_VALUE"""),"五年級")</f>
        <v>五年級</v>
      </c>
      <c r="G3100" s="14" t="str">
        <f>IFERROR(__xludf.DUMMYFUNCTION("""COMPUTED_VALUE"""),"獎狀")</f>
        <v>獎狀</v>
      </c>
      <c r="H3100" s="8"/>
    </row>
    <row r="3101">
      <c r="A3101" s="18"/>
      <c r="B3101" s="14">
        <f>IFERROR(__xludf.DUMMYFUNCTION("""COMPUTED_VALUE"""),570925.0)</f>
        <v>570925</v>
      </c>
      <c r="C3101" s="14" t="str">
        <f>IFERROR(__xludf.DUMMYFUNCTION("""COMPUTED_VALUE"""),"張品蓁")</f>
        <v>張品蓁</v>
      </c>
      <c r="D3101" s="16" t="str">
        <f>IFERROR(__xludf.DUMMYFUNCTION("""COMPUTED_VALUE"""),"she*****0.cy@mail.edu.tw")</f>
        <v>she*****0.cy@mail.edu.tw</v>
      </c>
      <c r="E3101" s="17" t="str">
        <f>IFERROR(__xludf.DUMMYFUNCTION("""COMPUTED_VALUE"""),"嘉義市西區世賢國民小學")</f>
        <v>嘉義市西區世賢國民小學</v>
      </c>
      <c r="F3101" s="14" t="str">
        <f>IFERROR(__xludf.DUMMYFUNCTION("""COMPUTED_VALUE"""),"五年級")</f>
        <v>五年級</v>
      </c>
      <c r="G3101" s="14" t="str">
        <f>IFERROR(__xludf.DUMMYFUNCTION("""COMPUTED_VALUE"""),"獎狀")</f>
        <v>獎狀</v>
      </c>
      <c r="H3101" s="8"/>
    </row>
    <row r="3102">
      <c r="A3102" s="18"/>
      <c r="B3102" s="14">
        <f>IFERROR(__xludf.DUMMYFUNCTION("""COMPUTED_VALUE"""),570719.0)</f>
        <v>570719</v>
      </c>
      <c r="C3102" s="14" t="str">
        <f>IFERROR(__xludf.DUMMYFUNCTION("""COMPUTED_VALUE"""),"蘇琮閔")</f>
        <v>蘇琮閔</v>
      </c>
      <c r="D3102" s="16" t="str">
        <f>IFERROR(__xludf.DUMMYFUNCTION("""COMPUTED_VALUE"""),"she*****6.cy@mail.edu.tw")</f>
        <v>she*****6.cy@mail.edu.tw</v>
      </c>
      <c r="E3102" s="17" t="str">
        <f>IFERROR(__xludf.DUMMYFUNCTION("""COMPUTED_VALUE"""),"嘉義市西區世賢國民小學")</f>
        <v>嘉義市西區世賢國民小學</v>
      </c>
      <c r="F3102" s="14" t="str">
        <f>IFERROR(__xludf.DUMMYFUNCTION("""COMPUTED_VALUE"""),"五年級")</f>
        <v>五年級</v>
      </c>
      <c r="G3102" s="14" t="str">
        <f>IFERROR(__xludf.DUMMYFUNCTION("""COMPUTED_VALUE"""),"獎狀")</f>
        <v>獎狀</v>
      </c>
      <c r="H3102" s="8"/>
    </row>
    <row r="3103">
      <c r="A3103" s="18"/>
      <c r="B3103" s="14">
        <f>IFERROR(__xludf.DUMMYFUNCTION("""COMPUTED_VALUE"""),570629.0)</f>
        <v>570629</v>
      </c>
      <c r="C3103" s="14" t="str">
        <f>IFERROR(__xludf.DUMMYFUNCTION("""COMPUTED_VALUE"""),"洪悅文")</f>
        <v>洪悅文</v>
      </c>
      <c r="D3103" s="16" t="str">
        <f>IFERROR(__xludf.DUMMYFUNCTION("""COMPUTED_VALUE"""),"she*****6.cy@mail.edu.tw")</f>
        <v>she*****6.cy@mail.edu.tw</v>
      </c>
      <c r="E3103" s="17" t="str">
        <f>IFERROR(__xludf.DUMMYFUNCTION("""COMPUTED_VALUE"""),"嘉義市西區世賢國民小學")</f>
        <v>嘉義市西區世賢國民小學</v>
      </c>
      <c r="F3103" s="14" t="str">
        <f>IFERROR(__xludf.DUMMYFUNCTION("""COMPUTED_VALUE"""),"五年級")</f>
        <v>五年級</v>
      </c>
      <c r="G3103" s="14" t="str">
        <f>IFERROR(__xludf.DUMMYFUNCTION("""COMPUTED_VALUE"""),"●小禮物")</f>
        <v>●小禮物</v>
      </c>
      <c r="H3103" s="8"/>
    </row>
    <row r="3104">
      <c r="A3104" s="18"/>
      <c r="B3104" s="14">
        <f>IFERROR(__xludf.DUMMYFUNCTION("""COMPUTED_VALUE"""),568367.0)</f>
        <v>568367</v>
      </c>
      <c r="C3104" s="14" t="str">
        <f>IFERROR(__xludf.DUMMYFUNCTION("""COMPUTED_VALUE"""),"楊晴茜")</f>
        <v>楊晴茜</v>
      </c>
      <c r="D3104" s="16" t="str">
        <f>IFERROR(__xludf.DUMMYFUNCTION("""COMPUTED_VALUE"""),"she*****7.cy@mail.edu.tw")</f>
        <v>she*****7.cy@mail.edu.tw</v>
      </c>
      <c r="E3104" s="17" t="str">
        <f>IFERROR(__xludf.DUMMYFUNCTION("""COMPUTED_VALUE"""),"嘉義市西區世賢國民小學")</f>
        <v>嘉義市西區世賢國民小學</v>
      </c>
      <c r="F3104" s="14" t="str">
        <f>IFERROR(__xludf.DUMMYFUNCTION("""COMPUTED_VALUE"""),"五年級")</f>
        <v>五年級</v>
      </c>
      <c r="G3104" s="14" t="str">
        <f>IFERROR(__xludf.DUMMYFUNCTION("""COMPUTED_VALUE"""),"●小禮物")</f>
        <v>●小禮物</v>
      </c>
      <c r="H3104" s="8"/>
    </row>
    <row r="3105">
      <c r="A3105" s="18"/>
      <c r="B3105" s="14">
        <f>IFERROR(__xludf.DUMMYFUNCTION("""COMPUTED_VALUE"""),570632.0)</f>
        <v>570632</v>
      </c>
      <c r="C3105" s="14" t="str">
        <f>IFERROR(__xludf.DUMMYFUNCTION("""COMPUTED_VALUE"""),"蔡佑姍")</f>
        <v>蔡佑姍</v>
      </c>
      <c r="D3105" s="16" t="str">
        <f>IFERROR(__xludf.DUMMYFUNCTION("""COMPUTED_VALUE"""),"she*****0.cy@mail.edu.tw")</f>
        <v>she*****0.cy@mail.edu.tw</v>
      </c>
      <c r="E3105" s="17" t="str">
        <f>IFERROR(__xludf.DUMMYFUNCTION("""COMPUTED_VALUE"""),"嘉義市西區世賢國民小學")</f>
        <v>嘉義市西區世賢國民小學</v>
      </c>
      <c r="F3105" s="14" t="str">
        <f>IFERROR(__xludf.DUMMYFUNCTION("""COMPUTED_VALUE"""),"五年級")</f>
        <v>五年級</v>
      </c>
      <c r="G3105" s="14" t="str">
        <f>IFERROR(__xludf.DUMMYFUNCTION("""COMPUTED_VALUE"""),"●小禮物")</f>
        <v>●小禮物</v>
      </c>
      <c r="H3105" s="8"/>
    </row>
    <row r="3106">
      <c r="A3106" s="18"/>
      <c r="B3106" s="14">
        <f>IFERROR(__xludf.DUMMYFUNCTION("""COMPUTED_VALUE"""),570915.0)</f>
        <v>570915</v>
      </c>
      <c r="C3106" s="14" t="str">
        <f>IFERROR(__xludf.DUMMYFUNCTION("""COMPUTED_VALUE"""),"李庭安")</f>
        <v>李庭安</v>
      </c>
      <c r="D3106" s="16" t="str">
        <f>IFERROR(__xludf.DUMMYFUNCTION("""COMPUTED_VALUE"""),"she*****3.cy@mail.edu.tw")</f>
        <v>she*****3.cy@mail.edu.tw</v>
      </c>
      <c r="E3106" s="17" t="str">
        <f>IFERROR(__xludf.DUMMYFUNCTION("""COMPUTED_VALUE"""),"嘉義市西區世賢國民小學")</f>
        <v>嘉義市西區世賢國民小學</v>
      </c>
      <c r="F3106" s="14" t="str">
        <f>IFERROR(__xludf.DUMMYFUNCTION("""COMPUTED_VALUE"""),"五年級")</f>
        <v>五年級</v>
      </c>
      <c r="G3106" s="14" t="str">
        <f>IFERROR(__xludf.DUMMYFUNCTION("""COMPUTED_VALUE"""),"獎狀")</f>
        <v>獎狀</v>
      </c>
      <c r="H3106" s="8"/>
    </row>
    <row r="3107">
      <c r="A3107" s="18"/>
      <c r="B3107" s="14">
        <f>IFERROR(__xludf.DUMMYFUNCTION("""COMPUTED_VALUE"""),568290.0)</f>
        <v>568290</v>
      </c>
      <c r="C3107" s="14" t="str">
        <f>IFERROR(__xludf.DUMMYFUNCTION("""COMPUTED_VALUE"""),"周泰辰")</f>
        <v>周泰辰</v>
      </c>
      <c r="D3107" s="16" t="str">
        <f>IFERROR(__xludf.DUMMYFUNCTION("""COMPUTED_VALUE"""),"she*****4.cy@mail.edu.tw")</f>
        <v>she*****4.cy@mail.edu.tw</v>
      </c>
      <c r="E3107" s="17" t="str">
        <f>IFERROR(__xludf.DUMMYFUNCTION("""COMPUTED_VALUE"""),"嘉義市西區世賢國民小學")</f>
        <v>嘉義市西區世賢國民小學</v>
      </c>
      <c r="F3107" s="14" t="str">
        <f>IFERROR(__xludf.DUMMYFUNCTION("""COMPUTED_VALUE"""),"五年級")</f>
        <v>五年級</v>
      </c>
      <c r="G3107" s="14" t="str">
        <f>IFERROR(__xludf.DUMMYFUNCTION("""COMPUTED_VALUE"""),"獎狀")</f>
        <v>獎狀</v>
      </c>
      <c r="H3107" s="8"/>
    </row>
    <row r="3108">
      <c r="A3108" s="18"/>
      <c r="B3108" s="14">
        <f>IFERROR(__xludf.DUMMYFUNCTION("""COMPUTED_VALUE"""),568969.0)</f>
        <v>568969</v>
      </c>
      <c r="C3108" s="14" t="str">
        <f>IFERROR(__xludf.DUMMYFUNCTION("""COMPUTED_VALUE"""),"蔡婧嫻")</f>
        <v>蔡婧嫻</v>
      </c>
      <c r="D3108" s="16" t="str">
        <f>IFERROR(__xludf.DUMMYFUNCTION("""COMPUTED_VALUE"""),"she*****5.cy@mail.edu.tw")</f>
        <v>she*****5.cy@mail.edu.tw</v>
      </c>
      <c r="E3108" s="17" t="str">
        <f>IFERROR(__xludf.DUMMYFUNCTION("""COMPUTED_VALUE"""),"嘉義市西區世賢國民小學")</f>
        <v>嘉義市西區世賢國民小學</v>
      </c>
      <c r="F3108" s="14" t="str">
        <f>IFERROR(__xludf.DUMMYFUNCTION("""COMPUTED_VALUE"""),"五年級")</f>
        <v>五年級</v>
      </c>
      <c r="G3108" s="14" t="str">
        <f>IFERROR(__xludf.DUMMYFUNCTION("""COMPUTED_VALUE"""),"獎狀")</f>
        <v>獎狀</v>
      </c>
      <c r="H3108" s="8"/>
    </row>
    <row r="3109">
      <c r="A3109" s="18"/>
      <c r="B3109" s="14">
        <f>IFERROR(__xludf.DUMMYFUNCTION("""COMPUTED_VALUE"""),570989.0)</f>
        <v>570989</v>
      </c>
      <c r="C3109" s="14" t="str">
        <f>IFERROR(__xludf.DUMMYFUNCTION("""COMPUTED_VALUE"""),"王楷熙")</f>
        <v>王楷熙</v>
      </c>
      <c r="D3109" s="16" t="str">
        <f>IFERROR(__xludf.DUMMYFUNCTION("""COMPUTED_VALUE"""),"she*****15.cy@mail.edu.tw")</f>
        <v>she*****15.cy@mail.edu.tw</v>
      </c>
      <c r="E3109" s="17" t="str">
        <f>IFERROR(__xludf.DUMMYFUNCTION("""COMPUTED_VALUE"""),"嘉義市西區世賢國民小學")</f>
        <v>嘉義市西區世賢國民小學</v>
      </c>
      <c r="F3109" s="14" t="str">
        <f>IFERROR(__xludf.DUMMYFUNCTION("""COMPUTED_VALUE"""),"六年級")</f>
        <v>六年級</v>
      </c>
      <c r="G3109" s="14" t="str">
        <f>IFERROR(__xludf.DUMMYFUNCTION("""COMPUTED_VALUE"""),"獎狀")</f>
        <v>獎狀</v>
      </c>
      <c r="H3109" s="8"/>
    </row>
    <row r="3110">
      <c r="A3110" s="18"/>
      <c r="B3110" s="14">
        <f>IFERROR(__xludf.DUMMYFUNCTION("""COMPUTED_VALUE"""),353548.0)</f>
        <v>353548</v>
      </c>
      <c r="C3110" s="14" t="str">
        <f>IFERROR(__xludf.DUMMYFUNCTION("""COMPUTED_VALUE"""),"張湘羚")</f>
        <v>張湘羚</v>
      </c>
      <c r="D3110" s="16" t="str">
        <f>IFERROR(__xludf.DUMMYFUNCTION("""COMPUTED_VALUE"""),"q22*****87.cy@mail.edu.tw")</f>
        <v>q22*****87.cy@mail.edu.tw</v>
      </c>
      <c r="E3110" s="17" t="str">
        <f>IFERROR(__xludf.DUMMYFUNCTION("""COMPUTED_VALUE"""),"嘉義市西區世賢國民小學")</f>
        <v>嘉義市西區世賢國民小學</v>
      </c>
      <c r="F3110" s="14" t="str">
        <f>IFERROR(__xludf.DUMMYFUNCTION("""COMPUTED_VALUE"""),"六年級")</f>
        <v>六年級</v>
      </c>
      <c r="G3110" s="14" t="str">
        <f>IFERROR(__xludf.DUMMYFUNCTION("""COMPUTED_VALUE"""),"獎狀")</f>
        <v>獎狀</v>
      </c>
      <c r="H3110" s="8"/>
    </row>
    <row r="3111">
      <c r="A3111" s="18"/>
      <c r="B3111" s="14">
        <f>IFERROR(__xludf.DUMMYFUNCTION("""COMPUTED_VALUE"""),631845.0)</f>
        <v>631845</v>
      </c>
      <c r="C3111" s="14" t="str">
        <f>IFERROR(__xludf.DUMMYFUNCTION("""COMPUTED_VALUE"""),"侯亭萱")</f>
        <v>侯亭萱</v>
      </c>
      <c r="D3111" s="16" t="str">
        <f>IFERROR(__xludf.DUMMYFUNCTION("""COMPUTED_VALUE"""),"she*****43.cy@mail.edu.tw")</f>
        <v>she*****43.cy@mail.edu.tw</v>
      </c>
      <c r="E3111" s="17" t="str">
        <f>IFERROR(__xludf.DUMMYFUNCTION("""COMPUTED_VALUE"""),"嘉義市西區世賢國民小學")</f>
        <v>嘉義市西區世賢國民小學</v>
      </c>
      <c r="F3111" s="14" t="str">
        <f>IFERROR(__xludf.DUMMYFUNCTION("""COMPUTED_VALUE"""),"六年級")</f>
        <v>六年級</v>
      </c>
      <c r="G3111" s="14" t="str">
        <f>IFERROR(__xludf.DUMMYFUNCTION("""COMPUTED_VALUE"""),"●小禮物")</f>
        <v>●小禮物</v>
      </c>
      <c r="H3111" s="8"/>
    </row>
    <row r="3112">
      <c r="A3112" s="18"/>
      <c r="B3112" s="14">
        <f>IFERROR(__xludf.DUMMYFUNCTION("""COMPUTED_VALUE"""),956729.0)</f>
        <v>956729</v>
      </c>
      <c r="C3112" s="14" t="str">
        <f>IFERROR(__xludf.DUMMYFUNCTION("""COMPUTED_VALUE"""),"孫婕瑜")</f>
        <v>孫婕瑜</v>
      </c>
      <c r="D3112" s="16" t="str">
        <f>IFERROR(__xludf.DUMMYFUNCTION("""COMPUTED_VALUE"""),"she*****44.cy@mail.edu.tw")</f>
        <v>she*****44.cy@mail.edu.tw</v>
      </c>
      <c r="E3112" s="17" t="str">
        <f>IFERROR(__xludf.DUMMYFUNCTION("""COMPUTED_VALUE"""),"嘉義市西區世賢國民小學")</f>
        <v>嘉義市西區世賢國民小學</v>
      </c>
      <c r="F3112" s="14" t="str">
        <f>IFERROR(__xludf.DUMMYFUNCTION("""COMPUTED_VALUE"""),"六年級")</f>
        <v>六年級</v>
      </c>
      <c r="G3112" s="14" t="str">
        <f>IFERROR(__xludf.DUMMYFUNCTION("""COMPUTED_VALUE"""),"●小禮物")</f>
        <v>●小禮物</v>
      </c>
      <c r="H3112" s="8"/>
    </row>
    <row r="3113">
      <c r="A3113" s="18"/>
      <c r="B3113" s="14">
        <f>IFERROR(__xludf.DUMMYFUNCTION("""COMPUTED_VALUE"""),705773.0)</f>
        <v>705773</v>
      </c>
      <c r="C3113" s="14" t="str">
        <f>IFERROR(__xludf.DUMMYFUNCTION("""COMPUTED_VALUE"""),"張芷瑄")</f>
        <v>張芷瑄</v>
      </c>
      <c r="D3113" s="16" t="str">
        <f>IFERROR(__xludf.DUMMYFUNCTION("""COMPUTED_VALUE"""),"she*****20.cy@mail.edu.tw")</f>
        <v>she*****20.cy@mail.edu.tw</v>
      </c>
      <c r="E3113" s="17" t="str">
        <f>IFERROR(__xludf.DUMMYFUNCTION("""COMPUTED_VALUE"""),"嘉義市西區世賢國民小學")</f>
        <v>嘉義市西區世賢國民小學</v>
      </c>
      <c r="F3113" s="14" t="str">
        <f>IFERROR(__xludf.DUMMYFUNCTION("""COMPUTED_VALUE"""),"六年級")</f>
        <v>六年級</v>
      </c>
      <c r="G3113" s="14" t="str">
        <f>IFERROR(__xludf.DUMMYFUNCTION("""COMPUTED_VALUE"""),"●小禮物")</f>
        <v>●小禮物</v>
      </c>
      <c r="H3113" s="8"/>
    </row>
    <row r="3114">
      <c r="A3114" s="18"/>
      <c r="B3114" s="14">
        <f>IFERROR(__xludf.DUMMYFUNCTION("""COMPUTED_VALUE"""),696546.0)</f>
        <v>696546</v>
      </c>
      <c r="C3114" s="14" t="str">
        <f>IFERROR(__xludf.DUMMYFUNCTION("""COMPUTED_VALUE"""),"莊懳瑀")</f>
        <v>莊懳瑀</v>
      </c>
      <c r="D3114" s="16" t="str">
        <f>IFERROR(__xludf.DUMMYFUNCTION("""COMPUTED_VALUE"""),"she*****17.cy@mail.edu.tw")</f>
        <v>she*****17.cy@mail.edu.tw</v>
      </c>
      <c r="E3114" s="17" t="str">
        <f>IFERROR(__xludf.DUMMYFUNCTION("""COMPUTED_VALUE"""),"嘉義市西區世賢國民小學")</f>
        <v>嘉義市西區世賢國民小學</v>
      </c>
      <c r="F3114" s="14" t="str">
        <f>IFERROR(__xludf.DUMMYFUNCTION("""COMPUTED_VALUE"""),"六年級")</f>
        <v>六年級</v>
      </c>
      <c r="G3114" s="14" t="str">
        <f>IFERROR(__xludf.DUMMYFUNCTION("""COMPUTED_VALUE"""),"●小禮物")</f>
        <v>●小禮物</v>
      </c>
      <c r="H3114" s="8"/>
    </row>
    <row r="3115">
      <c r="A3115" s="18"/>
      <c r="B3115" s="14">
        <f>IFERROR(__xludf.DUMMYFUNCTION("""COMPUTED_VALUE"""),687968.0)</f>
        <v>687968</v>
      </c>
      <c r="C3115" s="14" t="str">
        <f>IFERROR(__xludf.DUMMYFUNCTION("""COMPUTED_VALUE"""),"吳天信")</f>
        <v>吳天信</v>
      </c>
      <c r="D3115" s="16" t="str">
        <f>IFERROR(__xludf.DUMMYFUNCTION("""COMPUTED_VALUE"""),"she*****24.cy@mail.edu.tw")</f>
        <v>she*****24.cy@mail.edu.tw</v>
      </c>
      <c r="E3115" s="17" t="str">
        <f>IFERROR(__xludf.DUMMYFUNCTION("""COMPUTED_VALUE"""),"嘉義市西區世賢國民小學")</f>
        <v>嘉義市西區世賢國民小學</v>
      </c>
      <c r="F3115" s="14" t="str">
        <f>IFERROR(__xludf.DUMMYFUNCTION("""COMPUTED_VALUE"""),"六年級")</f>
        <v>六年級</v>
      </c>
      <c r="G3115" s="14" t="str">
        <f>IFERROR(__xludf.DUMMYFUNCTION("""COMPUTED_VALUE"""),"獎狀")</f>
        <v>獎狀</v>
      </c>
      <c r="H3115" s="8"/>
    </row>
    <row r="3116">
      <c r="A3116" s="18"/>
      <c r="B3116" s="14">
        <f>IFERROR(__xludf.DUMMYFUNCTION("""COMPUTED_VALUE"""),897543.0)</f>
        <v>897543</v>
      </c>
      <c r="C3116" s="14" t="str">
        <f>IFERROR(__xludf.DUMMYFUNCTION("""COMPUTED_VALUE"""),"張詠翔")</f>
        <v>張詠翔</v>
      </c>
      <c r="D3116" s="16" t="str">
        <f>IFERROR(__xludf.DUMMYFUNCTION("""COMPUTED_VALUE"""),"she*****76.cy@mail.edu.tw")</f>
        <v>she*****76.cy@mail.edu.tw</v>
      </c>
      <c r="E3116" s="17" t="str">
        <f>IFERROR(__xludf.DUMMYFUNCTION("""COMPUTED_VALUE"""),"嘉義市西區世賢國民小學")</f>
        <v>嘉義市西區世賢國民小學</v>
      </c>
      <c r="F3116" s="14" t="str">
        <f>IFERROR(__xludf.DUMMYFUNCTION("""COMPUTED_VALUE"""),"六年級")</f>
        <v>六年級</v>
      </c>
      <c r="G3116" s="14" t="str">
        <f>IFERROR(__xludf.DUMMYFUNCTION("""COMPUTED_VALUE"""),"獎狀")</f>
        <v>獎狀</v>
      </c>
      <c r="H3116" s="8"/>
    </row>
    <row r="3117">
      <c r="A3117" s="18"/>
      <c r="B3117" s="14">
        <f>IFERROR(__xludf.DUMMYFUNCTION("""COMPUTED_VALUE"""),897302.0)</f>
        <v>897302</v>
      </c>
      <c r="C3117" s="14" t="str">
        <f>IFERROR(__xludf.DUMMYFUNCTION("""COMPUTED_VALUE"""),"鄭皓中")</f>
        <v>鄭皓中</v>
      </c>
      <c r="D3117" s="16" t="str">
        <f>IFERROR(__xludf.DUMMYFUNCTION("""COMPUTED_VALUE"""),"she*****0.cy@mail.edu.tw")</f>
        <v>she*****0.cy@mail.edu.tw</v>
      </c>
      <c r="E3117" s="17" t="str">
        <f>IFERROR(__xludf.DUMMYFUNCTION("""COMPUTED_VALUE"""),"嘉義市西區世賢國民小學")</f>
        <v>嘉義市西區世賢國民小學</v>
      </c>
      <c r="F3117" s="14" t="str">
        <f>IFERROR(__xludf.DUMMYFUNCTION("""COMPUTED_VALUE"""),"六年級")</f>
        <v>六年級</v>
      </c>
      <c r="G3117" s="14" t="str">
        <f>IFERROR(__xludf.DUMMYFUNCTION("""COMPUTED_VALUE"""),"獎狀")</f>
        <v>獎狀</v>
      </c>
      <c r="H3117" s="8"/>
    </row>
    <row r="3118">
      <c r="A3118" s="18"/>
      <c r="B3118" s="14">
        <f>IFERROR(__xludf.DUMMYFUNCTION("""COMPUTED_VALUE"""),900217.0)</f>
        <v>900217</v>
      </c>
      <c r="C3118" s="14" t="str">
        <f>IFERROR(__xludf.DUMMYFUNCTION("""COMPUTED_VALUE"""),"楊杰勳")</f>
        <v>楊杰勳</v>
      </c>
      <c r="D3118" s="16" t="str">
        <f>IFERROR(__xludf.DUMMYFUNCTION("""COMPUTED_VALUE"""),"sch*****cy@mail.edu.tw")</f>
        <v>sch*****cy@mail.edu.tw</v>
      </c>
      <c r="E3118" s="17" t="str">
        <f>IFERROR(__xludf.DUMMYFUNCTION("""COMPUTED_VALUE"""),"嘉義市西區世賢國民小學")</f>
        <v>嘉義市西區世賢國民小學</v>
      </c>
      <c r="F3118" s="14" t="str">
        <f>IFERROR(__xludf.DUMMYFUNCTION("""COMPUTED_VALUE"""),"六年級")</f>
        <v>六年級</v>
      </c>
      <c r="G3118" s="14" t="str">
        <f>IFERROR(__xludf.DUMMYFUNCTION("""COMPUTED_VALUE"""),"●小禮物")</f>
        <v>●小禮物</v>
      </c>
      <c r="H3118" s="8"/>
    </row>
    <row r="3119">
      <c r="A3119" s="18"/>
      <c r="B3119" s="14">
        <f>IFERROR(__xludf.DUMMYFUNCTION("""COMPUTED_VALUE"""),956112.0)</f>
        <v>956112</v>
      </c>
      <c r="C3119" s="14" t="str">
        <f>IFERROR(__xludf.DUMMYFUNCTION("""COMPUTED_VALUE"""),"蔡豐疄")</f>
        <v>蔡豐疄</v>
      </c>
      <c r="D3119" s="16" t="str">
        <f>IFERROR(__xludf.DUMMYFUNCTION("""COMPUTED_VALUE"""),"she*****56.cy@mail.edu.tw")</f>
        <v>she*****56.cy@mail.edu.tw</v>
      </c>
      <c r="E3119" s="17" t="str">
        <f>IFERROR(__xludf.DUMMYFUNCTION("""COMPUTED_VALUE"""),"嘉義市西區世賢國民小學")</f>
        <v>嘉義市西區世賢國民小學</v>
      </c>
      <c r="F3119" s="14" t="str">
        <f>IFERROR(__xludf.DUMMYFUNCTION("""COMPUTED_VALUE"""),"六年級")</f>
        <v>六年級</v>
      </c>
      <c r="G3119" s="14" t="str">
        <f>IFERROR(__xludf.DUMMYFUNCTION("""COMPUTED_VALUE"""),"●小禮物")</f>
        <v>●小禮物</v>
      </c>
      <c r="H3119" s="8"/>
    </row>
    <row r="3120">
      <c r="A3120" s="18"/>
      <c r="B3120" s="14">
        <f>IFERROR(__xludf.DUMMYFUNCTION("""COMPUTED_VALUE"""),904354.0)</f>
        <v>904354</v>
      </c>
      <c r="C3120" s="14" t="str">
        <f>IFERROR(__xludf.DUMMYFUNCTION("""COMPUTED_VALUE"""),"蕭芷辰")</f>
        <v>蕭芷辰</v>
      </c>
      <c r="D3120" s="16" t="str">
        <f>IFERROR(__xludf.DUMMYFUNCTION("""COMPUTED_VALUE"""),"she*****20.cy@mail.edu.tw")</f>
        <v>she*****20.cy@mail.edu.tw</v>
      </c>
      <c r="E3120" s="17" t="str">
        <f>IFERROR(__xludf.DUMMYFUNCTION("""COMPUTED_VALUE"""),"嘉義市西區世賢國民小學")</f>
        <v>嘉義市西區世賢國民小學</v>
      </c>
      <c r="F3120" s="14" t="str">
        <f>IFERROR(__xludf.DUMMYFUNCTION("""COMPUTED_VALUE"""),"六年級")</f>
        <v>六年級</v>
      </c>
      <c r="G3120" s="14" t="str">
        <f>IFERROR(__xludf.DUMMYFUNCTION("""COMPUTED_VALUE"""),"獎狀")</f>
        <v>獎狀</v>
      </c>
      <c r="H3120" s="8"/>
    </row>
    <row r="3121">
      <c r="A3121" s="18"/>
      <c r="B3121" s="14">
        <f>IFERROR(__xludf.DUMMYFUNCTION("""COMPUTED_VALUE"""),570979.0)</f>
        <v>570979</v>
      </c>
      <c r="C3121" s="14" t="str">
        <f>IFERROR(__xludf.DUMMYFUNCTION("""COMPUTED_VALUE"""),"謝柏竑")</f>
        <v>謝柏竑</v>
      </c>
      <c r="D3121" s="16" t="str">
        <f>IFERROR(__xludf.DUMMYFUNCTION("""COMPUTED_VALUE"""),"she*****77.cy@mail.edu.tw")</f>
        <v>she*****77.cy@mail.edu.tw</v>
      </c>
      <c r="E3121" s="17" t="str">
        <f>IFERROR(__xludf.DUMMYFUNCTION("""COMPUTED_VALUE"""),"嘉義市西區世賢國民小學")</f>
        <v>嘉義市西區世賢國民小學</v>
      </c>
      <c r="F3121" s="14" t="str">
        <f>IFERROR(__xludf.DUMMYFUNCTION("""COMPUTED_VALUE"""),"六年級")</f>
        <v>六年級</v>
      </c>
      <c r="G3121" s="14" t="str">
        <f>IFERROR(__xludf.DUMMYFUNCTION("""COMPUTED_VALUE"""),"獎狀")</f>
        <v>獎狀</v>
      </c>
      <c r="H3121" s="8"/>
    </row>
    <row r="3122">
      <c r="A3122" s="18"/>
      <c r="B3122" s="14">
        <f>IFERROR(__xludf.DUMMYFUNCTION("""COMPUTED_VALUE"""),1122655.0)</f>
        <v>1122655</v>
      </c>
      <c r="C3122" s="14" t="str">
        <f>IFERROR(__xludf.DUMMYFUNCTION("""COMPUTED_VALUE"""),"林湘穎")</f>
        <v>林湘穎</v>
      </c>
      <c r="D3122" s="16" t="str">
        <f>IFERROR(__xludf.DUMMYFUNCTION("""COMPUTED_VALUE"""),"zzz*****72@mail.edu.tw")</f>
        <v>zzz*****72@mail.edu.tw</v>
      </c>
      <c r="E3122" s="17" t="str">
        <f>IFERROR(__xludf.DUMMYFUNCTION("""COMPUTED_VALUE"""),"嘉義市西區志航國民小學")</f>
        <v>嘉義市西區志航國民小學</v>
      </c>
      <c r="F3122" s="14" t="str">
        <f>IFERROR(__xludf.DUMMYFUNCTION("""COMPUTED_VALUE"""),"六年級")</f>
        <v>六年級</v>
      </c>
      <c r="G3122" s="14" t="str">
        <f>IFERROR(__xludf.DUMMYFUNCTION("""COMPUTED_VALUE"""),"獎狀")</f>
        <v>獎狀</v>
      </c>
      <c r="H3122" s="8"/>
    </row>
    <row r="3123">
      <c r="A3123" s="18"/>
      <c r="B3123" s="14">
        <f>IFERROR(__xludf.DUMMYFUNCTION("""COMPUTED_VALUE"""),719042.0)</f>
        <v>719042</v>
      </c>
      <c r="C3123" s="14" t="str">
        <f>IFERROR(__xludf.DUMMYFUNCTION("""COMPUTED_VALUE"""),"吳婕衣")</f>
        <v>吳婕衣</v>
      </c>
      <c r="D3123" s="16" t="str">
        <f>IFERROR(__xludf.DUMMYFUNCTION("""COMPUTED_VALUE"""),"a09*****129@gmail.com")</f>
        <v>a09*****129@gmail.com</v>
      </c>
      <c r="E3123" s="17" t="str">
        <f>IFERROR(__xludf.DUMMYFUNCTION("""COMPUTED_VALUE"""),"嘉義市西區大同國民小學")</f>
        <v>嘉義市西區大同國民小學</v>
      </c>
      <c r="F3123" s="14" t="str">
        <f>IFERROR(__xludf.DUMMYFUNCTION("""COMPUTED_VALUE"""),"三年級")</f>
        <v>三年級</v>
      </c>
      <c r="G3123" s="14" t="str">
        <f>IFERROR(__xludf.DUMMYFUNCTION("""COMPUTED_VALUE"""),"獎狀")</f>
        <v>獎狀</v>
      </c>
      <c r="H3123" s="8"/>
    </row>
    <row r="3124">
      <c r="A3124" s="18"/>
      <c r="B3124" s="14">
        <f>IFERROR(__xludf.DUMMYFUNCTION("""COMPUTED_VALUE"""),1094508.0)</f>
        <v>1094508</v>
      </c>
      <c r="C3124" s="14" t="str">
        <f>IFERROR(__xludf.DUMMYFUNCTION("""COMPUTED_VALUE"""),"黃品璇")</f>
        <v>黃品璇</v>
      </c>
      <c r="D3124" s="16" t="str">
        <f>IFERROR(__xludf.DUMMYFUNCTION("""COMPUTED_VALUE"""),"p27*****60@gmail.com")</f>
        <v>p27*****60@gmail.com</v>
      </c>
      <c r="E3124" s="17" t="str">
        <f>IFERROR(__xludf.DUMMYFUNCTION("""COMPUTED_VALUE"""),"嘉義市東區蘭潭國民小學")</f>
        <v>嘉義市東區蘭潭國民小學</v>
      </c>
      <c r="F3124" s="14" t="str">
        <f>IFERROR(__xludf.DUMMYFUNCTION("""COMPUTED_VALUE"""),"三年級")</f>
        <v>三年級</v>
      </c>
      <c r="G3124" s="14" t="str">
        <f>IFERROR(__xludf.DUMMYFUNCTION("""COMPUTED_VALUE"""),"獎狀")</f>
        <v>獎狀</v>
      </c>
      <c r="H3124" s="8"/>
    </row>
    <row r="3125">
      <c r="A3125" s="18"/>
      <c r="B3125" s="14">
        <f>IFERROR(__xludf.DUMMYFUNCTION("""COMPUTED_VALUE"""),579807.0)</f>
        <v>579807</v>
      </c>
      <c r="C3125" s="14" t="str">
        <f>IFERROR(__xludf.DUMMYFUNCTION("""COMPUTED_VALUE"""),"王宥心")</f>
        <v>王宥心</v>
      </c>
      <c r="D3125" s="16" t="str">
        <f>IFERROR(__xludf.DUMMYFUNCTION("""COMPUTED_VALUE"""),"lis*****g@gmail.com")</f>
        <v>lis*****g@gmail.com</v>
      </c>
      <c r="E3125" s="17" t="str">
        <f>IFERROR(__xludf.DUMMYFUNCTION("""COMPUTED_VALUE"""),"嘉義市東區蘭潭國民小學")</f>
        <v>嘉義市東區蘭潭國民小學</v>
      </c>
      <c r="F3125" s="14" t="str">
        <f>IFERROR(__xludf.DUMMYFUNCTION("""COMPUTED_VALUE"""),"四年級")</f>
        <v>四年級</v>
      </c>
      <c r="G3125" s="14" t="str">
        <f>IFERROR(__xludf.DUMMYFUNCTION("""COMPUTED_VALUE"""),"獎狀")</f>
        <v>獎狀</v>
      </c>
      <c r="H3125" s="8"/>
    </row>
    <row r="3126">
      <c r="A3126" s="18"/>
      <c r="B3126" s="14">
        <f>IFERROR(__xludf.DUMMYFUNCTION("""COMPUTED_VALUE"""),957827.0)</f>
        <v>957827</v>
      </c>
      <c r="C3126" s="14" t="str">
        <f>IFERROR(__xludf.DUMMYFUNCTION("""COMPUTED_VALUE"""),"黃品諺")</f>
        <v>黃品諺</v>
      </c>
      <c r="D3126" s="16" t="str">
        <f>IFERROR(__xludf.DUMMYFUNCTION("""COMPUTED_VALUE"""),"wil*****92001@mail.edu.tw")</f>
        <v>wil*****92001@mail.edu.tw</v>
      </c>
      <c r="E3126" s="17" t="str">
        <f>IFERROR(__xludf.DUMMYFUNCTION("""COMPUTED_VALUE"""),"嘉義市東區蘭潭國民小學")</f>
        <v>嘉義市東區蘭潭國民小學</v>
      </c>
      <c r="F3126" s="14" t="str">
        <f>IFERROR(__xludf.DUMMYFUNCTION("""COMPUTED_VALUE"""),"四年級")</f>
        <v>四年級</v>
      </c>
      <c r="G3126" s="14" t="str">
        <f>IFERROR(__xludf.DUMMYFUNCTION("""COMPUTED_VALUE"""),"獎狀")</f>
        <v>獎狀</v>
      </c>
      <c r="H3126" s="8"/>
    </row>
    <row r="3127">
      <c r="A3127" s="18"/>
      <c r="B3127" s="14">
        <f>IFERROR(__xludf.DUMMYFUNCTION("""COMPUTED_VALUE"""),1192267.0)</f>
        <v>1192267</v>
      </c>
      <c r="C3127" s="14" t="str">
        <f>IFERROR(__xludf.DUMMYFUNCTION("""COMPUTED_VALUE"""),"黃漢洋")</f>
        <v>黃漢洋</v>
      </c>
      <c r="D3127" s="16" t="str">
        <f>IFERROR(__xludf.DUMMYFUNCTION("""COMPUTED_VALUE"""),"110*****@stu.ltes.cy.edu.tw")</f>
        <v>110*****@stu.ltes.cy.edu.tw</v>
      </c>
      <c r="E3127" s="17" t="str">
        <f>IFERROR(__xludf.DUMMYFUNCTION("""COMPUTED_VALUE"""),"嘉義市東區蘭潭國民小學")</f>
        <v>嘉義市東區蘭潭國民小學</v>
      </c>
      <c r="F3127" s="14" t="str">
        <f>IFERROR(__xludf.DUMMYFUNCTION("""COMPUTED_VALUE"""),"四年級")</f>
        <v>四年級</v>
      </c>
      <c r="G3127" s="14" t="str">
        <f>IFERROR(__xludf.DUMMYFUNCTION("""COMPUTED_VALUE"""),"獎狀")</f>
        <v>獎狀</v>
      </c>
      <c r="H3127" s="8"/>
    </row>
    <row r="3128">
      <c r="A3128" s="18"/>
      <c r="B3128" s="14">
        <f>IFERROR(__xludf.DUMMYFUNCTION("""COMPUTED_VALUE"""),565335.0)</f>
        <v>565335</v>
      </c>
      <c r="C3128" s="14" t="str">
        <f>IFERROR(__xludf.DUMMYFUNCTION("""COMPUTED_VALUE"""),"陳玟瑾")</f>
        <v>陳玟瑾</v>
      </c>
      <c r="D3128" s="16" t="str">
        <f>IFERROR(__xludf.DUMMYFUNCTION("""COMPUTED_VALUE"""),"jan*****13@mail.edu.tw")</f>
        <v>jan*****13@mail.edu.tw</v>
      </c>
      <c r="E3128" s="17" t="str">
        <f>IFERROR(__xludf.DUMMYFUNCTION("""COMPUTED_VALUE"""),"嘉義市東區蘭潭國民小學")</f>
        <v>嘉義市東區蘭潭國民小學</v>
      </c>
      <c r="F3128" s="14" t="str">
        <f>IFERROR(__xludf.DUMMYFUNCTION("""COMPUTED_VALUE"""),"五年級")</f>
        <v>五年級</v>
      </c>
      <c r="G3128" s="14" t="str">
        <f>IFERROR(__xludf.DUMMYFUNCTION("""COMPUTED_VALUE"""),"●小禮物")</f>
        <v>●小禮物</v>
      </c>
      <c r="H3128" s="8"/>
    </row>
    <row r="3129">
      <c r="A3129" s="18"/>
      <c r="B3129" s="14">
        <f>IFERROR(__xludf.DUMMYFUNCTION("""COMPUTED_VALUE"""),586250.0)</f>
        <v>586250</v>
      </c>
      <c r="C3129" s="14" t="str">
        <f>IFERROR(__xludf.DUMMYFUNCTION("""COMPUTED_VALUE"""),"程姵蓁")</f>
        <v>程姵蓁</v>
      </c>
      <c r="D3129" s="16" t="str">
        <f>IFERROR(__xludf.DUMMYFUNCTION("""COMPUTED_VALUE"""),"els*****@mail.edu.tw")</f>
        <v>els*****@mail.edu.tw</v>
      </c>
      <c r="E3129" s="17" t="str">
        <f>IFERROR(__xludf.DUMMYFUNCTION("""COMPUTED_VALUE"""),"嘉義市東區蘭潭國民小學")</f>
        <v>嘉義市東區蘭潭國民小學</v>
      </c>
      <c r="F3129" s="14" t="str">
        <f>IFERROR(__xludf.DUMMYFUNCTION("""COMPUTED_VALUE"""),"五年級")</f>
        <v>五年級</v>
      </c>
      <c r="G3129" s="14" t="str">
        <f>IFERROR(__xludf.DUMMYFUNCTION("""COMPUTED_VALUE"""),"●小禮物")</f>
        <v>●小禮物</v>
      </c>
      <c r="H3129" s="8"/>
    </row>
    <row r="3130">
      <c r="A3130" s="18"/>
      <c r="B3130" s="14">
        <f>IFERROR(__xludf.DUMMYFUNCTION("""COMPUTED_VALUE"""),1196471.0)</f>
        <v>1196471</v>
      </c>
      <c r="C3130" s="14" t="str">
        <f>IFERROR(__xludf.DUMMYFUNCTION("""COMPUTED_VALUE"""),"葉書瑋")</f>
        <v>葉書瑋</v>
      </c>
      <c r="D3130" s="16" t="str">
        <f>IFERROR(__xludf.DUMMYFUNCTION("""COMPUTED_VALUE"""),"lte*****0412@stu.ltes.cy.edu.tw")</f>
        <v>lte*****0412@stu.ltes.cy.edu.tw</v>
      </c>
      <c r="E3130" s="17" t="str">
        <f>IFERROR(__xludf.DUMMYFUNCTION("""COMPUTED_VALUE"""),"嘉義市東區蘭潭國民小學")</f>
        <v>嘉義市東區蘭潭國民小學</v>
      </c>
      <c r="F3130" s="14" t="str">
        <f>IFERROR(__xludf.DUMMYFUNCTION("""COMPUTED_VALUE"""),"五年級")</f>
        <v>五年級</v>
      </c>
      <c r="G3130" s="14" t="str">
        <f>IFERROR(__xludf.DUMMYFUNCTION("""COMPUTED_VALUE"""),"獎狀")</f>
        <v>獎狀</v>
      </c>
      <c r="H3130" s="8"/>
    </row>
    <row r="3131">
      <c r="A3131" s="18"/>
      <c r="B3131" s="14">
        <f>IFERROR(__xludf.DUMMYFUNCTION("""COMPUTED_VALUE"""),783389.0)</f>
        <v>783389</v>
      </c>
      <c r="C3131" s="14" t="str">
        <f>IFERROR(__xludf.DUMMYFUNCTION("""COMPUTED_VALUE"""),"林家瑜")</f>
        <v>林家瑜</v>
      </c>
      <c r="D3131" s="16" t="str">
        <f>IFERROR(__xludf.DUMMYFUNCTION("""COMPUTED_VALUE"""),"m10*****cy@mail.edu.tw")</f>
        <v>m10*****cy@mail.edu.tw</v>
      </c>
      <c r="E3131" s="17" t="str">
        <f>IFERROR(__xludf.DUMMYFUNCTION("""COMPUTED_VALUE"""),"嘉義市東區民族國民小學")</f>
        <v>嘉義市東區民族國民小學</v>
      </c>
      <c r="F3131" s="14" t="str">
        <f>IFERROR(__xludf.DUMMYFUNCTION("""COMPUTED_VALUE"""),"四年級")</f>
        <v>四年級</v>
      </c>
      <c r="G3131" s="14" t="str">
        <f>IFERROR(__xludf.DUMMYFUNCTION("""COMPUTED_VALUE"""),"●小禮物")</f>
        <v>●小禮物</v>
      </c>
      <c r="H3131" s="8"/>
    </row>
    <row r="3132">
      <c r="A3132" s="18"/>
      <c r="B3132" s="14">
        <f>IFERROR(__xludf.DUMMYFUNCTION("""COMPUTED_VALUE"""),783359.0)</f>
        <v>783359</v>
      </c>
      <c r="C3132" s="14" t="str">
        <f>IFERROR(__xludf.DUMMYFUNCTION("""COMPUTED_VALUE"""),"蔡易廷")</f>
        <v>蔡易廷</v>
      </c>
      <c r="D3132" s="16" t="str">
        <f>IFERROR(__xludf.DUMMYFUNCTION("""COMPUTED_VALUE"""),"m10*****cy@mail.edu.tw")</f>
        <v>m10*****cy@mail.edu.tw</v>
      </c>
      <c r="E3132" s="17" t="str">
        <f>IFERROR(__xludf.DUMMYFUNCTION("""COMPUTED_VALUE"""),"嘉義市東區民族國民小學")</f>
        <v>嘉義市東區民族國民小學</v>
      </c>
      <c r="F3132" s="14" t="str">
        <f>IFERROR(__xludf.DUMMYFUNCTION("""COMPUTED_VALUE"""),"四年級")</f>
        <v>四年級</v>
      </c>
      <c r="G3132" s="14" t="str">
        <f>IFERROR(__xludf.DUMMYFUNCTION("""COMPUTED_VALUE"""),"●小禮物")</f>
        <v>●小禮物</v>
      </c>
      <c r="H3132" s="8"/>
    </row>
    <row r="3133">
      <c r="A3133" s="18"/>
      <c r="B3133" s="14">
        <f>IFERROR(__xludf.DUMMYFUNCTION("""COMPUTED_VALUE"""),853014.0)</f>
        <v>853014</v>
      </c>
      <c r="C3133" s="14" t="str">
        <f>IFERROR(__xludf.DUMMYFUNCTION("""COMPUTED_VALUE"""),"賴冠安")</f>
        <v>賴冠安</v>
      </c>
      <c r="D3133" s="16" t="str">
        <f>IFERROR(__xludf.DUMMYFUNCTION("""COMPUTED_VALUE"""),"m10*****cy@mail.edu.tw")</f>
        <v>m10*****cy@mail.edu.tw</v>
      </c>
      <c r="E3133" s="17" t="str">
        <f>IFERROR(__xludf.DUMMYFUNCTION("""COMPUTED_VALUE"""),"嘉義市東區民族國民小學")</f>
        <v>嘉義市東區民族國民小學</v>
      </c>
      <c r="F3133" s="14" t="str">
        <f>IFERROR(__xludf.DUMMYFUNCTION("""COMPUTED_VALUE"""),"四年級")</f>
        <v>四年級</v>
      </c>
      <c r="G3133" s="14" t="str">
        <f>IFERROR(__xludf.DUMMYFUNCTION("""COMPUTED_VALUE"""),"●小禮物")</f>
        <v>●小禮物</v>
      </c>
      <c r="H3133" s="8"/>
    </row>
    <row r="3134">
      <c r="A3134" s="18"/>
      <c r="B3134" s="14">
        <f>IFERROR(__xludf.DUMMYFUNCTION("""COMPUTED_VALUE"""),783368.0)</f>
        <v>783368</v>
      </c>
      <c r="C3134" s="14" t="str">
        <f>IFERROR(__xludf.DUMMYFUNCTION("""COMPUTED_VALUE"""),"賴昱睿")</f>
        <v>賴昱睿</v>
      </c>
      <c r="D3134" s="16" t="str">
        <f>IFERROR(__xludf.DUMMYFUNCTION("""COMPUTED_VALUE"""),"m10*****cy@mail.edu.tw")</f>
        <v>m10*****cy@mail.edu.tw</v>
      </c>
      <c r="E3134" s="17" t="str">
        <f>IFERROR(__xludf.DUMMYFUNCTION("""COMPUTED_VALUE"""),"嘉義市東區民族國民小學")</f>
        <v>嘉義市東區民族國民小學</v>
      </c>
      <c r="F3134" s="14" t="str">
        <f>IFERROR(__xludf.DUMMYFUNCTION("""COMPUTED_VALUE"""),"四年級")</f>
        <v>四年級</v>
      </c>
      <c r="G3134" s="14" t="str">
        <f>IFERROR(__xludf.DUMMYFUNCTION("""COMPUTED_VALUE"""),"●小禮物")</f>
        <v>●小禮物</v>
      </c>
      <c r="H3134" s="8"/>
    </row>
    <row r="3135">
      <c r="A3135" s="18"/>
      <c r="B3135" s="14">
        <f>IFERROR(__xludf.DUMMYFUNCTION("""COMPUTED_VALUE"""),783365.0)</f>
        <v>783365</v>
      </c>
      <c r="C3135" s="14" t="str">
        <f>IFERROR(__xludf.DUMMYFUNCTION("""COMPUTED_VALUE"""),"謝禮謙")</f>
        <v>謝禮謙</v>
      </c>
      <c r="D3135" s="16" t="str">
        <f>IFERROR(__xludf.DUMMYFUNCTION("""COMPUTED_VALUE"""),"m10*****cy@mail.edu.tw")</f>
        <v>m10*****cy@mail.edu.tw</v>
      </c>
      <c r="E3135" s="17" t="str">
        <f>IFERROR(__xludf.DUMMYFUNCTION("""COMPUTED_VALUE"""),"嘉義市東區民族國民小學")</f>
        <v>嘉義市東區民族國民小學</v>
      </c>
      <c r="F3135" s="14" t="str">
        <f>IFERROR(__xludf.DUMMYFUNCTION("""COMPUTED_VALUE"""),"四年級")</f>
        <v>四年級</v>
      </c>
      <c r="G3135" s="14" t="str">
        <f>IFERROR(__xludf.DUMMYFUNCTION("""COMPUTED_VALUE"""),"●小禮物")</f>
        <v>●小禮物</v>
      </c>
      <c r="H3135" s="8"/>
    </row>
    <row r="3136">
      <c r="A3136" s="18"/>
      <c r="B3136" s="14">
        <f>IFERROR(__xludf.DUMMYFUNCTION("""COMPUTED_VALUE"""),783386.0)</f>
        <v>783386</v>
      </c>
      <c r="C3136" s="14" t="str">
        <f>IFERROR(__xludf.DUMMYFUNCTION("""COMPUTED_VALUE"""),"龔郁晴")</f>
        <v>龔郁晴</v>
      </c>
      <c r="D3136" s="16" t="str">
        <f>IFERROR(__xludf.DUMMYFUNCTION("""COMPUTED_VALUE"""),"m10*****cy@mail.edu.tw")</f>
        <v>m10*****cy@mail.edu.tw</v>
      </c>
      <c r="E3136" s="17" t="str">
        <f>IFERROR(__xludf.DUMMYFUNCTION("""COMPUTED_VALUE"""),"嘉義市東區民族國民小學")</f>
        <v>嘉義市東區民族國民小學</v>
      </c>
      <c r="F3136" s="14" t="str">
        <f>IFERROR(__xludf.DUMMYFUNCTION("""COMPUTED_VALUE"""),"四年級")</f>
        <v>四年級</v>
      </c>
      <c r="G3136" s="14" t="str">
        <f>IFERROR(__xludf.DUMMYFUNCTION("""COMPUTED_VALUE"""),"●小禮物")</f>
        <v>●小禮物</v>
      </c>
      <c r="H3136" s="8"/>
    </row>
    <row r="3137">
      <c r="A3137" s="18"/>
      <c r="B3137" s="14">
        <f>IFERROR(__xludf.DUMMYFUNCTION("""COMPUTED_VALUE"""),783396.0)</f>
        <v>783396</v>
      </c>
      <c r="C3137" s="14" t="str">
        <f>IFERROR(__xludf.DUMMYFUNCTION("""COMPUTED_VALUE"""),"江品希")</f>
        <v>江品希</v>
      </c>
      <c r="D3137" s="16" t="str">
        <f>IFERROR(__xludf.DUMMYFUNCTION("""COMPUTED_VALUE"""),"m10*****cy@mail.edu.tw")</f>
        <v>m10*****cy@mail.edu.tw</v>
      </c>
      <c r="E3137" s="17" t="str">
        <f>IFERROR(__xludf.DUMMYFUNCTION("""COMPUTED_VALUE"""),"嘉義市東區民族國民小學")</f>
        <v>嘉義市東區民族國民小學</v>
      </c>
      <c r="F3137" s="14" t="str">
        <f>IFERROR(__xludf.DUMMYFUNCTION("""COMPUTED_VALUE"""),"四年級")</f>
        <v>四年級</v>
      </c>
      <c r="G3137" s="14" t="str">
        <f>IFERROR(__xludf.DUMMYFUNCTION("""COMPUTED_VALUE"""),"獎狀")</f>
        <v>獎狀</v>
      </c>
      <c r="H3137" s="8"/>
    </row>
    <row r="3138">
      <c r="A3138" s="18"/>
      <c r="B3138" s="14">
        <f>IFERROR(__xludf.DUMMYFUNCTION("""COMPUTED_VALUE"""),783373.0)</f>
        <v>783373</v>
      </c>
      <c r="C3138" s="14" t="str">
        <f>IFERROR(__xludf.DUMMYFUNCTION("""COMPUTED_VALUE"""),"馬巧芃")</f>
        <v>馬巧芃</v>
      </c>
      <c r="D3138" s="16" t="str">
        <f>IFERROR(__xludf.DUMMYFUNCTION("""COMPUTED_VALUE"""),"m10*****cy@mail.edu.tw")</f>
        <v>m10*****cy@mail.edu.tw</v>
      </c>
      <c r="E3138" s="17" t="str">
        <f>IFERROR(__xludf.DUMMYFUNCTION("""COMPUTED_VALUE"""),"嘉義市東區民族國民小學")</f>
        <v>嘉義市東區民族國民小學</v>
      </c>
      <c r="F3138" s="14" t="str">
        <f>IFERROR(__xludf.DUMMYFUNCTION("""COMPUTED_VALUE"""),"四年級")</f>
        <v>四年級</v>
      </c>
      <c r="G3138" s="14" t="str">
        <f>IFERROR(__xludf.DUMMYFUNCTION("""COMPUTED_VALUE"""),"獎狀")</f>
        <v>獎狀</v>
      </c>
      <c r="H3138" s="8"/>
    </row>
    <row r="3139">
      <c r="A3139" s="18"/>
      <c r="B3139" s="14">
        <f>IFERROR(__xludf.DUMMYFUNCTION("""COMPUTED_VALUE"""),783378.0)</f>
        <v>783378</v>
      </c>
      <c r="C3139" s="14" t="str">
        <f>IFERROR(__xludf.DUMMYFUNCTION("""COMPUTED_VALUE"""),"張雨柔")</f>
        <v>張雨柔</v>
      </c>
      <c r="D3139" s="16" t="str">
        <f>IFERROR(__xludf.DUMMYFUNCTION("""COMPUTED_VALUE"""),"m10*****cy@mail.edu.tw")</f>
        <v>m10*****cy@mail.edu.tw</v>
      </c>
      <c r="E3139" s="17" t="str">
        <f>IFERROR(__xludf.DUMMYFUNCTION("""COMPUTED_VALUE"""),"嘉義市東區民族國民小學")</f>
        <v>嘉義市東區民族國民小學</v>
      </c>
      <c r="F3139" s="14" t="str">
        <f>IFERROR(__xludf.DUMMYFUNCTION("""COMPUTED_VALUE"""),"四年級")</f>
        <v>四年級</v>
      </c>
      <c r="G3139" s="14" t="str">
        <f>IFERROR(__xludf.DUMMYFUNCTION("""COMPUTED_VALUE"""),"獎狀")</f>
        <v>獎狀</v>
      </c>
      <c r="H3139" s="8"/>
    </row>
    <row r="3140">
      <c r="A3140" s="18"/>
      <c r="B3140" s="14">
        <f>IFERROR(__xludf.DUMMYFUNCTION("""COMPUTED_VALUE"""),783357.0)</f>
        <v>783357</v>
      </c>
      <c r="C3140" s="14" t="str">
        <f>IFERROR(__xludf.DUMMYFUNCTION("""COMPUTED_VALUE"""),"陳奕嘉")</f>
        <v>陳奕嘉</v>
      </c>
      <c r="D3140" s="16" t="str">
        <f>IFERROR(__xludf.DUMMYFUNCTION("""COMPUTED_VALUE"""),"m10*****cy@mail.edu.tw")</f>
        <v>m10*****cy@mail.edu.tw</v>
      </c>
      <c r="E3140" s="17" t="str">
        <f>IFERROR(__xludf.DUMMYFUNCTION("""COMPUTED_VALUE"""),"嘉義市東區民族國民小學")</f>
        <v>嘉義市東區民族國民小學</v>
      </c>
      <c r="F3140" s="14" t="str">
        <f>IFERROR(__xludf.DUMMYFUNCTION("""COMPUTED_VALUE"""),"四年級")</f>
        <v>四年級</v>
      </c>
      <c r="G3140" s="14" t="str">
        <f>IFERROR(__xludf.DUMMYFUNCTION("""COMPUTED_VALUE"""),"獎狀")</f>
        <v>獎狀</v>
      </c>
      <c r="H3140" s="8"/>
    </row>
    <row r="3141">
      <c r="A3141" s="18"/>
      <c r="B3141" s="14">
        <f>IFERROR(__xludf.DUMMYFUNCTION("""COMPUTED_VALUE"""),783381.0)</f>
        <v>783381</v>
      </c>
      <c r="C3141" s="14" t="str">
        <f>IFERROR(__xludf.DUMMYFUNCTION("""COMPUTED_VALUE"""),"陳炫臻")</f>
        <v>陳炫臻</v>
      </c>
      <c r="D3141" s="16" t="str">
        <f>IFERROR(__xludf.DUMMYFUNCTION("""COMPUTED_VALUE"""),"m10*****cy@mail.edu.tw")</f>
        <v>m10*****cy@mail.edu.tw</v>
      </c>
      <c r="E3141" s="17" t="str">
        <f>IFERROR(__xludf.DUMMYFUNCTION("""COMPUTED_VALUE"""),"嘉義市東區民族國民小學")</f>
        <v>嘉義市東區民族國民小學</v>
      </c>
      <c r="F3141" s="14" t="str">
        <f>IFERROR(__xludf.DUMMYFUNCTION("""COMPUTED_VALUE"""),"四年級")</f>
        <v>四年級</v>
      </c>
      <c r="G3141" s="14" t="str">
        <f>IFERROR(__xludf.DUMMYFUNCTION("""COMPUTED_VALUE"""),"獎狀")</f>
        <v>獎狀</v>
      </c>
      <c r="H3141" s="8"/>
    </row>
    <row r="3142">
      <c r="A3142" s="18"/>
      <c r="B3142" s="14">
        <f>IFERROR(__xludf.DUMMYFUNCTION("""COMPUTED_VALUE"""),791939.0)</f>
        <v>791939</v>
      </c>
      <c r="C3142" s="14" t="str">
        <f>IFERROR(__xludf.DUMMYFUNCTION("""COMPUTED_VALUE"""),"王苡宸")</f>
        <v>王苡宸</v>
      </c>
      <c r="D3142" s="16" t="str">
        <f>IFERROR(__xludf.DUMMYFUNCTION("""COMPUTED_VALUE"""),"m10*****cy@mail.edu.tw")</f>
        <v>m10*****cy@mail.edu.tw</v>
      </c>
      <c r="E3142" s="17" t="str">
        <f>IFERROR(__xludf.DUMMYFUNCTION("""COMPUTED_VALUE"""),"嘉義市東區民族國民小學")</f>
        <v>嘉義市東區民族國民小學</v>
      </c>
      <c r="F3142" s="14" t="str">
        <f>IFERROR(__xludf.DUMMYFUNCTION("""COMPUTED_VALUE"""),"四年級")</f>
        <v>四年級</v>
      </c>
      <c r="G3142" s="14" t="str">
        <f>IFERROR(__xludf.DUMMYFUNCTION("""COMPUTED_VALUE"""),"●小禮物")</f>
        <v>●小禮物</v>
      </c>
      <c r="H3142" s="8"/>
    </row>
    <row r="3143">
      <c r="A3143" s="18"/>
      <c r="B3143" s="14">
        <f>IFERROR(__xludf.DUMMYFUNCTION("""COMPUTED_VALUE"""),783465.0)</f>
        <v>783465</v>
      </c>
      <c r="C3143" s="14" t="str">
        <f>IFERROR(__xludf.DUMMYFUNCTION("""COMPUTED_VALUE"""),"李恩宇")</f>
        <v>李恩宇</v>
      </c>
      <c r="D3143" s="16" t="str">
        <f>IFERROR(__xludf.DUMMYFUNCTION("""COMPUTED_VALUE"""),"m10*****cy@mail.edu.tw")</f>
        <v>m10*****cy@mail.edu.tw</v>
      </c>
      <c r="E3143" s="17" t="str">
        <f>IFERROR(__xludf.DUMMYFUNCTION("""COMPUTED_VALUE"""),"嘉義市東區民族國民小學")</f>
        <v>嘉義市東區民族國民小學</v>
      </c>
      <c r="F3143" s="14" t="str">
        <f>IFERROR(__xludf.DUMMYFUNCTION("""COMPUTED_VALUE"""),"四年級")</f>
        <v>四年級</v>
      </c>
      <c r="G3143" s="14" t="str">
        <f>IFERROR(__xludf.DUMMYFUNCTION("""COMPUTED_VALUE"""),"●小禮物")</f>
        <v>●小禮物</v>
      </c>
      <c r="H3143" s="8"/>
    </row>
    <row r="3144">
      <c r="A3144" s="18"/>
      <c r="B3144" s="14">
        <f>IFERROR(__xludf.DUMMYFUNCTION("""COMPUTED_VALUE"""),791933.0)</f>
        <v>791933</v>
      </c>
      <c r="C3144" s="14" t="str">
        <f>IFERROR(__xludf.DUMMYFUNCTION("""COMPUTED_VALUE"""),"林玄涵")</f>
        <v>林玄涵</v>
      </c>
      <c r="D3144" s="16" t="str">
        <f>IFERROR(__xludf.DUMMYFUNCTION("""COMPUTED_VALUE"""),"m10*****cy@mail.edu.tw")</f>
        <v>m10*****cy@mail.edu.tw</v>
      </c>
      <c r="E3144" s="17" t="str">
        <f>IFERROR(__xludf.DUMMYFUNCTION("""COMPUTED_VALUE"""),"嘉義市東區民族國民小學")</f>
        <v>嘉義市東區民族國民小學</v>
      </c>
      <c r="F3144" s="14" t="str">
        <f>IFERROR(__xludf.DUMMYFUNCTION("""COMPUTED_VALUE"""),"四年級")</f>
        <v>四年級</v>
      </c>
      <c r="G3144" s="14" t="str">
        <f>IFERROR(__xludf.DUMMYFUNCTION("""COMPUTED_VALUE"""),"●小禮物")</f>
        <v>●小禮物</v>
      </c>
      <c r="H3144" s="8"/>
    </row>
    <row r="3145">
      <c r="A3145" s="18"/>
      <c r="B3145" s="14">
        <f>IFERROR(__xludf.DUMMYFUNCTION("""COMPUTED_VALUE"""),791936.0)</f>
        <v>791936</v>
      </c>
      <c r="C3145" s="14" t="str">
        <f>IFERROR(__xludf.DUMMYFUNCTION("""COMPUTED_VALUE"""),"林微芝")</f>
        <v>林微芝</v>
      </c>
      <c r="D3145" s="16" t="str">
        <f>IFERROR(__xludf.DUMMYFUNCTION("""COMPUTED_VALUE"""),"m10*****cy@mail.edu.tw")</f>
        <v>m10*****cy@mail.edu.tw</v>
      </c>
      <c r="E3145" s="17" t="str">
        <f>IFERROR(__xludf.DUMMYFUNCTION("""COMPUTED_VALUE"""),"嘉義市東區民族國民小學")</f>
        <v>嘉義市東區民族國民小學</v>
      </c>
      <c r="F3145" s="14" t="str">
        <f>IFERROR(__xludf.DUMMYFUNCTION("""COMPUTED_VALUE"""),"四年級")</f>
        <v>四年級</v>
      </c>
      <c r="G3145" s="14" t="str">
        <f>IFERROR(__xludf.DUMMYFUNCTION("""COMPUTED_VALUE"""),"●小禮物")</f>
        <v>●小禮物</v>
      </c>
      <c r="H3145" s="8"/>
    </row>
    <row r="3146">
      <c r="A3146" s="18"/>
      <c r="B3146" s="14">
        <f>IFERROR(__xludf.DUMMYFUNCTION("""COMPUTED_VALUE"""),791925.0)</f>
        <v>791925</v>
      </c>
      <c r="C3146" s="14" t="str">
        <f>IFERROR(__xludf.DUMMYFUNCTION("""COMPUTED_VALUE"""),"邱盈瑜")</f>
        <v>邱盈瑜</v>
      </c>
      <c r="D3146" s="16" t="str">
        <f>IFERROR(__xludf.DUMMYFUNCTION("""COMPUTED_VALUE"""),"m10*****cy@mail.edu.tw")</f>
        <v>m10*****cy@mail.edu.tw</v>
      </c>
      <c r="E3146" s="17" t="str">
        <f>IFERROR(__xludf.DUMMYFUNCTION("""COMPUTED_VALUE"""),"嘉義市東區民族國民小學")</f>
        <v>嘉義市東區民族國民小學</v>
      </c>
      <c r="F3146" s="14" t="str">
        <f>IFERROR(__xludf.DUMMYFUNCTION("""COMPUTED_VALUE"""),"四年級")</f>
        <v>四年級</v>
      </c>
      <c r="G3146" s="14" t="str">
        <f>IFERROR(__xludf.DUMMYFUNCTION("""COMPUTED_VALUE"""),"●小禮物")</f>
        <v>●小禮物</v>
      </c>
      <c r="H3146" s="8"/>
    </row>
    <row r="3147">
      <c r="A3147" s="18"/>
      <c r="B3147" s="14">
        <f>IFERROR(__xludf.DUMMYFUNCTION("""COMPUTED_VALUE"""),791922.0)</f>
        <v>791922</v>
      </c>
      <c r="C3147" s="14" t="str">
        <f>IFERROR(__xludf.DUMMYFUNCTION("""COMPUTED_VALUE"""),"商庭婕")</f>
        <v>商庭婕</v>
      </c>
      <c r="D3147" s="16" t="str">
        <f>IFERROR(__xludf.DUMMYFUNCTION("""COMPUTED_VALUE"""),"m10*****cy@mail.edu.tw")</f>
        <v>m10*****cy@mail.edu.tw</v>
      </c>
      <c r="E3147" s="17" t="str">
        <f>IFERROR(__xludf.DUMMYFUNCTION("""COMPUTED_VALUE"""),"嘉義市東區民族國民小學")</f>
        <v>嘉義市東區民族國民小學</v>
      </c>
      <c r="F3147" s="14" t="str">
        <f>IFERROR(__xludf.DUMMYFUNCTION("""COMPUTED_VALUE"""),"四年級")</f>
        <v>四年級</v>
      </c>
      <c r="G3147" s="14" t="str">
        <f>IFERROR(__xludf.DUMMYFUNCTION("""COMPUTED_VALUE"""),"●小禮物")</f>
        <v>●小禮物</v>
      </c>
      <c r="H3147" s="8"/>
    </row>
    <row r="3148">
      <c r="A3148" s="18"/>
      <c r="B3148" s="14">
        <f>IFERROR(__xludf.DUMMYFUNCTION("""COMPUTED_VALUE"""),795710.0)</f>
        <v>795710</v>
      </c>
      <c r="C3148" s="14" t="str">
        <f>IFERROR(__xludf.DUMMYFUNCTION("""COMPUTED_VALUE"""),"邱奕翔")</f>
        <v>邱奕翔</v>
      </c>
      <c r="D3148" s="16" t="str">
        <f>IFERROR(__xludf.DUMMYFUNCTION("""COMPUTED_VALUE"""),"m10*****y@mail.edu.tw")</f>
        <v>m10*****y@mail.edu.tw</v>
      </c>
      <c r="E3148" s="17" t="str">
        <f>IFERROR(__xludf.DUMMYFUNCTION("""COMPUTED_VALUE"""),"嘉義市東區民族國民小學")</f>
        <v>嘉義市東區民族國民小學</v>
      </c>
      <c r="F3148" s="14" t="str">
        <f>IFERROR(__xludf.DUMMYFUNCTION("""COMPUTED_VALUE"""),"四年級")</f>
        <v>四年級</v>
      </c>
      <c r="G3148" s="14" t="str">
        <f>IFERROR(__xludf.DUMMYFUNCTION("""COMPUTED_VALUE"""),"★禮券$200")</f>
        <v>★禮券$200</v>
      </c>
      <c r="H3148" s="8"/>
    </row>
    <row r="3149">
      <c r="A3149" s="18"/>
      <c r="B3149" s="14">
        <f>IFERROR(__xludf.DUMMYFUNCTION("""COMPUTED_VALUE"""),783463.0)</f>
        <v>783463</v>
      </c>
      <c r="C3149" s="14" t="str">
        <f>IFERROR(__xludf.DUMMYFUNCTION("""COMPUTED_VALUE"""),"吳柏霖")</f>
        <v>吳柏霖</v>
      </c>
      <c r="D3149" s="16" t="str">
        <f>IFERROR(__xludf.DUMMYFUNCTION("""COMPUTED_VALUE"""),"m10*****cy@mail.edu.tw")</f>
        <v>m10*****cy@mail.edu.tw</v>
      </c>
      <c r="E3149" s="17" t="str">
        <f>IFERROR(__xludf.DUMMYFUNCTION("""COMPUTED_VALUE"""),"嘉義市東區民族國民小學")</f>
        <v>嘉義市東區民族國民小學</v>
      </c>
      <c r="F3149" s="14" t="str">
        <f>IFERROR(__xludf.DUMMYFUNCTION("""COMPUTED_VALUE"""),"四年級")</f>
        <v>四年級</v>
      </c>
      <c r="G3149" s="14" t="str">
        <f>IFERROR(__xludf.DUMMYFUNCTION("""COMPUTED_VALUE"""),"獎狀")</f>
        <v>獎狀</v>
      </c>
      <c r="H3149" s="8"/>
    </row>
    <row r="3150">
      <c r="A3150" s="18"/>
      <c r="B3150" s="14">
        <f>IFERROR(__xludf.DUMMYFUNCTION("""COMPUTED_VALUE"""),783459.0)</f>
        <v>783459</v>
      </c>
      <c r="C3150" s="14" t="str">
        <f>IFERROR(__xludf.DUMMYFUNCTION("""COMPUTED_VALUE"""),"李宗翰")</f>
        <v>李宗翰</v>
      </c>
      <c r="D3150" s="16" t="str">
        <f>IFERROR(__xludf.DUMMYFUNCTION("""COMPUTED_VALUE"""),"m10*****cy@mail.edu.tw")</f>
        <v>m10*****cy@mail.edu.tw</v>
      </c>
      <c r="E3150" s="17" t="str">
        <f>IFERROR(__xludf.DUMMYFUNCTION("""COMPUTED_VALUE"""),"嘉義市東區民族國民小學")</f>
        <v>嘉義市東區民族國民小學</v>
      </c>
      <c r="F3150" s="14" t="str">
        <f>IFERROR(__xludf.DUMMYFUNCTION("""COMPUTED_VALUE"""),"四年級")</f>
        <v>四年級</v>
      </c>
      <c r="G3150" s="14" t="str">
        <f>IFERROR(__xludf.DUMMYFUNCTION("""COMPUTED_VALUE"""),"獎狀")</f>
        <v>獎狀</v>
      </c>
      <c r="H3150" s="8"/>
    </row>
    <row r="3151">
      <c r="A3151" s="18"/>
      <c r="B3151" s="14">
        <f>IFERROR(__xludf.DUMMYFUNCTION("""COMPUTED_VALUE"""),791931.0)</f>
        <v>791931</v>
      </c>
      <c r="C3151" s="14" t="str">
        <f>IFERROR(__xludf.DUMMYFUNCTION("""COMPUTED_VALUE"""),"徐子玲")</f>
        <v>徐子玲</v>
      </c>
      <c r="D3151" s="16" t="str">
        <f>IFERROR(__xludf.DUMMYFUNCTION("""COMPUTED_VALUE"""),"m10*****cy@mail.edu.tw")</f>
        <v>m10*****cy@mail.edu.tw</v>
      </c>
      <c r="E3151" s="17" t="str">
        <f>IFERROR(__xludf.DUMMYFUNCTION("""COMPUTED_VALUE"""),"嘉義市東區民族國民小學")</f>
        <v>嘉義市東區民族國民小學</v>
      </c>
      <c r="F3151" s="14" t="str">
        <f>IFERROR(__xludf.DUMMYFUNCTION("""COMPUTED_VALUE"""),"四年級")</f>
        <v>四年級</v>
      </c>
      <c r="G3151" s="14" t="str">
        <f>IFERROR(__xludf.DUMMYFUNCTION("""COMPUTED_VALUE"""),"獎狀")</f>
        <v>獎狀</v>
      </c>
      <c r="H3151" s="8"/>
    </row>
    <row r="3152">
      <c r="A3152" s="18"/>
      <c r="B3152" s="14">
        <f>IFERROR(__xludf.DUMMYFUNCTION("""COMPUTED_VALUE"""),783456.0)</f>
        <v>783456</v>
      </c>
      <c r="C3152" s="14" t="str">
        <f>IFERROR(__xludf.DUMMYFUNCTION("""COMPUTED_VALUE"""),"張祐瑋")</f>
        <v>張祐瑋</v>
      </c>
      <c r="D3152" s="16" t="str">
        <f>IFERROR(__xludf.DUMMYFUNCTION("""COMPUTED_VALUE"""),"m10*****cy@mail.edu.tw")</f>
        <v>m10*****cy@mail.edu.tw</v>
      </c>
      <c r="E3152" s="17" t="str">
        <f>IFERROR(__xludf.DUMMYFUNCTION("""COMPUTED_VALUE"""),"嘉義市東區民族國民小學")</f>
        <v>嘉義市東區民族國民小學</v>
      </c>
      <c r="F3152" s="14" t="str">
        <f>IFERROR(__xludf.DUMMYFUNCTION("""COMPUTED_VALUE"""),"四年級")</f>
        <v>四年級</v>
      </c>
      <c r="G3152" s="14" t="str">
        <f>IFERROR(__xludf.DUMMYFUNCTION("""COMPUTED_VALUE"""),"獎狀")</f>
        <v>獎狀</v>
      </c>
      <c r="H3152" s="8"/>
    </row>
    <row r="3153">
      <c r="A3153" s="18"/>
      <c r="B3153" s="14">
        <f>IFERROR(__xludf.DUMMYFUNCTION("""COMPUTED_VALUE"""),791889.0)</f>
        <v>791889</v>
      </c>
      <c r="C3153" s="14" t="str">
        <f>IFERROR(__xludf.DUMMYFUNCTION("""COMPUTED_VALUE"""),"張凱盛")</f>
        <v>張凱盛</v>
      </c>
      <c r="D3153" s="16" t="str">
        <f>IFERROR(__xludf.DUMMYFUNCTION("""COMPUTED_VALUE"""),"tan*****ao@mail.edu.tw")</f>
        <v>tan*****ao@mail.edu.tw</v>
      </c>
      <c r="E3153" s="17" t="str">
        <f>IFERROR(__xludf.DUMMYFUNCTION("""COMPUTED_VALUE"""),"嘉義市東區民族國民小學")</f>
        <v>嘉義市東區民族國民小學</v>
      </c>
      <c r="F3153" s="14" t="str">
        <f>IFERROR(__xludf.DUMMYFUNCTION("""COMPUTED_VALUE"""),"四年級")</f>
        <v>四年級</v>
      </c>
      <c r="G3153" s="14" t="str">
        <f>IFERROR(__xludf.DUMMYFUNCTION("""COMPUTED_VALUE"""),"獎狀")</f>
        <v>獎狀</v>
      </c>
      <c r="H3153" s="8"/>
    </row>
    <row r="3154">
      <c r="A3154" s="18"/>
      <c r="B3154" s="14">
        <f>IFERROR(__xludf.DUMMYFUNCTION("""COMPUTED_VALUE"""),783462.0)</f>
        <v>783462</v>
      </c>
      <c r="C3154" s="14" t="str">
        <f>IFERROR(__xludf.DUMMYFUNCTION("""COMPUTED_VALUE"""),"許凱翔")</f>
        <v>許凱翔</v>
      </c>
      <c r="D3154" s="16" t="str">
        <f>IFERROR(__xludf.DUMMYFUNCTION("""COMPUTED_VALUE"""),"m10*****cy@mail.edu.tw")</f>
        <v>m10*****cy@mail.edu.tw</v>
      </c>
      <c r="E3154" s="17" t="str">
        <f>IFERROR(__xludf.DUMMYFUNCTION("""COMPUTED_VALUE"""),"嘉義市東區民族國民小學")</f>
        <v>嘉義市東區民族國民小學</v>
      </c>
      <c r="F3154" s="14" t="str">
        <f>IFERROR(__xludf.DUMMYFUNCTION("""COMPUTED_VALUE"""),"四年級")</f>
        <v>四年級</v>
      </c>
      <c r="G3154" s="14" t="str">
        <f>IFERROR(__xludf.DUMMYFUNCTION("""COMPUTED_VALUE"""),"獎狀")</f>
        <v>獎狀</v>
      </c>
      <c r="H3154" s="8"/>
    </row>
    <row r="3155">
      <c r="A3155" s="18"/>
      <c r="B3155" s="14">
        <f>IFERROR(__xludf.DUMMYFUNCTION("""COMPUTED_VALUE"""),783455.0)</f>
        <v>783455</v>
      </c>
      <c r="C3155" s="14" t="str">
        <f>IFERROR(__xludf.DUMMYFUNCTION("""COMPUTED_VALUE"""),"陳聖智")</f>
        <v>陳聖智</v>
      </c>
      <c r="D3155" s="16" t="str">
        <f>IFERROR(__xludf.DUMMYFUNCTION("""COMPUTED_VALUE"""),"m10*****cy@mail.edu.tw")</f>
        <v>m10*****cy@mail.edu.tw</v>
      </c>
      <c r="E3155" s="17" t="str">
        <f>IFERROR(__xludf.DUMMYFUNCTION("""COMPUTED_VALUE"""),"嘉義市東區民族國民小學")</f>
        <v>嘉義市東區民族國民小學</v>
      </c>
      <c r="F3155" s="14" t="str">
        <f>IFERROR(__xludf.DUMMYFUNCTION("""COMPUTED_VALUE"""),"四年級")</f>
        <v>四年級</v>
      </c>
      <c r="G3155" s="14" t="str">
        <f>IFERROR(__xludf.DUMMYFUNCTION("""COMPUTED_VALUE"""),"獎狀")</f>
        <v>獎狀</v>
      </c>
      <c r="H3155" s="8"/>
    </row>
    <row r="3156">
      <c r="A3156" s="18"/>
      <c r="B3156" s="14">
        <f>IFERROR(__xludf.DUMMYFUNCTION("""COMPUTED_VALUE"""),791940.0)</f>
        <v>791940</v>
      </c>
      <c r="C3156" s="14" t="str">
        <f>IFERROR(__xludf.DUMMYFUNCTION("""COMPUTED_VALUE"""),"陳詩雅")</f>
        <v>陳詩雅</v>
      </c>
      <c r="D3156" s="16" t="str">
        <f>IFERROR(__xludf.DUMMYFUNCTION("""COMPUTED_VALUE"""),"m10*****cy@mail.edu.tw")</f>
        <v>m10*****cy@mail.edu.tw</v>
      </c>
      <c r="E3156" s="17" t="str">
        <f>IFERROR(__xludf.DUMMYFUNCTION("""COMPUTED_VALUE"""),"嘉義市東區民族國民小學")</f>
        <v>嘉義市東區民族國民小學</v>
      </c>
      <c r="F3156" s="14" t="str">
        <f>IFERROR(__xludf.DUMMYFUNCTION("""COMPUTED_VALUE"""),"四年級")</f>
        <v>四年級</v>
      </c>
      <c r="G3156" s="14" t="str">
        <f>IFERROR(__xludf.DUMMYFUNCTION("""COMPUTED_VALUE"""),"獎狀")</f>
        <v>獎狀</v>
      </c>
      <c r="H3156" s="8"/>
    </row>
    <row r="3157">
      <c r="A3157" s="18"/>
      <c r="B3157" s="14">
        <f>IFERROR(__xludf.DUMMYFUNCTION("""COMPUTED_VALUE"""),791924.0)</f>
        <v>791924</v>
      </c>
      <c r="C3157" s="14" t="str">
        <f>IFERROR(__xludf.DUMMYFUNCTION("""COMPUTED_VALUE"""),"鍾雨彤")</f>
        <v>鍾雨彤</v>
      </c>
      <c r="D3157" s="16" t="str">
        <f>IFERROR(__xludf.DUMMYFUNCTION("""COMPUTED_VALUE"""),"m10*****cy@mail.edu.tw")</f>
        <v>m10*****cy@mail.edu.tw</v>
      </c>
      <c r="E3157" s="17" t="str">
        <f>IFERROR(__xludf.DUMMYFUNCTION("""COMPUTED_VALUE"""),"嘉義市東區民族國民小學")</f>
        <v>嘉義市東區民族國民小學</v>
      </c>
      <c r="F3157" s="14" t="str">
        <f>IFERROR(__xludf.DUMMYFUNCTION("""COMPUTED_VALUE"""),"四年級")</f>
        <v>四年級</v>
      </c>
      <c r="G3157" s="14" t="str">
        <f>IFERROR(__xludf.DUMMYFUNCTION("""COMPUTED_VALUE"""),"獎狀")</f>
        <v>獎狀</v>
      </c>
      <c r="H3157" s="8"/>
    </row>
    <row r="3158">
      <c r="A3158" s="18"/>
      <c r="B3158" s="14">
        <f>IFERROR(__xludf.DUMMYFUNCTION("""COMPUTED_VALUE"""),792004.0)</f>
        <v>792004</v>
      </c>
      <c r="C3158" s="14" t="str">
        <f>IFERROR(__xludf.DUMMYFUNCTION("""COMPUTED_VALUE"""),"林宇泉")</f>
        <v>林宇泉</v>
      </c>
      <c r="D3158" s="16" t="str">
        <f>IFERROR(__xludf.DUMMYFUNCTION("""COMPUTED_VALUE"""),"m10*****cy@mail.edu.tw")</f>
        <v>m10*****cy@mail.edu.tw</v>
      </c>
      <c r="E3158" s="17" t="str">
        <f>IFERROR(__xludf.DUMMYFUNCTION("""COMPUTED_VALUE"""),"嘉義市東區民族國民小學")</f>
        <v>嘉義市東區民族國民小學</v>
      </c>
      <c r="F3158" s="14" t="str">
        <f>IFERROR(__xludf.DUMMYFUNCTION("""COMPUTED_VALUE"""),"四年級")</f>
        <v>四年級</v>
      </c>
      <c r="G3158" s="14" t="str">
        <f>IFERROR(__xludf.DUMMYFUNCTION("""COMPUTED_VALUE"""),"●小禮物")</f>
        <v>●小禮物</v>
      </c>
      <c r="H3158" s="8"/>
    </row>
    <row r="3159">
      <c r="A3159" s="18"/>
      <c r="B3159" s="14">
        <f>IFERROR(__xludf.DUMMYFUNCTION("""COMPUTED_VALUE"""),792038.0)</f>
        <v>792038</v>
      </c>
      <c r="C3159" s="14" t="str">
        <f>IFERROR(__xludf.DUMMYFUNCTION("""COMPUTED_VALUE"""),"林宇亭")</f>
        <v>林宇亭</v>
      </c>
      <c r="D3159" s="16" t="str">
        <f>IFERROR(__xludf.DUMMYFUNCTION("""COMPUTED_VALUE"""),"m10*****cy@mail.edu.tw")</f>
        <v>m10*****cy@mail.edu.tw</v>
      </c>
      <c r="E3159" s="17" t="str">
        <f>IFERROR(__xludf.DUMMYFUNCTION("""COMPUTED_VALUE"""),"嘉義市東區民族國民小學")</f>
        <v>嘉義市東區民族國民小學</v>
      </c>
      <c r="F3159" s="14" t="str">
        <f>IFERROR(__xludf.DUMMYFUNCTION("""COMPUTED_VALUE"""),"四年級")</f>
        <v>四年級</v>
      </c>
      <c r="G3159" s="14" t="str">
        <f>IFERROR(__xludf.DUMMYFUNCTION("""COMPUTED_VALUE"""),"獎狀")</f>
        <v>獎狀</v>
      </c>
      <c r="H3159" s="8"/>
    </row>
    <row r="3160">
      <c r="A3160" s="18"/>
      <c r="B3160" s="14">
        <f>IFERROR(__xludf.DUMMYFUNCTION("""COMPUTED_VALUE"""),792097.0)</f>
        <v>792097</v>
      </c>
      <c r="C3160" s="14" t="str">
        <f>IFERROR(__xludf.DUMMYFUNCTION("""COMPUTED_VALUE"""),"林緯慈")</f>
        <v>林緯慈</v>
      </c>
      <c r="D3160" s="16" t="str">
        <f>IFERROR(__xludf.DUMMYFUNCTION("""COMPUTED_VALUE"""),"m10*****cy@mail.edu.tw")</f>
        <v>m10*****cy@mail.edu.tw</v>
      </c>
      <c r="E3160" s="17" t="str">
        <f>IFERROR(__xludf.DUMMYFUNCTION("""COMPUTED_VALUE"""),"嘉義市東區民族國民小學")</f>
        <v>嘉義市東區民族國民小學</v>
      </c>
      <c r="F3160" s="14" t="str">
        <f>IFERROR(__xludf.DUMMYFUNCTION("""COMPUTED_VALUE"""),"四年級")</f>
        <v>四年級</v>
      </c>
      <c r="G3160" s="14" t="str">
        <f>IFERROR(__xludf.DUMMYFUNCTION("""COMPUTED_VALUE"""),"獎狀")</f>
        <v>獎狀</v>
      </c>
      <c r="H3160" s="8"/>
    </row>
    <row r="3161">
      <c r="A3161" s="18"/>
      <c r="B3161" s="14">
        <f>IFERROR(__xludf.DUMMYFUNCTION("""COMPUTED_VALUE"""),792113.0)</f>
        <v>792113</v>
      </c>
      <c r="C3161" s="14" t="str">
        <f>IFERROR(__xludf.DUMMYFUNCTION("""COMPUTED_VALUE"""),"楊于萱")</f>
        <v>楊于萱</v>
      </c>
      <c r="D3161" s="16" t="str">
        <f>IFERROR(__xludf.DUMMYFUNCTION("""COMPUTED_VALUE"""),"m10*****cy@mail.edu.tw")</f>
        <v>m10*****cy@mail.edu.tw</v>
      </c>
      <c r="E3161" s="17" t="str">
        <f>IFERROR(__xludf.DUMMYFUNCTION("""COMPUTED_VALUE"""),"嘉義市東區民族國民小學")</f>
        <v>嘉義市東區民族國民小學</v>
      </c>
      <c r="F3161" s="14" t="str">
        <f>IFERROR(__xludf.DUMMYFUNCTION("""COMPUTED_VALUE"""),"四年級")</f>
        <v>四年級</v>
      </c>
      <c r="G3161" s="14" t="str">
        <f>IFERROR(__xludf.DUMMYFUNCTION("""COMPUTED_VALUE"""),"獎狀")</f>
        <v>獎狀</v>
      </c>
      <c r="H3161" s="8"/>
    </row>
    <row r="3162">
      <c r="A3162" s="18"/>
      <c r="B3162" s="14">
        <f>IFERROR(__xludf.DUMMYFUNCTION("""COMPUTED_VALUE"""),1121124.0)</f>
        <v>1121124</v>
      </c>
      <c r="C3162" s="14" t="str">
        <f>IFERROR(__xludf.DUMMYFUNCTION("""COMPUTED_VALUE"""),"潘玉挐")</f>
        <v>潘玉挐</v>
      </c>
      <c r="D3162" s="16" t="str">
        <f>IFERROR(__xludf.DUMMYFUNCTION("""COMPUTED_VALUE"""),"107*****tugm.mtes.cy.edu.tw")</f>
        <v>107*****tugm.mtes.cy.edu.tw</v>
      </c>
      <c r="E3162" s="17" t="str">
        <f>IFERROR(__xludf.DUMMYFUNCTION("""COMPUTED_VALUE"""),"嘉義市東區民族國民小學")</f>
        <v>嘉義市東區民族國民小學</v>
      </c>
      <c r="F3162" s="14" t="str">
        <f>IFERROR(__xludf.DUMMYFUNCTION("""COMPUTED_VALUE"""),"五年級")</f>
        <v>五年級</v>
      </c>
      <c r="G3162" s="14" t="str">
        <f>IFERROR(__xludf.DUMMYFUNCTION("""COMPUTED_VALUE"""),"獎狀")</f>
        <v>獎狀</v>
      </c>
      <c r="H3162" s="8"/>
    </row>
    <row r="3163">
      <c r="A3163" s="18"/>
      <c r="B3163" s="14">
        <f>IFERROR(__xludf.DUMMYFUNCTION("""COMPUTED_VALUE"""),629151.0)</f>
        <v>629151</v>
      </c>
      <c r="C3163" s="14" t="str">
        <f>IFERROR(__xludf.DUMMYFUNCTION("""COMPUTED_VALUE"""),"王翊芸")</f>
        <v>王翊芸</v>
      </c>
      <c r="D3163" s="16" t="str">
        <f>IFERROR(__xludf.DUMMYFUNCTION("""COMPUTED_VALUE"""),"107*****tugm.mtes.cy.edu.tw")</f>
        <v>107*****tugm.mtes.cy.edu.tw</v>
      </c>
      <c r="E3163" s="17" t="str">
        <f>IFERROR(__xludf.DUMMYFUNCTION("""COMPUTED_VALUE"""),"嘉義市東區民族國民小學")</f>
        <v>嘉義市東區民族國民小學</v>
      </c>
      <c r="F3163" s="14" t="str">
        <f>IFERROR(__xludf.DUMMYFUNCTION("""COMPUTED_VALUE"""),"五年級")</f>
        <v>五年級</v>
      </c>
      <c r="G3163" s="14" t="str">
        <f>IFERROR(__xludf.DUMMYFUNCTION("""COMPUTED_VALUE"""),"●小禮物")</f>
        <v>●小禮物</v>
      </c>
      <c r="H3163" s="8"/>
    </row>
    <row r="3164">
      <c r="A3164" s="18"/>
      <c r="B3164" s="14">
        <f>IFERROR(__xludf.DUMMYFUNCTION("""COMPUTED_VALUE"""),527643.0)</f>
        <v>527643</v>
      </c>
      <c r="C3164" s="14" t="str">
        <f>IFERROR(__xludf.DUMMYFUNCTION("""COMPUTED_VALUE"""),"江艾宣")</f>
        <v>江艾宣</v>
      </c>
      <c r="D3164" s="16" t="str">
        <f>IFERROR(__xludf.DUMMYFUNCTION("""COMPUTED_VALUE"""),"m10*****cy@mail.edu.tw")</f>
        <v>m10*****cy@mail.edu.tw</v>
      </c>
      <c r="E3164" s="17" t="str">
        <f>IFERROR(__xludf.DUMMYFUNCTION("""COMPUTED_VALUE"""),"嘉義市東區民族國民小學")</f>
        <v>嘉義市東區民族國民小學</v>
      </c>
      <c r="F3164" s="14" t="str">
        <f>IFERROR(__xludf.DUMMYFUNCTION("""COMPUTED_VALUE"""),"五年級")</f>
        <v>五年級</v>
      </c>
      <c r="G3164" s="14" t="str">
        <f>IFERROR(__xludf.DUMMYFUNCTION("""COMPUTED_VALUE"""),"●小禮物")</f>
        <v>●小禮物</v>
      </c>
      <c r="H3164" s="8"/>
    </row>
    <row r="3165">
      <c r="A3165" s="18"/>
      <c r="B3165" s="14">
        <f>IFERROR(__xludf.DUMMYFUNCTION("""COMPUTED_VALUE"""),524527.0)</f>
        <v>524527</v>
      </c>
      <c r="C3165" s="14" t="str">
        <f>IFERROR(__xludf.DUMMYFUNCTION("""COMPUTED_VALUE"""),"何子杰")</f>
        <v>何子杰</v>
      </c>
      <c r="D3165" s="16" t="str">
        <f>IFERROR(__xludf.DUMMYFUNCTION("""COMPUTED_VALUE"""),"m10*****cy@mail.edu.tw")</f>
        <v>m10*****cy@mail.edu.tw</v>
      </c>
      <c r="E3165" s="17" t="str">
        <f>IFERROR(__xludf.DUMMYFUNCTION("""COMPUTED_VALUE"""),"嘉義市東區民族國民小學")</f>
        <v>嘉義市東區民族國民小學</v>
      </c>
      <c r="F3165" s="14" t="str">
        <f>IFERROR(__xludf.DUMMYFUNCTION("""COMPUTED_VALUE"""),"五年級")</f>
        <v>五年級</v>
      </c>
      <c r="G3165" s="14" t="str">
        <f>IFERROR(__xludf.DUMMYFUNCTION("""COMPUTED_VALUE"""),"●小禮物")</f>
        <v>●小禮物</v>
      </c>
      <c r="H3165" s="8"/>
    </row>
    <row r="3166">
      <c r="A3166" s="18"/>
      <c r="B3166" s="14">
        <f>IFERROR(__xludf.DUMMYFUNCTION("""COMPUTED_VALUE"""),524507.0)</f>
        <v>524507</v>
      </c>
      <c r="C3166" s="14" t="str">
        <f>IFERROR(__xludf.DUMMYFUNCTION("""COMPUTED_VALUE"""),"吳東駿")</f>
        <v>吳東駿</v>
      </c>
      <c r="D3166" s="16" t="str">
        <f>IFERROR(__xludf.DUMMYFUNCTION("""COMPUTED_VALUE"""),"m10*****cy@mail.edu.tw")</f>
        <v>m10*****cy@mail.edu.tw</v>
      </c>
      <c r="E3166" s="17" t="str">
        <f>IFERROR(__xludf.DUMMYFUNCTION("""COMPUTED_VALUE"""),"嘉義市東區民族國民小學")</f>
        <v>嘉義市東區民族國民小學</v>
      </c>
      <c r="F3166" s="14" t="str">
        <f>IFERROR(__xludf.DUMMYFUNCTION("""COMPUTED_VALUE"""),"五年級")</f>
        <v>五年級</v>
      </c>
      <c r="G3166" s="14" t="str">
        <f>IFERROR(__xludf.DUMMYFUNCTION("""COMPUTED_VALUE"""),"●小禮物")</f>
        <v>●小禮物</v>
      </c>
      <c r="H3166" s="8"/>
    </row>
    <row r="3167">
      <c r="A3167" s="18"/>
      <c r="B3167" s="14">
        <f>IFERROR(__xludf.DUMMYFUNCTION("""COMPUTED_VALUE"""),527637.0)</f>
        <v>527637</v>
      </c>
      <c r="C3167" s="14" t="str">
        <f>IFERROR(__xludf.DUMMYFUNCTION("""COMPUTED_VALUE"""),"蔡家慧")</f>
        <v>蔡家慧</v>
      </c>
      <c r="D3167" s="16" t="str">
        <f>IFERROR(__xludf.DUMMYFUNCTION("""COMPUTED_VALUE"""),"m10*****cy@mail.edu.tw")</f>
        <v>m10*****cy@mail.edu.tw</v>
      </c>
      <c r="E3167" s="17" t="str">
        <f>IFERROR(__xludf.DUMMYFUNCTION("""COMPUTED_VALUE"""),"嘉義市東區民族國民小學")</f>
        <v>嘉義市東區民族國民小學</v>
      </c>
      <c r="F3167" s="14" t="str">
        <f>IFERROR(__xludf.DUMMYFUNCTION("""COMPUTED_VALUE"""),"五年級")</f>
        <v>五年級</v>
      </c>
      <c r="G3167" s="14" t="str">
        <f>IFERROR(__xludf.DUMMYFUNCTION("""COMPUTED_VALUE"""),"●小禮物")</f>
        <v>●小禮物</v>
      </c>
      <c r="H3167" s="8"/>
    </row>
    <row r="3168">
      <c r="A3168" s="18"/>
      <c r="B3168" s="14">
        <f>IFERROR(__xludf.DUMMYFUNCTION("""COMPUTED_VALUE"""),524426.0)</f>
        <v>524426</v>
      </c>
      <c r="C3168" s="14" t="str">
        <f>IFERROR(__xludf.DUMMYFUNCTION("""COMPUTED_VALUE"""),"劉辰昕")</f>
        <v>劉辰昕</v>
      </c>
      <c r="D3168" s="16" t="str">
        <f>IFERROR(__xludf.DUMMYFUNCTION("""COMPUTED_VALUE"""),"m10*****cy@mail.edu.tw")</f>
        <v>m10*****cy@mail.edu.tw</v>
      </c>
      <c r="E3168" s="17" t="str">
        <f>IFERROR(__xludf.DUMMYFUNCTION("""COMPUTED_VALUE"""),"嘉義市東區民族國民小學")</f>
        <v>嘉義市東區民族國民小學</v>
      </c>
      <c r="F3168" s="14" t="str">
        <f>IFERROR(__xludf.DUMMYFUNCTION("""COMPUTED_VALUE"""),"五年級")</f>
        <v>五年級</v>
      </c>
      <c r="G3168" s="14" t="str">
        <f>IFERROR(__xludf.DUMMYFUNCTION("""COMPUTED_VALUE"""),"★禮券$200")</f>
        <v>★禮券$200</v>
      </c>
      <c r="H3168" s="8"/>
    </row>
    <row r="3169">
      <c r="A3169" s="18"/>
      <c r="B3169" s="14">
        <f>IFERROR(__xludf.DUMMYFUNCTION("""COMPUTED_VALUE"""),525099.0)</f>
        <v>525099</v>
      </c>
      <c r="C3169" s="14" t="str">
        <f>IFERROR(__xludf.DUMMYFUNCTION("""COMPUTED_VALUE"""),"黃熙雅")</f>
        <v>黃熙雅</v>
      </c>
      <c r="D3169" s="16" t="str">
        <f>IFERROR(__xludf.DUMMYFUNCTION("""COMPUTED_VALUE"""),"m10*****cy@mail.edu.tw")</f>
        <v>m10*****cy@mail.edu.tw</v>
      </c>
      <c r="E3169" s="17" t="str">
        <f>IFERROR(__xludf.DUMMYFUNCTION("""COMPUTED_VALUE"""),"嘉義市東區民族國民小學")</f>
        <v>嘉義市東區民族國民小學</v>
      </c>
      <c r="F3169" s="14" t="str">
        <f>IFERROR(__xludf.DUMMYFUNCTION("""COMPUTED_VALUE"""),"五年級")</f>
        <v>五年級</v>
      </c>
      <c r="G3169" s="14" t="str">
        <f>IFERROR(__xludf.DUMMYFUNCTION("""COMPUTED_VALUE"""),"獎狀")</f>
        <v>獎狀</v>
      </c>
      <c r="H3169" s="8"/>
    </row>
    <row r="3170">
      <c r="A3170" s="18"/>
      <c r="B3170" s="14">
        <f>IFERROR(__xludf.DUMMYFUNCTION("""COMPUTED_VALUE"""),524514.0)</f>
        <v>524514</v>
      </c>
      <c r="C3170" s="14" t="str">
        <f>IFERROR(__xludf.DUMMYFUNCTION("""COMPUTED_VALUE"""),"蔡盈玥")</f>
        <v>蔡盈玥</v>
      </c>
      <c r="D3170" s="16" t="str">
        <f>IFERROR(__xludf.DUMMYFUNCTION("""COMPUTED_VALUE"""),"m10*****cy@mail.edu.tw")</f>
        <v>m10*****cy@mail.edu.tw</v>
      </c>
      <c r="E3170" s="17" t="str">
        <f>IFERROR(__xludf.DUMMYFUNCTION("""COMPUTED_VALUE"""),"嘉義市東區民族國民小學")</f>
        <v>嘉義市東區民族國民小學</v>
      </c>
      <c r="F3170" s="14" t="str">
        <f>IFERROR(__xludf.DUMMYFUNCTION("""COMPUTED_VALUE"""),"五年級")</f>
        <v>五年級</v>
      </c>
      <c r="G3170" s="14" t="str">
        <f>IFERROR(__xludf.DUMMYFUNCTION("""COMPUTED_VALUE"""),"獎狀")</f>
        <v>獎狀</v>
      </c>
      <c r="H3170" s="8"/>
    </row>
    <row r="3171">
      <c r="A3171" s="18"/>
      <c r="B3171" s="14">
        <f>IFERROR(__xludf.DUMMYFUNCTION("""COMPUTED_VALUE"""),524533.0)</f>
        <v>524533</v>
      </c>
      <c r="C3171" s="14" t="str">
        <f>IFERROR(__xludf.DUMMYFUNCTION("""COMPUTED_VALUE"""),"魏利璇")</f>
        <v>魏利璇</v>
      </c>
      <c r="D3171" s="16" t="str">
        <f>IFERROR(__xludf.DUMMYFUNCTION("""COMPUTED_VALUE"""),"m10*****cy@mail.edu.tw")</f>
        <v>m10*****cy@mail.edu.tw</v>
      </c>
      <c r="E3171" s="17" t="str">
        <f>IFERROR(__xludf.DUMMYFUNCTION("""COMPUTED_VALUE"""),"嘉義市東區民族國民小學")</f>
        <v>嘉義市東區民族國民小學</v>
      </c>
      <c r="F3171" s="14" t="str">
        <f>IFERROR(__xludf.DUMMYFUNCTION("""COMPUTED_VALUE"""),"五年級")</f>
        <v>五年級</v>
      </c>
      <c r="G3171" s="14" t="str">
        <f>IFERROR(__xludf.DUMMYFUNCTION("""COMPUTED_VALUE"""),"獎狀")</f>
        <v>獎狀</v>
      </c>
      <c r="H3171" s="8"/>
    </row>
    <row r="3172">
      <c r="A3172" s="18"/>
      <c r="B3172" s="14">
        <f>IFERROR(__xludf.DUMMYFUNCTION("""COMPUTED_VALUE"""),528088.0)</f>
        <v>528088</v>
      </c>
      <c r="C3172" s="14" t="str">
        <f>IFERROR(__xludf.DUMMYFUNCTION("""COMPUTED_VALUE"""),"羅詠晴")</f>
        <v>羅詠晴</v>
      </c>
      <c r="D3172" s="16" t="str">
        <f>IFERROR(__xludf.DUMMYFUNCTION("""COMPUTED_VALUE"""),"m10*****cy@mail.edu.tw")</f>
        <v>m10*****cy@mail.edu.tw</v>
      </c>
      <c r="E3172" s="17" t="str">
        <f>IFERROR(__xludf.DUMMYFUNCTION("""COMPUTED_VALUE"""),"嘉義市東區民族國民小學")</f>
        <v>嘉義市東區民族國民小學</v>
      </c>
      <c r="F3172" s="14" t="str">
        <f>IFERROR(__xludf.DUMMYFUNCTION("""COMPUTED_VALUE"""),"五年級")</f>
        <v>五年級</v>
      </c>
      <c r="G3172" s="14" t="str">
        <f>IFERROR(__xludf.DUMMYFUNCTION("""COMPUTED_VALUE"""),"獎狀")</f>
        <v>獎狀</v>
      </c>
      <c r="H3172" s="8"/>
    </row>
    <row r="3173">
      <c r="A3173" s="18"/>
      <c r="B3173" s="14">
        <f>IFERROR(__xludf.DUMMYFUNCTION("""COMPUTED_VALUE"""),532483.0)</f>
        <v>532483</v>
      </c>
      <c r="C3173" s="14" t="str">
        <f>IFERROR(__xludf.DUMMYFUNCTION("""COMPUTED_VALUE"""),"羅煜勛")</f>
        <v>羅煜勛</v>
      </c>
      <c r="D3173" s="16" t="str">
        <f>IFERROR(__xludf.DUMMYFUNCTION("""COMPUTED_VALUE"""),"m10*****cy@mail.edu.tw")</f>
        <v>m10*****cy@mail.edu.tw</v>
      </c>
      <c r="E3173" s="17" t="str">
        <f>IFERROR(__xludf.DUMMYFUNCTION("""COMPUTED_VALUE"""),"嘉義市東區民族國民小學")</f>
        <v>嘉義市東區民族國民小學</v>
      </c>
      <c r="F3173" s="14" t="str">
        <f>IFERROR(__xludf.DUMMYFUNCTION("""COMPUTED_VALUE"""),"五年級")</f>
        <v>五年級</v>
      </c>
      <c r="G3173" s="14" t="str">
        <f>IFERROR(__xludf.DUMMYFUNCTION("""COMPUTED_VALUE"""),"獎狀")</f>
        <v>獎狀</v>
      </c>
      <c r="H3173" s="8"/>
    </row>
    <row r="3174">
      <c r="A3174" s="18"/>
      <c r="B3174" s="14">
        <f>IFERROR(__xludf.DUMMYFUNCTION("""COMPUTED_VALUE"""),523367.0)</f>
        <v>523367</v>
      </c>
      <c r="C3174" s="14" t="str">
        <f>IFERROR(__xludf.DUMMYFUNCTION("""COMPUTED_VALUE"""),"侯承佑")</f>
        <v>侯承佑</v>
      </c>
      <c r="D3174" s="16" t="str">
        <f>IFERROR(__xludf.DUMMYFUNCTION("""COMPUTED_VALUE"""),"m10*****cy@mail.edu.tw")</f>
        <v>m10*****cy@mail.edu.tw</v>
      </c>
      <c r="E3174" s="17" t="str">
        <f>IFERROR(__xludf.DUMMYFUNCTION("""COMPUTED_VALUE"""),"嘉義市東區民族國民小學")</f>
        <v>嘉義市東區民族國民小學</v>
      </c>
      <c r="F3174" s="14" t="str">
        <f>IFERROR(__xludf.DUMMYFUNCTION("""COMPUTED_VALUE"""),"五年級")</f>
        <v>五年級</v>
      </c>
      <c r="G3174" s="14" t="str">
        <f>IFERROR(__xludf.DUMMYFUNCTION("""COMPUTED_VALUE"""),"●小禮物")</f>
        <v>●小禮物</v>
      </c>
      <c r="H3174" s="8"/>
    </row>
    <row r="3175">
      <c r="A3175" s="18"/>
      <c r="B3175" s="14">
        <f>IFERROR(__xludf.DUMMYFUNCTION("""COMPUTED_VALUE"""),528282.0)</f>
        <v>528282</v>
      </c>
      <c r="C3175" s="14" t="str">
        <f>IFERROR(__xludf.DUMMYFUNCTION("""COMPUTED_VALUE"""),"甘永豪")</f>
        <v>甘永豪</v>
      </c>
      <c r="D3175" s="16" t="str">
        <f>IFERROR(__xludf.DUMMYFUNCTION("""COMPUTED_VALUE"""),"m10*****cy@mail.edu.tw")</f>
        <v>m10*****cy@mail.edu.tw</v>
      </c>
      <c r="E3175" s="17" t="str">
        <f>IFERROR(__xludf.DUMMYFUNCTION("""COMPUTED_VALUE"""),"嘉義市東區民族國民小學")</f>
        <v>嘉義市東區民族國民小學</v>
      </c>
      <c r="F3175" s="14" t="str">
        <f>IFERROR(__xludf.DUMMYFUNCTION("""COMPUTED_VALUE"""),"五年級")</f>
        <v>五年級</v>
      </c>
      <c r="G3175" s="14" t="str">
        <f>IFERROR(__xludf.DUMMYFUNCTION("""COMPUTED_VALUE"""),"獎狀")</f>
        <v>獎狀</v>
      </c>
      <c r="H3175" s="8"/>
    </row>
    <row r="3176">
      <c r="A3176" s="18"/>
      <c r="B3176" s="14">
        <f>IFERROR(__xludf.DUMMYFUNCTION("""COMPUTED_VALUE"""),524506.0)</f>
        <v>524506</v>
      </c>
      <c r="C3176" s="14" t="str">
        <f>IFERROR(__xludf.DUMMYFUNCTION("""COMPUTED_VALUE"""),"吳岳宸")</f>
        <v>吳岳宸</v>
      </c>
      <c r="D3176" s="16" t="str">
        <f>IFERROR(__xludf.DUMMYFUNCTION("""COMPUTED_VALUE"""),"m10*****cy@mail.edu.tw")</f>
        <v>m10*****cy@mail.edu.tw</v>
      </c>
      <c r="E3176" s="17" t="str">
        <f>IFERROR(__xludf.DUMMYFUNCTION("""COMPUTED_VALUE"""),"嘉義市東區民族國民小學")</f>
        <v>嘉義市東區民族國民小學</v>
      </c>
      <c r="F3176" s="14" t="str">
        <f>IFERROR(__xludf.DUMMYFUNCTION("""COMPUTED_VALUE"""),"五年級")</f>
        <v>五年級</v>
      </c>
      <c r="G3176" s="14" t="str">
        <f>IFERROR(__xludf.DUMMYFUNCTION("""COMPUTED_VALUE"""),"獎狀")</f>
        <v>獎狀</v>
      </c>
      <c r="H3176" s="8"/>
    </row>
    <row r="3177">
      <c r="A3177" s="18"/>
      <c r="B3177" s="14">
        <f>IFERROR(__xludf.DUMMYFUNCTION("""COMPUTED_VALUE"""),527601.0)</f>
        <v>527601</v>
      </c>
      <c r="C3177" s="14" t="str">
        <f>IFERROR(__xludf.DUMMYFUNCTION("""COMPUTED_VALUE"""),"李星曈")</f>
        <v>李星曈</v>
      </c>
      <c r="D3177" s="16" t="str">
        <f>IFERROR(__xludf.DUMMYFUNCTION("""COMPUTED_VALUE"""),"m10*****cy@mail.edu.tw")</f>
        <v>m10*****cy@mail.edu.tw</v>
      </c>
      <c r="E3177" s="17" t="str">
        <f>IFERROR(__xludf.DUMMYFUNCTION("""COMPUTED_VALUE"""),"嘉義市東區民族國民小學")</f>
        <v>嘉義市東區民族國民小學</v>
      </c>
      <c r="F3177" s="14" t="str">
        <f>IFERROR(__xludf.DUMMYFUNCTION("""COMPUTED_VALUE"""),"五年級")</f>
        <v>五年級</v>
      </c>
      <c r="G3177" s="14" t="str">
        <f>IFERROR(__xludf.DUMMYFUNCTION("""COMPUTED_VALUE"""),"獎狀")</f>
        <v>獎狀</v>
      </c>
      <c r="H3177" s="8"/>
    </row>
    <row r="3178">
      <c r="A3178" s="18"/>
      <c r="B3178" s="14">
        <f>IFERROR(__xludf.DUMMYFUNCTION("""COMPUTED_VALUE"""),524503.0)</f>
        <v>524503</v>
      </c>
      <c r="C3178" s="14" t="str">
        <f>IFERROR(__xludf.DUMMYFUNCTION("""COMPUTED_VALUE"""),"張宇安")</f>
        <v>張宇安</v>
      </c>
      <c r="D3178" s="16" t="str">
        <f>IFERROR(__xludf.DUMMYFUNCTION("""COMPUTED_VALUE"""),"m10*****cy@mail.edu.tw")</f>
        <v>m10*****cy@mail.edu.tw</v>
      </c>
      <c r="E3178" s="17" t="str">
        <f>IFERROR(__xludf.DUMMYFUNCTION("""COMPUTED_VALUE"""),"嘉義市東區民族國民小學")</f>
        <v>嘉義市東區民族國民小學</v>
      </c>
      <c r="F3178" s="14" t="str">
        <f>IFERROR(__xludf.DUMMYFUNCTION("""COMPUTED_VALUE"""),"五年級")</f>
        <v>五年級</v>
      </c>
      <c r="G3178" s="14" t="str">
        <f>IFERROR(__xludf.DUMMYFUNCTION("""COMPUTED_VALUE"""),"獎狀")</f>
        <v>獎狀</v>
      </c>
      <c r="H3178" s="8"/>
    </row>
    <row r="3179">
      <c r="A3179" s="18"/>
      <c r="B3179" s="14">
        <f>IFERROR(__xludf.DUMMYFUNCTION("""COMPUTED_VALUE"""),524405.0)</f>
        <v>524405</v>
      </c>
      <c r="C3179" s="14" t="str">
        <f>IFERROR(__xludf.DUMMYFUNCTION("""COMPUTED_VALUE"""),"吳敏甄")</f>
        <v>吳敏甄</v>
      </c>
      <c r="D3179" s="16" t="str">
        <f>IFERROR(__xludf.DUMMYFUNCTION("""COMPUTED_VALUE"""),"m10*****cy@mail.edu.tw")</f>
        <v>m10*****cy@mail.edu.tw</v>
      </c>
      <c r="E3179" s="17" t="str">
        <f>IFERROR(__xludf.DUMMYFUNCTION("""COMPUTED_VALUE"""),"嘉義市東區民族國民小學")</f>
        <v>嘉義市東區民族國民小學</v>
      </c>
      <c r="F3179" s="14" t="str">
        <f>IFERROR(__xludf.DUMMYFUNCTION("""COMPUTED_VALUE"""),"五年級")</f>
        <v>五年級</v>
      </c>
      <c r="G3179" s="14" t="str">
        <f>IFERROR(__xludf.DUMMYFUNCTION("""COMPUTED_VALUE"""),"●小禮物")</f>
        <v>●小禮物</v>
      </c>
      <c r="H3179" s="8"/>
    </row>
    <row r="3180">
      <c r="A3180" s="18"/>
      <c r="B3180" s="14">
        <f>IFERROR(__xludf.DUMMYFUNCTION("""COMPUTED_VALUE"""),524415.0)</f>
        <v>524415</v>
      </c>
      <c r="C3180" s="14" t="str">
        <f>IFERROR(__xludf.DUMMYFUNCTION("""COMPUTED_VALUE"""),"唐雨彤")</f>
        <v>唐雨彤</v>
      </c>
      <c r="D3180" s="16" t="str">
        <f>IFERROR(__xludf.DUMMYFUNCTION("""COMPUTED_VALUE"""),"m10*****cy@mail.edu.tw")</f>
        <v>m10*****cy@mail.edu.tw</v>
      </c>
      <c r="E3180" s="17" t="str">
        <f>IFERROR(__xludf.DUMMYFUNCTION("""COMPUTED_VALUE"""),"嘉義市東區民族國民小學")</f>
        <v>嘉義市東區民族國民小學</v>
      </c>
      <c r="F3180" s="14" t="str">
        <f>IFERROR(__xludf.DUMMYFUNCTION("""COMPUTED_VALUE"""),"五年級")</f>
        <v>五年級</v>
      </c>
      <c r="G3180" s="14" t="str">
        <f>IFERROR(__xludf.DUMMYFUNCTION("""COMPUTED_VALUE"""),"●小禮物")</f>
        <v>●小禮物</v>
      </c>
      <c r="H3180" s="8"/>
    </row>
    <row r="3181">
      <c r="A3181" s="18"/>
      <c r="B3181" s="14">
        <f>IFERROR(__xludf.DUMMYFUNCTION("""COMPUTED_VALUE"""),524388.0)</f>
        <v>524388</v>
      </c>
      <c r="C3181" s="14" t="str">
        <f>IFERROR(__xludf.DUMMYFUNCTION("""COMPUTED_VALUE"""),"徐嘉妍")</f>
        <v>徐嘉妍</v>
      </c>
      <c r="D3181" s="16" t="str">
        <f>IFERROR(__xludf.DUMMYFUNCTION("""COMPUTED_VALUE"""),"m10*****cy@mail.edu.tw")</f>
        <v>m10*****cy@mail.edu.tw</v>
      </c>
      <c r="E3181" s="17" t="str">
        <f>IFERROR(__xludf.DUMMYFUNCTION("""COMPUTED_VALUE"""),"嘉義市東區民族國民小學")</f>
        <v>嘉義市東區民族國民小學</v>
      </c>
      <c r="F3181" s="14" t="str">
        <f>IFERROR(__xludf.DUMMYFUNCTION("""COMPUTED_VALUE"""),"五年級")</f>
        <v>五年級</v>
      </c>
      <c r="G3181" s="14" t="str">
        <f>IFERROR(__xludf.DUMMYFUNCTION("""COMPUTED_VALUE"""),"●小禮物")</f>
        <v>●小禮物</v>
      </c>
      <c r="H3181" s="8"/>
    </row>
    <row r="3182">
      <c r="A3182" s="18"/>
      <c r="B3182" s="14">
        <f>IFERROR(__xludf.DUMMYFUNCTION("""COMPUTED_VALUE"""),524524.0)</f>
        <v>524524</v>
      </c>
      <c r="C3182" s="14" t="str">
        <f>IFERROR(__xludf.DUMMYFUNCTION("""COMPUTED_VALUE"""),"陳文曦")</f>
        <v>陳文曦</v>
      </c>
      <c r="D3182" s="16" t="str">
        <f>IFERROR(__xludf.DUMMYFUNCTION("""COMPUTED_VALUE"""),"m10*****cy@mail.edu.tw")</f>
        <v>m10*****cy@mail.edu.tw</v>
      </c>
      <c r="E3182" s="17" t="str">
        <f>IFERROR(__xludf.DUMMYFUNCTION("""COMPUTED_VALUE"""),"嘉義市東區民族國民小學")</f>
        <v>嘉義市東區民族國民小學</v>
      </c>
      <c r="F3182" s="14" t="str">
        <f>IFERROR(__xludf.DUMMYFUNCTION("""COMPUTED_VALUE"""),"五年級")</f>
        <v>五年級</v>
      </c>
      <c r="G3182" s="14" t="str">
        <f>IFERROR(__xludf.DUMMYFUNCTION("""COMPUTED_VALUE"""),"●小禮物")</f>
        <v>●小禮物</v>
      </c>
      <c r="H3182" s="8"/>
    </row>
    <row r="3183">
      <c r="A3183" s="18"/>
      <c r="B3183" s="14">
        <f>IFERROR(__xludf.DUMMYFUNCTION("""COMPUTED_VALUE"""),528084.0)</f>
        <v>528084</v>
      </c>
      <c r="C3183" s="14" t="str">
        <f>IFERROR(__xludf.DUMMYFUNCTION("""COMPUTED_VALUE"""),"楊祐任")</f>
        <v>楊祐任</v>
      </c>
      <c r="D3183" s="16" t="str">
        <f>IFERROR(__xludf.DUMMYFUNCTION("""COMPUTED_VALUE"""),"m10*****cy@mail.edu.tw")</f>
        <v>m10*****cy@mail.edu.tw</v>
      </c>
      <c r="E3183" s="17" t="str">
        <f>IFERROR(__xludf.DUMMYFUNCTION("""COMPUTED_VALUE"""),"嘉義市東區民族國民小學")</f>
        <v>嘉義市東區民族國民小學</v>
      </c>
      <c r="F3183" s="14" t="str">
        <f>IFERROR(__xludf.DUMMYFUNCTION("""COMPUTED_VALUE"""),"五年級")</f>
        <v>五年級</v>
      </c>
      <c r="G3183" s="14" t="str">
        <f>IFERROR(__xludf.DUMMYFUNCTION("""COMPUTED_VALUE"""),"●小禮物")</f>
        <v>●小禮物</v>
      </c>
      <c r="H3183" s="8"/>
    </row>
    <row r="3184">
      <c r="A3184" s="18"/>
      <c r="B3184" s="14">
        <f>IFERROR(__xludf.DUMMYFUNCTION("""COMPUTED_VALUE"""),524509.0)</f>
        <v>524509</v>
      </c>
      <c r="C3184" s="14" t="str">
        <f>IFERROR(__xludf.DUMMYFUNCTION("""COMPUTED_VALUE"""),"呂翰綸")</f>
        <v>呂翰綸</v>
      </c>
      <c r="D3184" s="16" t="str">
        <f>IFERROR(__xludf.DUMMYFUNCTION("""COMPUTED_VALUE"""),"m10*****cy@mail.edu.tw")</f>
        <v>m10*****cy@mail.edu.tw</v>
      </c>
      <c r="E3184" s="17" t="str">
        <f>IFERROR(__xludf.DUMMYFUNCTION("""COMPUTED_VALUE"""),"嘉義市東區民族國民小學")</f>
        <v>嘉義市東區民族國民小學</v>
      </c>
      <c r="F3184" s="14" t="str">
        <f>IFERROR(__xludf.DUMMYFUNCTION("""COMPUTED_VALUE"""),"五年級")</f>
        <v>五年級</v>
      </c>
      <c r="G3184" s="14" t="str">
        <f>IFERROR(__xludf.DUMMYFUNCTION("""COMPUTED_VALUE"""),"獎狀")</f>
        <v>獎狀</v>
      </c>
      <c r="H3184" s="8"/>
    </row>
    <row r="3185">
      <c r="A3185" s="18"/>
      <c r="B3185" s="14">
        <f>IFERROR(__xludf.DUMMYFUNCTION("""COMPUTED_VALUE"""),527649.0)</f>
        <v>527649</v>
      </c>
      <c r="C3185" s="14" t="str">
        <f>IFERROR(__xludf.DUMMYFUNCTION("""COMPUTED_VALUE"""),"林佳惠")</f>
        <v>林佳惠</v>
      </c>
      <c r="D3185" s="16" t="str">
        <f>IFERROR(__xludf.DUMMYFUNCTION("""COMPUTED_VALUE"""),"m10*****cy@mail.edu.tw")</f>
        <v>m10*****cy@mail.edu.tw</v>
      </c>
      <c r="E3185" s="17" t="str">
        <f>IFERROR(__xludf.DUMMYFUNCTION("""COMPUTED_VALUE"""),"嘉義市東區民族國民小學")</f>
        <v>嘉義市東區民族國民小學</v>
      </c>
      <c r="F3185" s="14" t="str">
        <f>IFERROR(__xludf.DUMMYFUNCTION("""COMPUTED_VALUE"""),"五年級")</f>
        <v>五年級</v>
      </c>
      <c r="G3185" s="14" t="str">
        <f>IFERROR(__xludf.DUMMYFUNCTION("""COMPUTED_VALUE"""),"獎狀")</f>
        <v>獎狀</v>
      </c>
      <c r="H3185" s="8"/>
    </row>
    <row r="3186">
      <c r="A3186" s="18"/>
      <c r="B3186" s="14">
        <f>IFERROR(__xludf.DUMMYFUNCTION("""COMPUTED_VALUE"""),527657.0)</f>
        <v>527657</v>
      </c>
      <c r="C3186" s="14" t="str">
        <f>IFERROR(__xludf.DUMMYFUNCTION("""COMPUTED_VALUE"""),"涂家恩")</f>
        <v>涂家恩</v>
      </c>
      <c r="D3186" s="16" t="str">
        <f>IFERROR(__xludf.DUMMYFUNCTION("""COMPUTED_VALUE"""),"m10*****cy@mail.edu.tw")</f>
        <v>m10*****cy@mail.edu.tw</v>
      </c>
      <c r="E3186" s="17" t="str">
        <f>IFERROR(__xludf.DUMMYFUNCTION("""COMPUTED_VALUE"""),"嘉義市東區民族國民小學")</f>
        <v>嘉義市東區民族國民小學</v>
      </c>
      <c r="F3186" s="14" t="str">
        <f>IFERROR(__xludf.DUMMYFUNCTION("""COMPUTED_VALUE"""),"五年級")</f>
        <v>五年級</v>
      </c>
      <c r="G3186" s="14" t="str">
        <f>IFERROR(__xludf.DUMMYFUNCTION("""COMPUTED_VALUE"""),"獎狀")</f>
        <v>獎狀</v>
      </c>
      <c r="H3186" s="8"/>
    </row>
    <row r="3187">
      <c r="A3187" s="18"/>
      <c r="B3187" s="14">
        <f>IFERROR(__xludf.DUMMYFUNCTION("""COMPUTED_VALUE"""),524377.0)</f>
        <v>524377</v>
      </c>
      <c r="C3187" s="14" t="str">
        <f>IFERROR(__xludf.DUMMYFUNCTION("""COMPUTED_VALUE"""),"劉子嘉")</f>
        <v>劉子嘉</v>
      </c>
      <c r="D3187" s="16" t="str">
        <f>IFERROR(__xludf.DUMMYFUNCTION("""COMPUTED_VALUE"""),"bry*****@mail.edu.tw")</f>
        <v>bry*****@mail.edu.tw</v>
      </c>
      <c r="E3187" s="17" t="str">
        <f>IFERROR(__xludf.DUMMYFUNCTION("""COMPUTED_VALUE"""),"嘉義市東區民族國民小學")</f>
        <v>嘉義市東區民族國民小學</v>
      </c>
      <c r="F3187" s="14" t="str">
        <f>IFERROR(__xludf.DUMMYFUNCTION("""COMPUTED_VALUE"""),"五年級")</f>
        <v>五年級</v>
      </c>
      <c r="G3187" s="14" t="str">
        <f>IFERROR(__xludf.DUMMYFUNCTION("""COMPUTED_VALUE"""),"獎狀")</f>
        <v>獎狀</v>
      </c>
      <c r="H3187" s="8"/>
    </row>
    <row r="3188">
      <c r="A3188" s="18"/>
      <c r="B3188" s="14">
        <f>IFERROR(__xludf.DUMMYFUNCTION("""COMPUTED_VALUE"""),523374.0)</f>
        <v>523374</v>
      </c>
      <c r="C3188" s="14" t="str">
        <f>IFERROR(__xludf.DUMMYFUNCTION("""COMPUTED_VALUE"""),"劉幸喆")</f>
        <v>劉幸喆</v>
      </c>
      <c r="D3188" s="16" t="str">
        <f>IFERROR(__xludf.DUMMYFUNCTION("""COMPUTED_VALUE"""),"m10*****cy@mail.edu.tw")</f>
        <v>m10*****cy@mail.edu.tw</v>
      </c>
      <c r="E3188" s="17" t="str">
        <f>IFERROR(__xludf.DUMMYFUNCTION("""COMPUTED_VALUE"""),"嘉義市東區民族國民小學")</f>
        <v>嘉義市東區民族國民小學</v>
      </c>
      <c r="F3188" s="14" t="str">
        <f>IFERROR(__xludf.DUMMYFUNCTION("""COMPUTED_VALUE"""),"五年級")</f>
        <v>五年級</v>
      </c>
      <c r="G3188" s="14" t="str">
        <f>IFERROR(__xludf.DUMMYFUNCTION("""COMPUTED_VALUE"""),"獎狀")</f>
        <v>獎狀</v>
      </c>
      <c r="H3188" s="8"/>
    </row>
    <row r="3189">
      <c r="A3189" s="18"/>
      <c r="B3189" s="14">
        <f>IFERROR(__xludf.DUMMYFUNCTION("""COMPUTED_VALUE"""),528145.0)</f>
        <v>528145</v>
      </c>
      <c r="C3189" s="14" t="str">
        <f>IFERROR(__xludf.DUMMYFUNCTION("""COMPUTED_VALUE"""),"鄭雍瀚")</f>
        <v>鄭雍瀚</v>
      </c>
      <c r="D3189" s="16" t="str">
        <f>IFERROR(__xludf.DUMMYFUNCTION("""COMPUTED_VALUE"""),"m10*****cy@mail.edu.tw")</f>
        <v>m10*****cy@mail.edu.tw</v>
      </c>
      <c r="E3189" s="17" t="str">
        <f>IFERROR(__xludf.DUMMYFUNCTION("""COMPUTED_VALUE"""),"嘉義市東區民族國民小學")</f>
        <v>嘉義市東區民族國民小學</v>
      </c>
      <c r="F3189" s="14" t="str">
        <f>IFERROR(__xludf.DUMMYFUNCTION("""COMPUTED_VALUE"""),"五年級")</f>
        <v>五年級</v>
      </c>
      <c r="G3189" s="14" t="str">
        <f>IFERROR(__xludf.DUMMYFUNCTION("""COMPUTED_VALUE"""),"獎狀")</f>
        <v>獎狀</v>
      </c>
      <c r="H3189" s="8"/>
    </row>
    <row r="3190">
      <c r="A3190" s="18"/>
      <c r="B3190" s="14">
        <f>IFERROR(__xludf.DUMMYFUNCTION("""COMPUTED_VALUE"""),527650.0)</f>
        <v>527650</v>
      </c>
      <c r="C3190" s="14" t="str">
        <f>IFERROR(__xludf.DUMMYFUNCTION("""COMPUTED_VALUE"""),"魏妤婷")</f>
        <v>魏妤婷</v>
      </c>
      <c r="D3190" s="16" t="str">
        <f>IFERROR(__xludf.DUMMYFUNCTION("""COMPUTED_VALUE"""),"m10*****cy@mail.edu.tw")</f>
        <v>m10*****cy@mail.edu.tw</v>
      </c>
      <c r="E3190" s="17" t="str">
        <f>IFERROR(__xludf.DUMMYFUNCTION("""COMPUTED_VALUE"""),"嘉義市東區民族國民小學")</f>
        <v>嘉義市東區民族國民小學</v>
      </c>
      <c r="F3190" s="14" t="str">
        <f>IFERROR(__xludf.DUMMYFUNCTION("""COMPUTED_VALUE"""),"五年級")</f>
        <v>五年級</v>
      </c>
      <c r="G3190" s="14" t="str">
        <f>IFERROR(__xludf.DUMMYFUNCTION("""COMPUTED_VALUE"""),"獎狀")</f>
        <v>獎狀</v>
      </c>
      <c r="H3190" s="8"/>
    </row>
    <row r="3191">
      <c r="A3191" s="18"/>
      <c r="B3191" s="14">
        <f>IFERROR(__xludf.DUMMYFUNCTION("""COMPUTED_VALUE"""),524429.0)</f>
        <v>524429</v>
      </c>
      <c r="C3191" s="14" t="str">
        <f>IFERROR(__xludf.DUMMYFUNCTION("""COMPUTED_VALUE"""),"李悅")</f>
        <v>李悅</v>
      </c>
      <c r="D3191" s="16" t="str">
        <f>IFERROR(__xludf.DUMMYFUNCTION("""COMPUTED_VALUE"""),"m10*****cy@mail.edu.tw")</f>
        <v>m10*****cy@mail.edu.tw</v>
      </c>
      <c r="E3191" s="17" t="str">
        <f>IFERROR(__xludf.DUMMYFUNCTION("""COMPUTED_VALUE"""),"嘉義市東區民族國民小學")</f>
        <v>嘉義市東區民族國民小學</v>
      </c>
      <c r="F3191" s="14" t="str">
        <f>IFERROR(__xludf.DUMMYFUNCTION("""COMPUTED_VALUE"""),"五年級")</f>
        <v>五年級</v>
      </c>
      <c r="G3191" s="14" t="str">
        <f>IFERROR(__xludf.DUMMYFUNCTION("""COMPUTED_VALUE"""),"●小禮物")</f>
        <v>●小禮物</v>
      </c>
      <c r="H3191" s="8"/>
    </row>
    <row r="3192">
      <c r="A3192" s="18"/>
      <c r="B3192" s="14">
        <f>IFERROR(__xludf.DUMMYFUNCTION("""COMPUTED_VALUE"""),524505.0)</f>
        <v>524505</v>
      </c>
      <c r="C3192" s="14" t="str">
        <f>IFERROR(__xludf.DUMMYFUNCTION("""COMPUTED_VALUE"""),"甯子庭")</f>
        <v>甯子庭</v>
      </c>
      <c r="D3192" s="16" t="str">
        <f>IFERROR(__xludf.DUMMYFUNCTION("""COMPUTED_VALUE"""),"m10*****cy@mail.edu.tw")</f>
        <v>m10*****cy@mail.edu.tw</v>
      </c>
      <c r="E3192" s="17" t="str">
        <f>IFERROR(__xludf.DUMMYFUNCTION("""COMPUTED_VALUE"""),"嘉義市東區民族國民小學")</f>
        <v>嘉義市東區民族國民小學</v>
      </c>
      <c r="F3192" s="14" t="str">
        <f>IFERROR(__xludf.DUMMYFUNCTION("""COMPUTED_VALUE"""),"五年級")</f>
        <v>五年級</v>
      </c>
      <c r="G3192" s="14" t="str">
        <f>IFERROR(__xludf.DUMMYFUNCTION("""COMPUTED_VALUE"""),"●小禮物")</f>
        <v>●小禮物</v>
      </c>
      <c r="H3192" s="8"/>
    </row>
    <row r="3193">
      <c r="A3193" s="18"/>
      <c r="B3193" s="14">
        <f>IFERROR(__xludf.DUMMYFUNCTION("""COMPUTED_VALUE"""),524418.0)</f>
        <v>524418</v>
      </c>
      <c r="C3193" s="14" t="str">
        <f>IFERROR(__xludf.DUMMYFUNCTION("""COMPUTED_VALUE"""),"李士淵")</f>
        <v>李士淵</v>
      </c>
      <c r="D3193" s="16" t="str">
        <f>IFERROR(__xludf.DUMMYFUNCTION("""COMPUTED_VALUE"""),"m10*****cy@mail.edu.tw")</f>
        <v>m10*****cy@mail.edu.tw</v>
      </c>
      <c r="E3193" s="17" t="str">
        <f>IFERROR(__xludf.DUMMYFUNCTION("""COMPUTED_VALUE"""),"嘉義市東區民族國民小學")</f>
        <v>嘉義市東區民族國民小學</v>
      </c>
      <c r="F3193" s="14" t="str">
        <f>IFERROR(__xludf.DUMMYFUNCTION("""COMPUTED_VALUE"""),"五年級")</f>
        <v>五年級</v>
      </c>
      <c r="G3193" s="14" t="str">
        <f>IFERROR(__xludf.DUMMYFUNCTION("""COMPUTED_VALUE"""),"獎狀")</f>
        <v>獎狀</v>
      </c>
      <c r="H3193" s="8"/>
    </row>
    <row r="3194">
      <c r="A3194" s="18"/>
      <c r="B3194" s="14">
        <f>IFERROR(__xludf.DUMMYFUNCTION("""COMPUTED_VALUE"""),527647.0)</f>
        <v>527647</v>
      </c>
      <c r="C3194" s="14" t="str">
        <f>IFERROR(__xludf.DUMMYFUNCTION("""COMPUTED_VALUE"""),"侯佳唯")</f>
        <v>侯佳唯</v>
      </c>
      <c r="D3194" s="16" t="str">
        <f>IFERROR(__xludf.DUMMYFUNCTION("""COMPUTED_VALUE"""),"m10*****cy@mail.edu.tw")</f>
        <v>m10*****cy@mail.edu.tw</v>
      </c>
      <c r="E3194" s="17" t="str">
        <f>IFERROR(__xludf.DUMMYFUNCTION("""COMPUTED_VALUE"""),"嘉義市東區民族國民小學")</f>
        <v>嘉義市東區民族國民小學</v>
      </c>
      <c r="F3194" s="14" t="str">
        <f>IFERROR(__xludf.DUMMYFUNCTION("""COMPUTED_VALUE"""),"五年級")</f>
        <v>五年級</v>
      </c>
      <c r="G3194" s="14" t="str">
        <f>IFERROR(__xludf.DUMMYFUNCTION("""COMPUTED_VALUE"""),"獎狀")</f>
        <v>獎狀</v>
      </c>
      <c r="H3194" s="8"/>
    </row>
    <row r="3195">
      <c r="A3195" s="18"/>
      <c r="B3195" s="14">
        <f>IFERROR(__xludf.DUMMYFUNCTION("""COMPUTED_VALUE"""),524400.0)</f>
        <v>524400</v>
      </c>
      <c r="C3195" s="14" t="str">
        <f>IFERROR(__xludf.DUMMYFUNCTION("""COMPUTED_VALUE"""),"潘成宇")</f>
        <v>潘成宇</v>
      </c>
      <c r="D3195" s="16" t="str">
        <f>IFERROR(__xludf.DUMMYFUNCTION("""COMPUTED_VALUE"""),"m10*****cy@mail.edu.tw")</f>
        <v>m10*****cy@mail.edu.tw</v>
      </c>
      <c r="E3195" s="17" t="str">
        <f>IFERROR(__xludf.DUMMYFUNCTION("""COMPUTED_VALUE"""),"嘉義市東區民族國民小學")</f>
        <v>嘉義市東區民族國民小學</v>
      </c>
      <c r="F3195" s="14" t="str">
        <f>IFERROR(__xludf.DUMMYFUNCTION("""COMPUTED_VALUE"""),"五年級")</f>
        <v>五年級</v>
      </c>
      <c r="G3195" s="14" t="str">
        <f>IFERROR(__xludf.DUMMYFUNCTION("""COMPUTED_VALUE"""),"獎狀")</f>
        <v>獎狀</v>
      </c>
      <c r="H3195" s="8"/>
    </row>
    <row r="3196">
      <c r="A3196" s="18"/>
      <c r="B3196" s="14">
        <f>IFERROR(__xludf.DUMMYFUNCTION("""COMPUTED_VALUE"""),524420.0)</f>
        <v>524420</v>
      </c>
      <c r="C3196" s="14" t="str">
        <f>IFERROR(__xludf.DUMMYFUNCTION("""COMPUTED_VALUE"""),"蔡亦瑜")</f>
        <v>蔡亦瑜</v>
      </c>
      <c r="D3196" s="16" t="str">
        <f>IFERROR(__xludf.DUMMYFUNCTION("""COMPUTED_VALUE"""),"m10*****cy@mail.edu.tw")</f>
        <v>m10*****cy@mail.edu.tw</v>
      </c>
      <c r="E3196" s="17" t="str">
        <f>IFERROR(__xludf.DUMMYFUNCTION("""COMPUTED_VALUE"""),"嘉義市東區民族國民小學")</f>
        <v>嘉義市東區民族國民小學</v>
      </c>
      <c r="F3196" s="14" t="str">
        <f>IFERROR(__xludf.DUMMYFUNCTION("""COMPUTED_VALUE"""),"五年級")</f>
        <v>五年級</v>
      </c>
      <c r="G3196" s="14" t="str">
        <f>IFERROR(__xludf.DUMMYFUNCTION("""COMPUTED_VALUE"""),"獎狀")</f>
        <v>獎狀</v>
      </c>
      <c r="H3196" s="8"/>
    </row>
    <row r="3197">
      <c r="A3197" s="18"/>
      <c r="B3197" s="14">
        <f>IFERROR(__xludf.DUMMYFUNCTION("""COMPUTED_VALUE"""),524531.0)</f>
        <v>524531</v>
      </c>
      <c r="C3197" s="14" t="str">
        <f>IFERROR(__xludf.DUMMYFUNCTION("""COMPUTED_VALUE"""),"蕭凱元")</f>
        <v>蕭凱元</v>
      </c>
      <c r="D3197" s="16" t="str">
        <f>IFERROR(__xludf.DUMMYFUNCTION("""COMPUTED_VALUE"""),"m10*****cy@mail.edu.tw")</f>
        <v>m10*****cy@mail.edu.tw</v>
      </c>
      <c r="E3197" s="17" t="str">
        <f>IFERROR(__xludf.DUMMYFUNCTION("""COMPUTED_VALUE"""),"嘉義市東區民族國民小學")</f>
        <v>嘉義市東區民族國民小學</v>
      </c>
      <c r="F3197" s="14" t="str">
        <f>IFERROR(__xludf.DUMMYFUNCTION("""COMPUTED_VALUE"""),"五年級")</f>
        <v>五年級</v>
      </c>
      <c r="G3197" s="14" t="str">
        <f>IFERROR(__xludf.DUMMYFUNCTION("""COMPUTED_VALUE"""),"獎狀")</f>
        <v>獎狀</v>
      </c>
      <c r="H3197" s="8"/>
    </row>
    <row r="3198">
      <c r="A3198" s="18"/>
      <c r="B3198" s="14">
        <f>IFERROR(__xludf.DUMMYFUNCTION("""COMPUTED_VALUE"""),721403.0)</f>
        <v>721403</v>
      </c>
      <c r="C3198" s="14" t="str">
        <f>IFERROR(__xludf.DUMMYFUNCTION("""COMPUTED_VALUE"""),"吳靖騰")</f>
        <v>吳靖騰</v>
      </c>
      <c r="D3198" s="16" t="str">
        <f>IFERROR(__xludf.DUMMYFUNCTION("""COMPUTED_VALUE"""),"106*****tugm.mtes.cy.edu.tw")</f>
        <v>106*****tugm.mtes.cy.edu.tw</v>
      </c>
      <c r="E3198" s="17" t="str">
        <f>IFERROR(__xludf.DUMMYFUNCTION("""COMPUTED_VALUE"""),"嘉義市東區民族國民小學")</f>
        <v>嘉義市東區民族國民小學</v>
      </c>
      <c r="F3198" s="14" t="str">
        <f>IFERROR(__xludf.DUMMYFUNCTION("""COMPUTED_VALUE"""),"六年級")</f>
        <v>六年級</v>
      </c>
      <c r="G3198" s="14" t="str">
        <f>IFERROR(__xludf.DUMMYFUNCTION("""COMPUTED_VALUE"""),"獎狀")</f>
        <v>獎狀</v>
      </c>
      <c r="H3198" s="8"/>
    </row>
    <row r="3199">
      <c r="A3199" s="18"/>
      <c r="B3199" s="14">
        <f>IFERROR(__xludf.DUMMYFUNCTION("""COMPUTED_VALUE"""),1007982.0)</f>
        <v>1007982</v>
      </c>
      <c r="C3199" s="14" t="str">
        <f>IFERROR(__xludf.DUMMYFUNCTION("""COMPUTED_VALUE"""),"張祐丞")</f>
        <v>張祐丞</v>
      </c>
      <c r="D3199" s="16" t="str">
        <f>IFERROR(__xludf.DUMMYFUNCTION("""COMPUTED_VALUE"""),"cw1*****@go.edu.tw")</f>
        <v>cw1*****@go.edu.tw</v>
      </c>
      <c r="E3199" s="17" t="str">
        <f>IFERROR(__xludf.DUMMYFUNCTION("""COMPUTED_VALUE"""),"嘉義市東區崇文國民小學")</f>
        <v>嘉義市東區崇文國民小學</v>
      </c>
      <c r="F3199" s="14" t="str">
        <f>IFERROR(__xludf.DUMMYFUNCTION("""COMPUTED_VALUE"""),"四年級")</f>
        <v>四年級</v>
      </c>
      <c r="G3199" s="14" t="str">
        <f>IFERROR(__xludf.DUMMYFUNCTION("""COMPUTED_VALUE"""),"●小禮物")</f>
        <v>●小禮物</v>
      </c>
      <c r="H3199" s="8"/>
    </row>
    <row r="3200">
      <c r="A3200" s="18"/>
      <c r="B3200" s="14">
        <f>IFERROR(__xludf.DUMMYFUNCTION("""COMPUTED_VALUE"""),993229.0)</f>
        <v>993229</v>
      </c>
      <c r="C3200" s="14" t="str">
        <f>IFERROR(__xludf.DUMMYFUNCTION("""COMPUTED_VALUE"""),"劉炫邑")</f>
        <v>劉炫邑</v>
      </c>
      <c r="D3200" s="16" t="str">
        <f>IFERROR(__xludf.DUMMYFUNCTION("""COMPUTED_VALUE"""),"ale*****r2010@gmail.com")</f>
        <v>ale*****r2010@gmail.com</v>
      </c>
      <c r="E3200" s="17" t="str">
        <f>IFERROR(__xludf.DUMMYFUNCTION("""COMPUTED_VALUE"""),"嘉義市東區崇文國民小學")</f>
        <v>嘉義市東區崇文國民小學</v>
      </c>
      <c r="F3200" s="14" t="str">
        <f>IFERROR(__xludf.DUMMYFUNCTION("""COMPUTED_VALUE"""),"五年級")</f>
        <v>五年級</v>
      </c>
      <c r="G3200" s="14" t="str">
        <f>IFERROR(__xludf.DUMMYFUNCTION("""COMPUTED_VALUE"""),"●小禮物")</f>
        <v>●小禮物</v>
      </c>
      <c r="H3200" s="8"/>
    </row>
    <row r="3201">
      <c r="A3201" s="18"/>
      <c r="B3201" s="14">
        <f>IFERROR(__xludf.DUMMYFUNCTION("""COMPUTED_VALUE"""),555143.0)</f>
        <v>555143</v>
      </c>
      <c r="C3201" s="14" t="str">
        <f>IFERROR(__xludf.DUMMYFUNCTION("""COMPUTED_VALUE"""),"何紹睿")</f>
        <v>何紹睿</v>
      </c>
      <c r="D3201" s="16" t="str">
        <f>IFERROR(__xludf.DUMMYFUNCTION("""COMPUTED_VALUE"""),"r21*****@msjh.cy.edu.tw")</f>
        <v>r21*****@msjh.cy.edu.tw</v>
      </c>
      <c r="E3201" s="17" t="str">
        <f>IFERROR(__xludf.DUMMYFUNCTION("""COMPUTED_VALUE"""),"嘉義市東區崇文國民小學")</f>
        <v>嘉義市東區崇文國民小學</v>
      </c>
      <c r="F3201" s="14" t="str">
        <f>IFERROR(__xludf.DUMMYFUNCTION("""COMPUTED_VALUE"""),"五年級")</f>
        <v>五年級</v>
      </c>
      <c r="G3201" s="14" t="str">
        <f>IFERROR(__xludf.DUMMYFUNCTION("""COMPUTED_VALUE"""),"●小禮物")</f>
        <v>●小禮物</v>
      </c>
      <c r="H3201" s="8"/>
    </row>
    <row r="3202">
      <c r="A3202" s="18"/>
      <c r="B3202" s="14">
        <f>IFERROR(__xludf.DUMMYFUNCTION("""COMPUTED_VALUE"""),1121097.0)</f>
        <v>1121097</v>
      </c>
      <c r="C3202" s="14" t="str">
        <f>IFERROR(__xludf.DUMMYFUNCTION("""COMPUTED_VALUE"""),"許洵甄")</f>
        <v>許洵甄</v>
      </c>
      <c r="D3202" s="16" t="str">
        <f>IFERROR(__xludf.DUMMYFUNCTION("""COMPUTED_VALUE"""),"jul*****1981@yahoo.com.tw")</f>
        <v>jul*****1981@yahoo.com.tw</v>
      </c>
      <c r="E3202" s="17" t="str">
        <f>IFERROR(__xludf.DUMMYFUNCTION("""COMPUTED_VALUE"""),"嘉義市東區崇文國民小學")</f>
        <v>嘉義市東區崇文國民小學</v>
      </c>
      <c r="F3202" s="14" t="str">
        <f>IFERROR(__xludf.DUMMYFUNCTION("""COMPUTED_VALUE"""),"五年級")</f>
        <v>五年級</v>
      </c>
      <c r="G3202" s="14" t="str">
        <f>IFERROR(__xludf.DUMMYFUNCTION("""COMPUTED_VALUE"""),"獎狀")</f>
        <v>獎狀</v>
      </c>
      <c r="H3202" s="8"/>
    </row>
    <row r="3203">
      <c r="A3203" s="18"/>
      <c r="B3203" s="14">
        <f>IFERROR(__xludf.DUMMYFUNCTION("""COMPUTED_VALUE"""),351269.0)</f>
        <v>351269</v>
      </c>
      <c r="C3203" s="14" t="str">
        <f>IFERROR(__xludf.DUMMYFUNCTION("""COMPUTED_VALUE"""),"鄭安晴")</f>
        <v>鄭安晴</v>
      </c>
      <c r="D3203" s="16" t="str">
        <f>IFERROR(__xludf.DUMMYFUNCTION("""COMPUTED_VALUE"""),"reb*****.tw@yahoo.com.tw")</f>
        <v>reb*****.tw@yahoo.com.tw</v>
      </c>
      <c r="E3203" s="17" t="str">
        <f>IFERROR(__xludf.DUMMYFUNCTION("""COMPUTED_VALUE"""),"嘉義市東區崇文國民小學")</f>
        <v>嘉義市東區崇文國民小學</v>
      </c>
      <c r="F3203" s="14" t="str">
        <f>IFERROR(__xludf.DUMMYFUNCTION("""COMPUTED_VALUE"""),"五年級")</f>
        <v>五年級</v>
      </c>
      <c r="G3203" s="14" t="str">
        <f>IFERROR(__xludf.DUMMYFUNCTION("""COMPUTED_VALUE"""),"獎狀")</f>
        <v>獎狀</v>
      </c>
      <c r="H3203" s="8"/>
    </row>
    <row r="3204">
      <c r="A3204" s="18"/>
      <c r="B3204" s="14">
        <f>IFERROR(__xludf.DUMMYFUNCTION("""COMPUTED_VALUE"""),1131572.0)</f>
        <v>1131572</v>
      </c>
      <c r="C3204" s="14" t="str">
        <f>IFERROR(__xludf.DUMMYFUNCTION("""COMPUTED_VALUE"""),"陳慧穎")</f>
        <v>陳慧穎</v>
      </c>
      <c r="D3204" s="16" t="str">
        <f>IFERROR(__xludf.DUMMYFUNCTION("""COMPUTED_VALUE"""),"can*****hen0810@gmail.com")</f>
        <v>can*****hen0810@gmail.com</v>
      </c>
      <c r="E3204" s="17" t="str">
        <f>IFERROR(__xludf.DUMMYFUNCTION("""COMPUTED_VALUE"""),"嘉義市東區林森國民小學")</f>
        <v>嘉義市東區林森國民小學</v>
      </c>
      <c r="F3204" s="14" t="str">
        <f>IFERROR(__xludf.DUMMYFUNCTION("""COMPUTED_VALUE"""),"三年級")</f>
        <v>三年級</v>
      </c>
      <c r="G3204" s="14" t="str">
        <f>IFERROR(__xludf.DUMMYFUNCTION("""COMPUTED_VALUE"""),"獎狀")</f>
        <v>獎狀</v>
      </c>
      <c r="H3204" s="8"/>
    </row>
    <row r="3205">
      <c r="A3205" s="18"/>
      <c r="B3205" s="14">
        <f>IFERROR(__xludf.DUMMYFUNCTION("""COMPUTED_VALUE"""),716620.0)</f>
        <v>716620</v>
      </c>
      <c r="C3205" s="14" t="str">
        <f>IFERROR(__xludf.DUMMYFUNCTION("""COMPUTED_VALUE"""),"楊子銳")</f>
        <v>楊子銳</v>
      </c>
      <c r="D3205" s="16" t="str">
        <f>IFERROR(__xludf.DUMMYFUNCTION("""COMPUTED_VALUE"""),"ray*****39@gmail.com")</f>
        <v>ray*****39@gmail.com</v>
      </c>
      <c r="E3205" s="17" t="str">
        <f>IFERROR(__xludf.DUMMYFUNCTION("""COMPUTED_VALUE"""),"嘉義市東區林森國民小學")</f>
        <v>嘉義市東區林森國民小學</v>
      </c>
      <c r="F3205" s="14" t="str">
        <f>IFERROR(__xludf.DUMMYFUNCTION("""COMPUTED_VALUE"""),"五年級")</f>
        <v>五年級</v>
      </c>
      <c r="G3205" s="14" t="str">
        <f>IFERROR(__xludf.DUMMYFUNCTION("""COMPUTED_VALUE"""),"獎狀")</f>
        <v>獎狀</v>
      </c>
      <c r="H3205" s="8"/>
    </row>
    <row r="3206">
      <c r="A3206" s="18"/>
      <c r="B3206" s="14">
        <f>IFERROR(__xludf.DUMMYFUNCTION("""COMPUTED_VALUE"""),1151906.0)</f>
        <v>1151906</v>
      </c>
      <c r="C3206" s="14" t="str">
        <f>IFERROR(__xludf.DUMMYFUNCTION("""COMPUTED_VALUE"""),"羅羽庭")</f>
        <v>羅羽庭</v>
      </c>
      <c r="D3206" s="16" t="str">
        <f>IFERROR(__xludf.DUMMYFUNCTION("""COMPUTED_VALUE"""),"ncy*****105@mail.edu.tw")</f>
        <v>ncy*****105@mail.edu.tw</v>
      </c>
      <c r="E3206" s="17" t="str">
        <f>IFERROR(__xludf.DUMMYFUNCTION("""COMPUTED_VALUE"""),"國立嘉義大學附設實驗國民小學")</f>
        <v>國立嘉義大學附設實驗國民小學</v>
      </c>
      <c r="F3206" s="14" t="str">
        <f>IFERROR(__xludf.DUMMYFUNCTION("""COMPUTED_VALUE"""),"三年級")</f>
        <v>三年級</v>
      </c>
      <c r="G3206" s="14" t="str">
        <f>IFERROR(__xludf.DUMMYFUNCTION("""COMPUTED_VALUE"""),"●小禮物")</f>
        <v>●小禮物</v>
      </c>
      <c r="H3206" s="8"/>
    </row>
    <row r="3207">
      <c r="A3207" s="18"/>
      <c r="B3207" s="14">
        <f>IFERROR(__xludf.DUMMYFUNCTION("""COMPUTED_VALUE"""),1022348.0)</f>
        <v>1022348</v>
      </c>
      <c r="C3207" s="14" t="str">
        <f>IFERROR(__xludf.DUMMYFUNCTION("""COMPUTED_VALUE"""),"蔡嘉澤")</f>
        <v>蔡嘉澤</v>
      </c>
      <c r="D3207" s="16" t="str">
        <f>IFERROR(__xludf.DUMMYFUNCTION("""COMPUTED_VALUE"""),"ncy*****033@mail.edu.tw")</f>
        <v>ncy*****033@mail.edu.tw</v>
      </c>
      <c r="E3207" s="17" t="str">
        <f>IFERROR(__xludf.DUMMYFUNCTION("""COMPUTED_VALUE"""),"國立嘉義大學附設實驗國民小學")</f>
        <v>國立嘉義大學附設實驗國民小學</v>
      </c>
      <c r="F3207" s="14" t="str">
        <f>IFERROR(__xludf.DUMMYFUNCTION("""COMPUTED_VALUE"""),"四年級")</f>
        <v>四年級</v>
      </c>
      <c r="G3207" s="14" t="str">
        <f>IFERROR(__xludf.DUMMYFUNCTION("""COMPUTED_VALUE"""),"獎狀")</f>
        <v>獎狀</v>
      </c>
      <c r="H3207" s="8"/>
    </row>
    <row r="3208">
      <c r="A3208" s="18"/>
      <c r="B3208" s="14">
        <f>IFERROR(__xludf.DUMMYFUNCTION("""COMPUTED_VALUE"""),938338.0)</f>
        <v>938338</v>
      </c>
      <c r="C3208" s="14" t="str">
        <f>IFERROR(__xludf.DUMMYFUNCTION("""COMPUTED_VALUE"""),"陳曉玄")</f>
        <v>陳曉玄</v>
      </c>
      <c r="D3208" s="16" t="str">
        <f>IFERROR(__xludf.DUMMYFUNCTION("""COMPUTED_VALUE"""),"ncy*****110@mail.edu.tw")</f>
        <v>ncy*****110@mail.edu.tw</v>
      </c>
      <c r="E3208" s="17" t="str">
        <f>IFERROR(__xludf.DUMMYFUNCTION("""COMPUTED_VALUE"""),"國立嘉義大學附設實驗國民小學")</f>
        <v>國立嘉義大學附設實驗國民小學</v>
      </c>
      <c r="F3208" s="14" t="str">
        <f>IFERROR(__xludf.DUMMYFUNCTION("""COMPUTED_VALUE"""),"四年級")</f>
        <v>四年級</v>
      </c>
      <c r="G3208" s="14" t="str">
        <f>IFERROR(__xludf.DUMMYFUNCTION("""COMPUTED_VALUE"""),"獎狀")</f>
        <v>獎狀</v>
      </c>
      <c r="H3208" s="8"/>
    </row>
    <row r="3209">
      <c r="A3209" s="18"/>
      <c r="B3209" s="14">
        <f>IFERROR(__xludf.DUMMYFUNCTION("""COMPUTED_VALUE"""),588942.0)</f>
        <v>588942</v>
      </c>
      <c r="C3209" s="14" t="str">
        <f>IFERROR(__xludf.DUMMYFUNCTION("""COMPUTED_VALUE"""),"林楷倫")</f>
        <v>林楷倫</v>
      </c>
      <c r="D3209" s="16" t="str">
        <f>IFERROR(__xludf.DUMMYFUNCTION("""COMPUTED_VALUE"""),"jim*****21220@mail.edu.tw")</f>
        <v>jim*****21220@mail.edu.tw</v>
      </c>
      <c r="E3209" s="17" t="str">
        <f>IFERROR(__xludf.DUMMYFUNCTION("""COMPUTED_VALUE"""),"國立嘉義大學附設實驗國民小學")</f>
        <v>國立嘉義大學附設實驗國民小學</v>
      </c>
      <c r="F3209" s="14" t="str">
        <f>IFERROR(__xludf.DUMMYFUNCTION("""COMPUTED_VALUE"""),"四年級")</f>
        <v>四年級</v>
      </c>
      <c r="G3209" s="14" t="str">
        <f>IFERROR(__xludf.DUMMYFUNCTION("""COMPUTED_VALUE"""),"●小禮物")</f>
        <v>●小禮物</v>
      </c>
      <c r="H3209" s="8"/>
    </row>
    <row r="3210">
      <c r="A3210" s="18"/>
      <c r="B3210" s="14">
        <f>IFERROR(__xludf.DUMMYFUNCTION("""COMPUTED_VALUE"""),916555.0)</f>
        <v>916555</v>
      </c>
      <c r="C3210" s="14" t="str">
        <f>IFERROR(__xludf.DUMMYFUNCTION("""COMPUTED_VALUE"""),"林歆嵐")</f>
        <v>林歆嵐</v>
      </c>
      <c r="D3210" s="16" t="str">
        <f>IFERROR(__xludf.DUMMYFUNCTION("""COMPUTED_VALUE"""),"ncy*****027@mail.edu.tw")</f>
        <v>ncy*****027@mail.edu.tw</v>
      </c>
      <c r="E3210" s="17" t="str">
        <f>IFERROR(__xludf.DUMMYFUNCTION("""COMPUTED_VALUE"""),"國立嘉義大學附設實驗國民小學")</f>
        <v>國立嘉義大學附設實驗國民小學</v>
      </c>
      <c r="F3210" s="14" t="str">
        <f>IFERROR(__xludf.DUMMYFUNCTION("""COMPUTED_VALUE"""),"四年級")</f>
        <v>四年級</v>
      </c>
      <c r="G3210" s="14" t="str">
        <f>IFERROR(__xludf.DUMMYFUNCTION("""COMPUTED_VALUE"""),"●小禮物")</f>
        <v>●小禮物</v>
      </c>
      <c r="H3210" s="8"/>
    </row>
    <row r="3211">
      <c r="A3211" s="18"/>
      <c r="B3211" s="14">
        <f>IFERROR(__xludf.DUMMYFUNCTION("""COMPUTED_VALUE"""),1086350.0)</f>
        <v>1086350</v>
      </c>
      <c r="C3211" s="14" t="str">
        <f>IFERROR(__xludf.DUMMYFUNCTION("""COMPUTED_VALUE"""),"葉柏辰")</f>
        <v>葉柏辰</v>
      </c>
      <c r="D3211" s="16" t="str">
        <f>IFERROR(__xludf.DUMMYFUNCTION("""COMPUTED_VALUE"""),"ncy*****093@mail.edu.tw")</f>
        <v>ncy*****093@mail.edu.tw</v>
      </c>
      <c r="E3211" s="17" t="str">
        <f>IFERROR(__xludf.DUMMYFUNCTION("""COMPUTED_VALUE"""),"國立嘉義大學附設實驗國民小學")</f>
        <v>國立嘉義大學附設實驗國民小學</v>
      </c>
      <c r="F3211" s="14" t="str">
        <f>IFERROR(__xludf.DUMMYFUNCTION("""COMPUTED_VALUE"""),"四年級")</f>
        <v>四年級</v>
      </c>
      <c r="G3211" s="14" t="str">
        <f>IFERROR(__xludf.DUMMYFUNCTION("""COMPUTED_VALUE"""),"獎狀")</f>
        <v>獎狀</v>
      </c>
      <c r="H3211" s="8"/>
    </row>
    <row r="3212">
      <c r="A3212" s="18"/>
      <c r="B3212" s="14">
        <f>IFERROR(__xludf.DUMMYFUNCTION("""COMPUTED_VALUE"""),322171.0)</f>
        <v>322171</v>
      </c>
      <c r="C3212" s="14" t="str">
        <f>IFERROR(__xludf.DUMMYFUNCTION("""COMPUTED_VALUE"""),"朱悌安")</f>
        <v>朱悌安</v>
      </c>
      <c r="D3212" s="16" t="str">
        <f>IFERROR(__xludf.DUMMYFUNCTION("""COMPUTED_VALUE"""),"mar*****e@hotmail.com")</f>
        <v>mar*****e@hotmail.com</v>
      </c>
      <c r="E3212" s="17" t="str">
        <f>IFERROR(__xludf.DUMMYFUNCTION("""COMPUTED_VALUE"""),"國立嘉義大學附設實驗國民小學")</f>
        <v>國立嘉義大學附設實驗國民小學</v>
      </c>
      <c r="F3212" s="14" t="str">
        <f>IFERROR(__xludf.DUMMYFUNCTION("""COMPUTED_VALUE"""),"四年級")</f>
        <v>四年級</v>
      </c>
      <c r="G3212" s="14" t="str">
        <f>IFERROR(__xludf.DUMMYFUNCTION("""COMPUTED_VALUE"""),"獎狀")</f>
        <v>獎狀</v>
      </c>
      <c r="H3212" s="8"/>
    </row>
    <row r="3213">
      <c r="A3213" s="18"/>
      <c r="B3213" s="14">
        <f>IFERROR(__xludf.DUMMYFUNCTION("""COMPUTED_VALUE"""),579713.0)</f>
        <v>579713</v>
      </c>
      <c r="C3213" s="14" t="str">
        <f>IFERROR(__xludf.DUMMYFUNCTION("""COMPUTED_VALUE"""),"張力云")</f>
        <v>張力云</v>
      </c>
      <c r="D3213" s="16" t="str">
        <f>IFERROR(__xludf.DUMMYFUNCTION("""COMPUTED_VALUE"""),"ncy*****143@mail.edu.tw")</f>
        <v>ncy*****143@mail.edu.tw</v>
      </c>
      <c r="E3213" s="17" t="str">
        <f>IFERROR(__xludf.DUMMYFUNCTION("""COMPUTED_VALUE"""),"國立嘉義大學附設實驗國民小學")</f>
        <v>國立嘉義大學附設實驗國民小學</v>
      </c>
      <c r="F3213" s="14" t="str">
        <f>IFERROR(__xludf.DUMMYFUNCTION("""COMPUTED_VALUE"""),"五年級")</f>
        <v>五年級</v>
      </c>
      <c r="G3213" s="14" t="str">
        <f>IFERROR(__xludf.DUMMYFUNCTION("""COMPUTED_VALUE"""),"●小禮物")</f>
        <v>●小禮物</v>
      </c>
      <c r="H3213" s="8"/>
    </row>
    <row r="3214">
      <c r="A3214" s="18"/>
      <c r="B3214" s="14">
        <f>IFERROR(__xludf.DUMMYFUNCTION("""COMPUTED_VALUE"""),577608.0)</f>
        <v>577608</v>
      </c>
      <c r="C3214" s="14" t="str">
        <f>IFERROR(__xludf.DUMMYFUNCTION("""COMPUTED_VALUE"""),"張竣堯")</f>
        <v>張竣堯</v>
      </c>
      <c r="D3214" s="16" t="str">
        <f>IFERROR(__xludf.DUMMYFUNCTION("""COMPUTED_VALUE"""),"ncy*****098@mail.edu.tw")</f>
        <v>ncy*****098@mail.edu.tw</v>
      </c>
      <c r="E3214" s="17" t="str">
        <f>IFERROR(__xludf.DUMMYFUNCTION("""COMPUTED_VALUE"""),"國立嘉義大學附設實驗國民小學")</f>
        <v>國立嘉義大學附設實驗國民小學</v>
      </c>
      <c r="F3214" s="14" t="str">
        <f>IFERROR(__xludf.DUMMYFUNCTION("""COMPUTED_VALUE"""),"五年級")</f>
        <v>五年級</v>
      </c>
      <c r="G3214" s="14" t="str">
        <f>IFERROR(__xludf.DUMMYFUNCTION("""COMPUTED_VALUE"""),"獎狀")</f>
        <v>獎狀</v>
      </c>
      <c r="H3214" s="8"/>
    </row>
    <row r="3215">
      <c r="A3215" s="18"/>
      <c r="B3215" s="14">
        <f>IFERROR(__xludf.DUMMYFUNCTION("""COMPUTED_VALUE"""),577671.0)</f>
        <v>577671</v>
      </c>
      <c r="C3215" s="14" t="str">
        <f>IFERROR(__xludf.DUMMYFUNCTION("""COMPUTED_VALUE"""),"蕭存愛")</f>
        <v>蕭存愛</v>
      </c>
      <c r="D3215" s="16" t="str">
        <f>IFERROR(__xludf.DUMMYFUNCTION("""COMPUTED_VALUE"""),"ncy*****7105@mail.edu.tw")</f>
        <v>ncy*****7105@mail.edu.tw</v>
      </c>
      <c r="E3215" s="17" t="str">
        <f>IFERROR(__xludf.DUMMYFUNCTION("""COMPUTED_VALUE"""),"國立嘉義大學附設實驗國民小學")</f>
        <v>國立嘉義大學附設實驗國民小學</v>
      </c>
      <c r="F3215" s="14" t="str">
        <f>IFERROR(__xludf.DUMMYFUNCTION("""COMPUTED_VALUE"""),"五年級")</f>
        <v>五年級</v>
      </c>
      <c r="G3215" s="14" t="str">
        <f>IFERROR(__xludf.DUMMYFUNCTION("""COMPUTED_VALUE"""),"●小禮物")</f>
        <v>●小禮物</v>
      </c>
      <c r="H3215" s="8"/>
    </row>
    <row r="3216">
      <c r="A3216" s="18"/>
      <c r="B3216" s="14">
        <f>IFERROR(__xludf.DUMMYFUNCTION("""COMPUTED_VALUE"""),582484.0)</f>
        <v>582484</v>
      </c>
      <c r="C3216" s="14" t="str">
        <f>IFERROR(__xludf.DUMMYFUNCTION("""COMPUTED_VALUE"""),"詹勛晴")</f>
        <v>詹勛晴</v>
      </c>
      <c r="D3216" s="16" t="str">
        <f>IFERROR(__xludf.DUMMYFUNCTION("""COMPUTED_VALUE"""),"ncy*****058@mail.edu.tw")</f>
        <v>ncy*****058@mail.edu.tw</v>
      </c>
      <c r="E3216" s="17" t="str">
        <f>IFERROR(__xludf.DUMMYFUNCTION("""COMPUTED_VALUE"""),"國立嘉義大學附設實驗國民小學")</f>
        <v>國立嘉義大學附設實驗國民小學</v>
      </c>
      <c r="F3216" s="14" t="str">
        <f>IFERROR(__xludf.DUMMYFUNCTION("""COMPUTED_VALUE"""),"五年級")</f>
        <v>五年級</v>
      </c>
      <c r="G3216" s="14" t="str">
        <f>IFERROR(__xludf.DUMMYFUNCTION("""COMPUTED_VALUE"""),"獎狀")</f>
        <v>獎狀</v>
      </c>
      <c r="H3216" s="8"/>
    </row>
    <row r="3217">
      <c r="A3217" s="18"/>
      <c r="B3217" s="14">
        <f>IFERROR(__xludf.DUMMYFUNCTION("""COMPUTED_VALUE"""),582487.0)</f>
        <v>582487</v>
      </c>
      <c r="C3217" s="14" t="str">
        <f>IFERROR(__xludf.DUMMYFUNCTION("""COMPUTED_VALUE"""),"林彥安")</f>
        <v>林彥安</v>
      </c>
      <c r="D3217" s="16" t="str">
        <f>IFERROR(__xludf.DUMMYFUNCTION("""COMPUTED_VALUE"""),"ncy*****091@mail.edu.tw")</f>
        <v>ncy*****091@mail.edu.tw</v>
      </c>
      <c r="E3217" s="17" t="str">
        <f>IFERROR(__xludf.DUMMYFUNCTION("""COMPUTED_VALUE"""),"國立嘉義大學附設實驗國民小學")</f>
        <v>國立嘉義大學附設實驗國民小學</v>
      </c>
      <c r="F3217" s="14" t="str">
        <f>IFERROR(__xludf.DUMMYFUNCTION("""COMPUTED_VALUE"""),"五年級")</f>
        <v>五年級</v>
      </c>
      <c r="G3217" s="14" t="str">
        <f>IFERROR(__xludf.DUMMYFUNCTION("""COMPUTED_VALUE"""),"●小禮物")</f>
        <v>●小禮物</v>
      </c>
      <c r="H3217" s="8"/>
    </row>
    <row r="3218">
      <c r="A3218" s="18"/>
      <c r="B3218" s="14">
        <f>IFERROR(__xludf.DUMMYFUNCTION("""COMPUTED_VALUE"""),1188032.0)</f>
        <v>1188032</v>
      </c>
      <c r="C3218" s="14" t="str">
        <f>IFERROR(__xludf.DUMMYFUNCTION("""COMPUTED_VALUE"""),"林宥勳")</f>
        <v>林宥勳</v>
      </c>
      <c r="D3218" s="16" t="str">
        <f>IFERROR(__xludf.DUMMYFUNCTION("""COMPUTED_VALUE"""),"ncy*****121@go.edu.tw")</f>
        <v>ncy*****121@go.edu.tw</v>
      </c>
      <c r="E3218" s="17" t="str">
        <f>IFERROR(__xludf.DUMMYFUNCTION("""COMPUTED_VALUE"""),"國立嘉義大學附設實驗國民小學")</f>
        <v>國立嘉義大學附設實驗國民小學</v>
      </c>
      <c r="F3218" s="14" t="str">
        <f>IFERROR(__xludf.DUMMYFUNCTION("""COMPUTED_VALUE"""),"五年級")</f>
        <v>五年級</v>
      </c>
      <c r="G3218" s="14" t="str">
        <f>IFERROR(__xludf.DUMMYFUNCTION("""COMPUTED_VALUE"""),"獎狀")</f>
        <v>獎狀</v>
      </c>
      <c r="H3218" s="8"/>
    </row>
    <row r="3219">
      <c r="A3219" s="18"/>
      <c r="B3219" s="14">
        <f>IFERROR(__xludf.DUMMYFUNCTION("""COMPUTED_VALUE"""),580628.0)</f>
        <v>580628</v>
      </c>
      <c r="C3219" s="14" t="str">
        <f>IFERROR(__xludf.DUMMYFUNCTION("""COMPUTED_VALUE"""),"陳湛元")</f>
        <v>陳湛元</v>
      </c>
      <c r="D3219" s="16" t="str">
        <f>IFERROR(__xludf.DUMMYFUNCTION("""COMPUTED_VALUE"""),"ncy*****099@mail.edu.tw")</f>
        <v>ncy*****099@mail.edu.tw</v>
      </c>
      <c r="E3219" s="17" t="str">
        <f>IFERROR(__xludf.DUMMYFUNCTION("""COMPUTED_VALUE"""),"國立嘉義大學附設實驗國民小學")</f>
        <v>國立嘉義大學附設實驗國民小學</v>
      </c>
      <c r="F3219" s="14" t="str">
        <f>IFERROR(__xludf.DUMMYFUNCTION("""COMPUTED_VALUE"""),"五年級")</f>
        <v>五年級</v>
      </c>
      <c r="G3219" s="14" t="str">
        <f>IFERROR(__xludf.DUMMYFUNCTION("""COMPUTED_VALUE"""),"●小禮物")</f>
        <v>●小禮物</v>
      </c>
      <c r="H3219" s="8"/>
    </row>
    <row r="3220">
      <c r="A3220" s="18"/>
      <c r="B3220" s="14">
        <f>IFERROR(__xludf.DUMMYFUNCTION("""COMPUTED_VALUE"""),579728.0)</f>
        <v>579728</v>
      </c>
      <c r="C3220" s="14" t="str">
        <f>IFERROR(__xludf.DUMMYFUNCTION("""COMPUTED_VALUE"""),"楊子緹")</f>
        <v>楊子緹</v>
      </c>
      <c r="D3220" s="16" t="str">
        <f>IFERROR(__xludf.DUMMYFUNCTION("""COMPUTED_VALUE"""),"ncy*****028@mail.edu.tw")</f>
        <v>ncy*****028@mail.edu.tw</v>
      </c>
      <c r="E3220" s="17" t="str">
        <f>IFERROR(__xludf.DUMMYFUNCTION("""COMPUTED_VALUE"""),"國立嘉義大學附設實驗國民小學")</f>
        <v>國立嘉義大學附設實驗國民小學</v>
      </c>
      <c r="F3220" s="14" t="str">
        <f>IFERROR(__xludf.DUMMYFUNCTION("""COMPUTED_VALUE"""),"五年級")</f>
        <v>五年級</v>
      </c>
      <c r="G3220" s="14" t="str">
        <f>IFERROR(__xludf.DUMMYFUNCTION("""COMPUTED_VALUE"""),"●小禮物")</f>
        <v>●小禮物</v>
      </c>
      <c r="H3220" s="8"/>
    </row>
    <row r="3221">
      <c r="A3221" s="18"/>
      <c r="B3221" s="14">
        <f>IFERROR(__xludf.DUMMYFUNCTION("""COMPUTED_VALUE"""),577625.0)</f>
        <v>577625</v>
      </c>
      <c r="C3221" s="14" t="str">
        <f>IFERROR(__xludf.DUMMYFUNCTION("""COMPUTED_VALUE"""),"蔡依倫")</f>
        <v>蔡依倫</v>
      </c>
      <c r="D3221" s="16" t="str">
        <f>IFERROR(__xludf.DUMMYFUNCTION("""COMPUTED_VALUE"""),"ncy*****053@mail.edu.tw")</f>
        <v>ncy*****053@mail.edu.tw</v>
      </c>
      <c r="E3221" s="17" t="str">
        <f>IFERROR(__xludf.DUMMYFUNCTION("""COMPUTED_VALUE"""),"國立嘉義大學附設實驗國民小學")</f>
        <v>國立嘉義大學附設實驗國民小學</v>
      </c>
      <c r="F3221" s="14" t="str">
        <f>IFERROR(__xludf.DUMMYFUNCTION("""COMPUTED_VALUE"""),"五年級")</f>
        <v>五年級</v>
      </c>
      <c r="G3221" s="14" t="str">
        <f>IFERROR(__xludf.DUMMYFUNCTION("""COMPUTED_VALUE"""),"●小禮物")</f>
        <v>●小禮物</v>
      </c>
      <c r="H3221" s="8"/>
    </row>
    <row r="3222">
      <c r="A3222" s="18"/>
      <c r="B3222" s="14">
        <f>IFERROR(__xludf.DUMMYFUNCTION("""COMPUTED_VALUE"""),577679.0)</f>
        <v>577679</v>
      </c>
      <c r="C3222" s="14" t="str">
        <f>IFERROR(__xludf.DUMMYFUNCTION("""COMPUTED_VALUE"""),"林以捷")</f>
        <v>林以捷</v>
      </c>
      <c r="D3222" s="16" t="str">
        <f>IFERROR(__xludf.DUMMYFUNCTION("""COMPUTED_VALUE"""),"ncy*****132@mail.edu.tw")</f>
        <v>ncy*****132@mail.edu.tw</v>
      </c>
      <c r="E3222" s="17" t="str">
        <f>IFERROR(__xludf.DUMMYFUNCTION("""COMPUTED_VALUE"""),"國立嘉義大學附設實驗國民小學")</f>
        <v>國立嘉義大學附設實驗國民小學</v>
      </c>
      <c r="F3222" s="14" t="str">
        <f>IFERROR(__xludf.DUMMYFUNCTION("""COMPUTED_VALUE"""),"五年級")</f>
        <v>五年級</v>
      </c>
      <c r="G3222" s="14" t="str">
        <f>IFERROR(__xludf.DUMMYFUNCTION("""COMPUTED_VALUE"""),"獎狀")</f>
        <v>獎狀</v>
      </c>
      <c r="H3222" s="8"/>
    </row>
    <row r="3223">
      <c r="A3223" s="18"/>
      <c r="B3223" s="14">
        <f>IFERROR(__xludf.DUMMYFUNCTION("""COMPUTED_VALUE"""),582538.0)</f>
        <v>582538</v>
      </c>
      <c r="C3223" s="14" t="str">
        <f>IFERROR(__xludf.DUMMYFUNCTION("""COMPUTED_VALUE"""),"柯羽玲")</f>
        <v>柯羽玲</v>
      </c>
      <c r="D3223" s="16" t="str">
        <f>IFERROR(__xludf.DUMMYFUNCTION("""COMPUTED_VALUE"""),"ncy*****054@mail.edu.tw")</f>
        <v>ncy*****054@mail.edu.tw</v>
      </c>
      <c r="E3223" s="17" t="str">
        <f>IFERROR(__xludf.DUMMYFUNCTION("""COMPUTED_VALUE"""),"國立嘉義大學附設實驗國民小學")</f>
        <v>國立嘉義大學附設實驗國民小學</v>
      </c>
      <c r="F3223" s="14" t="str">
        <f>IFERROR(__xludf.DUMMYFUNCTION("""COMPUTED_VALUE"""),"五年級")</f>
        <v>五年級</v>
      </c>
      <c r="G3223" s="14" t="str">
        <f>IFERROR(__xludf.DUMMYFUNCTION("""COMPUTED_VALUE"""),"獎狀")</f>
        <v>獎狀</v>
      </c>
      <c r="H3223" s="8"/>
    </row>
    <row r="3224">
      <c r="A3224" s="18"/>
      <c r="B3224" s="14">
        <f>IFERROR(__xludf.DUMMYFUNCTION("""COMPUTED_VALUE"""),577607.0)</f>
        <v>577607</v>
      </c>
      <c r="C3224" s="14" t="str">
        <f>IFERROR(__xludf.DUMMYFUNCTION("""COMPUTED_VALUE"""),"黃健誠")</f>
        <v>黃健誠</v>
      </c>
      <c r="D3224" s="16" t="str">
        <f>IFERROR(__xludf.DUMMYFUNCTION("""COMPUTED_VALUE"""),"ncy*****067@mail.edu.tw")</f>
        <v>ncy*****067@mail.edu.tw</v>
      </c>
      <c r="E3224" s="17" t="str">
        <f>IFERROR(__xludf.DUMMYFUNCTION("""COMPUTED_VALUE"""),"國立嘉義大學附設實驗國民小學")</f>
        <v>國立嘉義大學附設實驗國民小學</v>
      </c>
      <c r="F3224" s="14" t="str">
        <f>IFERROR(__xludf.DUMMYFUNCTION("""COMPUTED_VALUE"""),"五年級")</f>
        <v>五年級</v>
      </c>
      <c r="G3224" s="14" t="str">
        <f>IFERROR(__xludf.DUMMYFUNCTION("""COMPUTED_VALUE"""),"獎狀")</f>
        <v>獎狀</v>
      </c>
      <c r="H3224" s="8"/>
    </row>
    <row r="3225">
      <c r="A3225" s="18"/>
      <c r="B3225" s="14">
        <f>IFERROR(__xludf.DUMMYFUNCTION("""COMPUTED_VALUE"""),1186696.0)</f>
        <v>1186696</v>
      </c>
      <c r="C3225" s="14" t="str">
        <f>IFERROR(__xludf.DUMMYFUNCTION("""COMPUTED_VALUE"""),"黃煊智")</f>
        <v>黃煊智</v>
      </c>
      <c r="D3225" s="16" t="str">
        <f>IFERROR(__xludf.DUMMYFUNCTION("""COMPUTED_VALUE"""),"ncy*****066@go.edu.tw")</f>
        <v>ncy*****066@go.edu.tw</v>
      </c>
      <c r="E3225" s="17" t="str">
        <f>IFERROR(__xludf.DUMMYFUNCTION("""COMPUTED_VALUE"""),"國立嘉義大學附設實驗國民小學")</f>
        <v>國立嘉義大學附設實驗國民小學</v>
      </c>
      <c r="F3225" s="14" t="str">
        <f>IFERROR(__xludf.DUMMYFUNCTION("""COMPUTED_VALUE"""),"五年級")</f>
        <v>五年級</v>
      </c>
      <c r="G3225" s="14" t="str">
        <f>IFERROR(__xludf.DUMMYFUNCTION("""COMPUTED_VALUE"""),"獎狀")</f>
        <v>獎狀</v>
      </c>
      <c r="H3225" s="8"/>
    </row>
    <row r="3226">
      <c r="A3226" s="18"/>
      <c r="B3226" s="14">
        <f>IFERROR(__xludf.DUMMYFUNCTION("""COMPUTED_VALUE"""),644572.0)</f>
        <v>644572</v>
      </c>
      <c r="C3226" s="14" t="str">
        <f>IFERROR(__xludf.DUMMYFUNCTION("""COMPUTED_VALUE"""),"鐘筳娛")</f>
        <v>鐘筳娛</v>
      </c>
      <c r="D3226" s="16" t="str">
        <f>IFERROR(__xludf.DUMMYFUNCTION("""COMPUTED_VALUE"""),"ncy*****139@mail.edu.tw")</f>
        <v>ncy*****139@mail.edu.tw</v>
      </c>
      <c r="E3226" s="17" t="str">
        <f>IFERROR(__xludf.DUMMYFUNCTION("""COMPUTED_VALUE"""),"國立嘉義大學附設實驗國民小學")</f>
        <v>國立嘉義大學附設實驗國民小學</v>
      </c>
      <c r="F3226" s="14" t="str">
        <f>IFERROR(__xludf.DUMMYFUNCTION("""COMPUTED_VALUE"""),"五年級")</f>
        <v>五年級</v>
      </c>
      <c r="G3226" s="14" t="str">
        <f>IFERROR(__xludf.DUMMYFUNCTION("""COMPUTED_VALUE"""),"獎狀")</f>
        <v>獎狀</v>
      </c>
      <c r="H3226" s="8"/>
    </row>
    <row r="3227">
      <c r="A3227" s="18"/>
      <c r="B3227" s="14">
        <f>IFERROR(__xludf.DUMMYFUNCTION("""COMPUTED_VALUE"""),576969.0)</f>
        <v>576969</v>
      </c>
      <c r="C3227" s="14" t="str">
        <f>IFERROR(__xludf.DUMMYFUNCTION("""COMPUTED_VALUE"""),"周詠晴")</f>
        <v>周詠晴</v>
      </c>
      <c r="D3227" s="16" t="str">
        <f>IFERROR(__xludf.DUMMYFUNCTION("""COMPUTED_VALUE"""),"ncy*****079@mail.edu.tw")</f>
        <v>ncy*****079@mail.edu.tw</v>
      </c>
      <c r="E3227" s="17" t="str">
        <f>IFERROR(__xludf.DUMMYFUNCTION("""COMPUTED_VALUE"""),"國立嘉義大學附設實驗國民小學")</f>
        <v>國立嘉義大學附設實驗國民小學</v>
      </c>
      <c r="F3227" s="14" t="str">
        <f>IFERROR(__xludf.DUMMYFUNCTION("""COMPUTED_VALUE"""),"五年級")</f>
        <v>五年級</v>
      </c>
      <c r="G3227" s="14" t="str">
        <f>IFERROR(__xludf.DUMMYFUNCTION("""COMPUTED_VALUE"""),"●小禮物")</f>
        <v>●小禮物</v>
      </c>
      <c r="H3227" s="8"/>
    </row>
    <row r="3228">
      <c r="A3228" s="18"/>
      <c r="B3228" s="14">
        <f>IFERROR(__xludf.DUMMYFUNCTION("""COMPUTED_VALUE"""),582499.0)</f>
        <v>582499</v>
      </c>
      <c r="C3228" s="14" t="str">
        <f>IFERROR(__xludf.DUMMYFUNCTION("""COMPUTED_VALUE"""),"林宗勳")</f>
        <v>林宗勳</v>
      </c>
      <c r="D3228" s="16" t="str">
        <f>IFERROR(__xludf.DUMMYFUNCTION("""COMPUTED_VALUE"""),"ncy*****7008@mail.edu.tw")</f>
        <v>ncy*****7008@mail.edu.tw</v>
      </c>
      <c r="E3228" s="17" t="str">
        <f>IFERROR(__xludf.DUMMYFUNCTION("""COMPUTED_VALUE"""),"國立嘉義大學附設實驗國民小學")</f>
        <v>國立嘉義大學附設實驗國民小學</v>
      </c>
      <c r="F3228" s="14" t="str">
        <f>IFERROR(__xludf.DUMMYFUNCTION("""COMPUTED_VALUE"""),"五年級")</f>
        <v>五年級</v>
      </c>
      <c r="G3228" s="14" t="str">
        <f>IFERROR(__xludf.DUMMYFUNCTION("""COMPUTED_VALUE"""),"●小禮物")</f>
        <v>●小禮物</v>
      </c>
      <c r="H3228" s="8"/>
    </row>
    <row r="3229">
      <c r="A3229" s="18"/>
      <c r="B3229" s="14">
        <f>IFERROR(__xludf.DUMMYFUNCTION("""COMPUTED_VALUE"""),577707.0)</f>
        <v>577707</v>
      </c>
      <c r="C3229" s="14" t="str">
        <f>IFERROR(__xludf.DUMMYFUNCTION("""COMPUTED_VALUE"""),"王和稑")</f>
        <v>王和稑</v>
      </c>
      <c r="D3229" s="16" t="str">
        <f>IFERROR(__xludf.DUMMYFUNCTION("""COMPUTED_VALUE"""),"ncy*****090@mail.edu.tw")</f>
        <v>ncy*****090@mail.edu.tw</v>
      </c>
      <c r="E3229" s="17" t="str">
        <f>IFERROR(__xludf.DUMMYFUNCTION("""COMPUTED_VALUE"""),"國立嘉義大學附設實驗國民小學")</f>
        <v>國立嘉義大學附設實驗國民小學</v>
      </c>
      <c r="F3229" s="14" t="str">
        <f>IFERROR(__xludf.DUMMYFUNCTION("""COMPUTED_VALUE"""),"五年級")</f>
        <v>五年級</v>
      </c>
      <c r="G3229" s="14" t="str">
        <f>IFERROR(__xludf.DUMMYFUNCTION("""COMPUTED_VALUE"""),"獎狀")</f>
        <v>獎狀</v>
      </c>
      <c r="H3229" s="8"/>
    </row>
    <row r="3230">
      <c r="A3230" s="18"/>
      <c r="B3230" s="14">
        <f>IFERROR(__xludf.DUMMYFUNCTION("""COMPUTED_VALUE"""),579708.0)</f>
        <v>579708</v>
      </c>
      <c r="C3230" s="14" t="str">
        <f>IFERROR(__xludf.DUMMYFUNCTION("""COMPUTED_VALUE"""),"宋宇翎")</f>
        <v>宋宇翎</v>
      </c>
      <c r="D3230" s="16" t="str">
        <f>IFERROR(__xludf.DUMMYFUNCTION("""COMPUTED_VALUE"""),"ncy*****029@mail.edu.tw")</f>
        <v>ncy*****029@mail.edu.tw</v>
      </c>
      <c r="E3230" s="17" t="str">
        <f>IFERROR(__xludf.DUMMYFUNCTION("""COMPUTED_VALUE"""),"國立嘉義大學附設實驗國民小學")</f>
        <v>國立嘉義大學附設實驗國民小學</v>
      </c>
      <c r="F3230" s="14" t="str">
        <f>IFERROR(__xludf.DUMMYFUNCTION("""COMPUTED_VALUE"""),"五年級")</f>
        <v>五年級</v>
      </c>
      <c r="G3230" s="14" t="str">
        <f>IFERROR(__xludf.DUMMYFUNCTION("""COMPUTED_VALUE"""),"獎狀")</f>
        <v>獎狀</v>
      </c>
      <c r="H3230" s="8"/>
    </row>
    <row r="3231">
      <c r="A3231" s="18"/>
      <c r="B3231" s="14">
        <f>IFERROR(__xludf.DUMMYFUNCTION("""COMPUTED_VALUE"""),1187757.0)</f>
        <v>1187757</v>
      </c>
      <c r="C3231" s="14" t="str">
        <f>IFERROR(__xludf.DUMMYFUNCTION("""COMPUTED_VALUE"""),"林宥瑄")</f>
        <v>林宥瑄</v>
      </c>
      <c r="D3231" s="16" t="str">
        <f>IFERROR(__xludf.DUMMYFUNCTION("""COMPUTED_VALUE"""),"yas*****14@mail.edu.tw")</f>
        <v>yas*****14@mail.edu.tw</v>
      </c>
      <c r="E3231" s="17" t="str">
        <f>IFERROR(__xludf.DUMMYFUNCTION("""COMPUTED_VALUE"""),"國立嘉義大學附設實驗國民小學")</f>
        <v>國立嘉義大學附設實驗國民小學</v>
      </c>
      <c r="F3231" s="14" t="str">
        <f>IFERROR(__xludf.DUMMYFUNCTION("""COMPUTED_VALUE"""),"五年級")</f>
        <v>五年級</v>
      </c>
      <c r="G3231" s="14" t="str">
        <f>IFERROR(__xludf.DUMMYFUNCTION("""COMPUTED_VALUE"""),"獎狀")</f>
        <v>獎狀</v>
      </c>
      <c r="H3231" s="8"/>
    </row>
    <row r="3232">
      <c r="A3232" s="18"/>
      <c r="B3232" s="14">
        <f>IFERROR(__xludf.DUMMYFUNCTION("""COMPUTED_VALUE"""),577669.0)</f>
        <v>577669</v>
      </c>
      <c r="C3232" s="14" t="str">
        <f>IFERROR(__xludf.DUMMYFUNCTION("""COMPUTED_VALUE"""),"陳書璿")</f>
        <v>陳書璿</v>
      </c>
      <c r="D3232" s="16" t="str">
        <f>IFERROR(__xludf.DUMMYFUNCTION("""COMPUTED_VALUE"""),"ncy*****071@mail.edu.tw")</f>
        <v>ncy*****071@mail.edu.tw</v>
      </c>
      <c r="E3232" s="17" t="str">
        <f>IFERROR(__xludf.DUMMYFUNCTION("""COMPUTED_VALUE"""),"國立嘉義大學附設實驗國民小學")</f>
        <v>國立嘉義大學附設實驗國民小學</v>
      </c>
      <c r="F3232" s="14" t="str">
        <f>IFERROR(__xludf.DUMMYFUNCTION("""COMPUTED_VALUE"""),"五年級")</f>
        <v>五年級</v>
      </c>
      <c r="G3232" s="14" t="str">
        <f>IFERROR(__xludf.DUMMYFUNCTION("""COMPUTED_VALUE"""),"獎狀")</f>
        <v>獎狀</v>
      </c>
      <c r="H3232" s="8"/>
    </row>
    <row r="3233">
      <c r="A3233" s="18"/>
      <c r="B3233" s="14">
        <f>IFERROR(__xludf.DUMMYFUNCTION("""COMPUTED_VALUE"""),577624.0)</f>
        <v>577624</v>
      </c>
      <c r="C3233" s="14" t="str">
        <f>IFERROR(__xludf.DUMMYFUNCTION("""COMPUTED_VALUE"""),"陳磊")</f>
        <v>陳磊</v>
      </c>
      <c r="D3233" s="16" t="str">
        <f>IFERROR(__xludf.DUMMYFUNCTION("""COMPUTED_VALUE"""),"ncy*****148@mail.edu.tw")</f>
        <v>ncy*****148@mail.edu.tw</v>
      </c>
      <c r="E3233" s="17" t="str">
        <f>IFERROR(__xludf.DUMMYFUNCTION("""COMPUTED_VALUE"""),"國立嘉義大學附設實驗國民小學")</f>
        <v>國立嘉義大學附設實驗國民小學</v>
      </c>
      <c r="F3233" s="14" t="str">
        <f>IFERROR(__xludf.DUMMYFUNCTION("""COMPUTED_VALUE"""),"五年級")</f>
        <v>五年級</v>
      </c>
      <c r="G3233" s="14" t="str">
        <f>IFERROR(__xludf.DUMMYFUNCTION("""COMPUTED_VALUE"""),"獎狀")</f>
        <v>獎狀</v>
      </c>
      <c r="H3233" s="8"/>
    </row>
    <row r="3234">
      <c r="A3234" s="18"/>
      <c r="B3234" s="14">
        <f>IFERROR(__xludf.DUMMYFUNCTION("""COMPUTED_VALUE"""),577611.0)</f>
        <v>577611</v>
      </c>
      <c r="C3234" s="14" t="str">
        <f>IFERROR(__xludf.DUMMYFUNCTION("""COMPUTED_VALUE"""),"黃宇璿")</f>
        <v>黃宇璿</v>
      </c>
      <c r="D3234" s="16" t="str">
        <f>IFERROR(__xludf.DUMMYFUNCTION("""COMPUTED_VALUE"""),"ncy*****022@mail.edu.tw")</f>
        <v>ncy*****022@mail.edu.tw</v>
      </c>
      <c r="E3234" s="17" t="str">
        <f>IFERROR(__xludf.DUMMYFUNCTION("""COMPUTED_VALUE"""),"國立嘉義大學附設實驗國民小學")</f>
        <v>國立嘉義大學附設實驗國民小學</v>
      </c>
      <c r="F3234" s="14" t="str">
        <f>IFERROR(__xludf.DUMMYFUNCTION("""COMPUTED_VALUE"""),"五年級")</f>
        <v>五年級</v>
      </c>
      <c r="G3234" s="14" t="str">
        <f>IFERROR(__xludf.DUMMYFUNCTION("""COMPUTED_VALUE"""),"獎狀")</f>
        <v>獎狀</v>
      </c>
      <c r="H3234" s="8"/>
    </row>
    <row r="3235">
      <c r="A3235" s="18"/>
      <c r="B3235" s="14">
        <f>IFERROR(__xludf.DUMMYFUNCTION("""COMPUTED_VALUE"""),582483.0)</f>
        <v>582483</v>
      </c>
      <c r="C3235" s="14" t="str">
        <f>IFERROR(__xludf.DUMMYFUNCTION("""COMPUTED_VALUE"""),"葉翊璿")</f>
        <v>葉翊璿</v>
      </c>
      <c r="D3235" s="16" t="str">
        <f>IFERROR(__xludf.DUMMYFUNCTION("""COMPUTED_VALUE"""),"ncy*****004@mail.edu.tw")</f>
        <v>ncy*****004@mail.edu.tw</v>
      </c>
      <c r="E3235" s="17" t="str">
        <f>IFERROR(__xludf.DUMMYFUNCTION("""COMPUTED_VALUE"""),"國立嘉義大學附設實驗國民小學")</f>
        <v>國立嘉義大學附設實驗國民小學</v>
      </c>
      <c r="F3235" s="14" t="str">
        <f>IFERROR(__xludf.DUMMYFUNCTION("""COMPUTED_VALUE"""),"五年級")</f>
        <v>五年級</v>
      </c>
      <c r="G3235" s="14" t="str">
        <f>IFERROR(__xludf.DUMMYFUNCTION("""COMPUTED_VALUE"""),"獎狀")</f>
        <v>獎狀</v>
      </c>
      <c r="H3235" s="8"/>
    </row>
    <row r="3236">
      <c r="A3236" s="18"/>
      <c r="B3236" s="14">
        <f>IFERROR(__xludf.DUMMYFUNCTION("""COMPUTED_VALUE"""),576961.0)</f>
        <v>576961</v>
      </c>
      <c r="C3236" s="14" t="str">
        <f>IFERROR(__xludf.DUMMYFUNCTION("""COMPUTED_VALUE"""),"蔡定哲")</f>
        <v>蔡定哲</v>
      </c>
      <c r="D3236" s="16" t="str">
        <f>IFERROR(__xludf.DUMMYFUNCTION("""COMPUTED_VALUE"""),"ncy*****060@mail.edu.tw")</f>
        <v>ncy*****060@mail.edu.tw</v>
      </c>
      <c r="E3236" s="17" t="str">
        <f>IFERROR(__xludf.DUMMYFUNCTION("""COMPUTED_VALUE"""),"國立嘉義大學附設實驗國民小學")</f>
        <v>國立嘉義大學附設實驗國民小學</v>
      </c>
      <c r="F3236" s="14" t="str">
        <f>IFERROR(__xludf.DUMMYFUNCTION("""COMPUTED_VALUE"""),"五年級")</f>
        <v>五年級</v>
      </c>
      <c r="G3236" s="14" t="str">
        <f>IFERROR(__xludf.DUMMYFUNCTION("""COMPUTED_VALUE"""),"獎狀")</f>
        <v>獎狀</v>
      </c>
      <c r="H3236" s="8"/>
    </row>
    <row r="3237">
      <c r="A3237" s="18"/>
      <c r="B3237" s="14">
        <f>IFERROR(__xludf.DUMMYFUNCTION("""COMPUTED_VALUE"""),579725.0)</f>
        <v>579725</v>
      </c>
      <c r="C3237" s="14" t="str">
        <f>IFERROR(__xludf.DUMMYFUNCTION("""COMPUTED_VALUE"""),"謝宙諮")</f>
        <v>謝宙諮</v>
      </c>
      <c r="D3237" s="16" t="str">
        <f>IFERROR(__xludf.DUMMYFUNCTION("""COMPUTED_VALUE"""),"ncy*****010@mail.edu.tw")</f>
        <v>ncy*****010@mail.edu.tw</v>
      </c>
      <c r="E3237" s="17" t="str">
        <f>IFERROR(__xludf.DUMMYFUNCTION("""COMPUTED_VALUE"""),"國立嘉義大學附設實驗國民小學")</f>
        <v>國立嘉義大學附設實驗國民小學</v>
      </c>
      <c r="F3237" s="14" t="str">
        <f>IFERROR(__xludf.DUMMYFUNCTION("""COMPUTED_VALUE"""),"五年級")</f>
        <v>五年級</v>
      </c>
      <c r="G3237" s="14" t="str">
        <f>IFERROR(__xludf.DUMMYFUNCTION("""COMPUTED_VALUE"""),"獎狀")</f>
        <v>獎狀</v>
      </c>
      <c r="H3237" s="8"/>
    </row>
    <row r="3238">
      <c r="A3238" s="18"/>
      <c r="B3238" s="14">
        <f>IFERROR(__xludf.DUMMYFUNCTION("""COMPUTED_VALUE"""),582498.0)</f>
        <v>582498</v>
      </c>
      <c r="C3238" s="14" t="str">
        <f>IFERROR(__xludf.DUMMYFUNCTION("""COMPUTED_VALUE"""),"黃渝真")</f>
        <v>黃渝真</v>
      </c>
      <c r="D3238" s="16" t="str">
        <f>IFERROR(__xludf.DUMMYFUNCTION("""COMPUTED_VALUE"""),"ncy*****025@mail.edu.tw")</f>
        <v>ncy*****025@mail.edu.tw</v>
      </c>
      <c r="E3238" s="17" t="str">
        <f>IFERROR(__xludf.DUMMYFUNCTION("""COMPUTED_VALUE"""),"國立嘉義大學附設實驗國民小學")</f>
        <v>國立嘉義大學附設實驗國民小學</v>
      </c>
      <c r="F3238" s="14" t="str">
        <f>IFERROR(__xludf.DUMMYFUNCTION("""COMPUTED_VALUE"""),"五年級")</f>
        <v>五年級</v>
      </c>
      <c r="G3238" s="14" t="str">
        <f>IFERROR(__xludf.DUMMYFUNCTION("""COMPUTED_VALUE"""),"●小禮物")</f>
        <v>●小禮物</v>
      </c>
      <c r="H3238" s="8"/>
    </row>
    <row r="3239">
      <c r="A3239" s="18"/>
      <c r="B3239" s="14">
        <f>IFERROR(__xludf.DUMMYFUNCTION("""COMPUTED_VALUE"""),582485.0)</f>
        <v>582485</v>
      </c>
      <c r="C3239" s="14" t="str">
        <f>IFERROR(__xludf.DUMMYFUNCTION("""COMPUTED_VALUE"""),"陳榆晴")</f>
        <v>陳榆晴</v>
      </c>
      <c r="D3239" s="16" t="str">
        <f>IFERROR(__xludf.DUMMYFUNCTION("""COMPUTED_VALUE"""),"ncy*****049@mail.edu.tw")</f>
        <v>ncy*****049@mail.edu.tw</v>
      </c>
      <c r="E3239" s="17" t="str">
        <f>IFERROR(__xludf.DUMMYFUNCTION("""COMPUTED_VALUE"""),"國立嘉義大學附設實驗國民小學")</f>
        <v>國立嘉義大學附設實驗國民小學</v>
      </c>
      <c r="F3239" s="14" t="str">
        <f>IFERROR(__xludf.DUMMYFUNCTION("""COMPUTED_VALUE"""),"五年級")</f>
        <v>五年級</v>
      </c>
      <c r="G3239" s="14" t="str">
        <f>IFERROR(__xludf.DUMMYFUNCTION("""COMPUTED_VALUE"""),"獎狀")</f>
        <v>獎狀</v>
      </c>
      <c r="H3239" s="8"/>
    </row>
    <row r="3240">
      <c r="A3240" s="18"/>
      <c r="B3240" s="14">
        <f>IFERROR(__xludf.DUMMYFUNCTION("""COMPUTED_VALUE"""),579714.0)</f>
        <v>579714</v>
      </c>
      <c r="C3240" s="14" t="str">
        <f>IFERROR(__xludf.DUMMYFUNCTION("""COMPUTED_VALUE"""),"顧皓升")</f>
        <v>顧皓升</v>
      </c>
      <c r="D3240" s="16" t="str">
        <f>IFERROR(__xludf.DUMMYFUNCTION("""COMPUTED_VALUE"""),"ncy*****128@mail.edu.tw")</f>
        <v>ncy*****128@mail.edu.tw</v>
      </c>
      <c r="E3240" s="17" t="str">
        <f>IFERROR(__xludf.DUMMYFUNCTION("""COMPUTED_VALUE"""),"國立嘉義大學附設實驗國民小學")</f>
        <v>國立嘉義大學附設實驗國民小學</v>
      </c>
      <c r="F3240" s="14" t="str">
        <f>IFERROR(__xludf.DUMMYFUNCTION("""COMPUTED_VALUE"""),"五年級")</f>
        <v>五年級</v>
      </c>
      <c r="G3240" s="14" t="str">
        <f>IFERROR(__xludf.DUMMYFUNCTION("""COMPUTED_VALUE"""),"獎狀")</f>
        <v>獎狀</v>
      </c>
      <c r="H3240" s="8"/>
    </row>
    <row r="3241">
      <c r="A3241" s="18"/>
      <c r="B3241" s="14">
        <f>IFERROR(__xludf.DUMMYFUNCTION("""COMPUTED_VALUE"""),576974.0)</f>
        <v>576974</v>
      </c>
      <c r="C3241" s="14" t="str">
        <f>IFERROR(__xludf.DUMMYFUNCTION("""COMPUTED_VALUE"""),"王品善")</f>
        <v>王品善</v>
      </c>
      <c r="D3241" s="16" t="str">
        <f>IFERROR(__xludf.DUMMYFUNCTION("""COMPUTED_VALUE"""),"ncy*****088@mail.edu.tw")</f>
        <v>ncy*****088@mail.edu.tw</v>
      </c>
      <c r="E3241" s="17" t="str">
        <f>IFERROR(__xludf.DUMMYFUNCTION("""COMPUTED_VALUE"""),"國立嘉義大學附設實驗國民小學")</f>
        <v>國立嘉義大學附設實驗國民小學</v>
      </c>
      <c r="F3241" s="14" t="str">
        <f>IFERROR(__xludf.DUMMYFUNCTION("""COMPUTED_VALUE"""),"五年級")</f>
        <v>五年級</v>
      </c>
      <c r="G3241" s="14" t="str">
        <f>IFERROR(__xludf.DUMMYFUNCTION("""COMPUTED_VALUE"""),"●小禮物")</f>
        <v>●小禮物</v>
      </c>
      <c r="H3241" s="8"/>
    </row>
    <row r="3242">
      <c r="A3242" s="18"/>
      <c r="B3242" s="14">
        <f>IFERROR(__xludf.DUMMYFUNCTION("""COMPUTED_VALUE"""),582473.0)</f>
        <v>582473</v>
      </c>
      <c r="C3242" s="14" t="str">
        <f>IFERROR(__xludf.DUMMYFUNCTION("""COMPUTED_VALUE"""),"陳仲羽")</f>
        <v>陳仲羽</v>
      </c>
      <c r="D3242" s="16" t="str">
        <f>IFERROR(__xludf.DUMMYFUNCTION("""COMPUTED_VALUE"""),"ncy*****074@mail.edu.tw")</f>
        <v>ncy*****074@mail.edu.tw</v>
      </c>
      <c r="E3242" s="17" t="str">
        <f>IFERROR(__xludf.DUMMYFUNCTION("""COMPUTED_VALUE"""),"國立嘉義大學附設實驗國民小學")</f>
        <v>國立嘉義大學附設實驗國民小學</v>
      </c>
      <c r="F3242" s="14" t="str">
        <f>IFERROR(__xludf.DUMMYFUNCTION("""COMPUTED_VALUE"""),"五年級")</f>
        <v>五年級</v>
      </c>
      <c r="G3242" s="14" t="str">
        <f>IFERROR(__xludf.DUMMYFUNCTION("""COMPUTED_VALUE"""),"●小禮物")</f>
        <v>●小禮物</v>
      </c>
      <c r="H3242" s="8"/>
    </row>
    <row r="3243">
      <c r="A3243" s="18"/>
      <c r="B3243" s="14">
        <f>IFERROR(__xludf.DUMMYFUNCTION("""COMPUTED_VALUE"""),577619.0)</f>
        <v>577619</v>
      </c>
      <c r="C3243" s="14" t="str">
        <f>IFERROR(__xludf.DUMMYFUNCTION("""COMPUTED_VALUE"""),"蔡秉鈺")</f>
        <v>蔡秉鈺</v>
      </c>
      <c r="D3243" s="16" t="str">
        <f>IFERROR(__xludf.DUMMYFUNCTION("""COMPUTED_VALUE"""),"ncy*****7074@mail.edu.tw")</f>
        <v>ncy*****7074@mail.edu.tw</v>
      </c>
      <c r="E3243" s="17" t="str">
        <f>IFERROR(__xludf.DUMMYFUNCTION("""COMPUTED_VALUE"""),"國立嘉義大學附設實驗國民小學")</f>
        <v>國立嘉義大學附設實驗國民小學</v>
      </c>
      <c r="F3243" s="14" t="str">
        <f>IFERROR(__xludf.DUMMYFUNCTION("""COMPUTED_VALUE"""),"五年級")</f>
        <v>五年級</v>
      </c>
      <c r="G3243" s="14" t="str">
        <f>IFERROR(__xludf.DUMMYFUNCTION("""COMPUTED_VALUE"""),"●小禮物")</f>
        <v>●小禮物</v>
      </c>
      <c r="H3243" s="8"/>
    </row>
    <row r="3244">
      <c r="A3244" s="18"/>
      <c r="B3244" s="14">
        <f>IFERROR(__xludf.DUMMYFUNCTION("""COMPUTED_VALUE"""),576960.0)</f>
        <v>576960</v>
      </c>
      <c r="C3244" s="14" t="str">
        <f>IFERROR(__xludf.DUMMYFUNCTION("""COMPUTED_VALUE"""),"賴彥汝")</f>
        <v>賴彥汝</v>
      </c>
      <c r="D3244" s="16" t="str">
        <f>IFERROR(__xludf.DUMMYFUNCTION("""COMPUTED_VALUE"""),"ncy*****144@mail.edu.tw")</f>
        <v>ncy*****144@mail.edu.tw</v>
      </c>
      <c r="E3244" s="17" t="str">
        <f>IFERROR(__xludf.DUMMYFUNCTION("""COMPUTED_VALUE"""),"國立嘉義大學附設實驗國民小學")</f>
        <v>國立嘉義大學附設實驗國民小學</v>
      </c>
      <c r="F3244" s="14" t="str">
        <f>IFERROR(__xludf.DUMMYFUNCTION("""COMPUTED_VALUE"""),"五年級")</f>
        <v>五年級</v>
      </c>
      <c r="G3244" s="14" t="str">
        <f>IFERROR(__xludf.DUMMYFUNCTION("""COMPUTED_VALUE"""),"●小禮物")</f>
        <v>●小禮物</v>
      </c>
      <c r="H3244" s="8"/>
    </row>
    <row r="3245">
      <c r="A3245" s="18"/>
      <c r="B3245" s="14">
        <f>IFERROR(__xludf.DUMMYFUNCTION("""COMPUTED_VALUE"""),579718.0)</f>
        <v>579718</v>
      </c>
      <c r="C3245" s="14" t="str">
        <f>IFERROR(__xludf.DUMMYFUNCTION("""COMPUTED_VALUE"""),"柯凱甯")</f>
        <v>柯凱甯</v>
      </c>
      <c r="D3245" s="16" t="str">
        <f>IFERROR(__xludf.DUMMYFUNCTION("""COMPUTED_VALUE"""),"ncy*****081@mail.edu.tw")</f>
        <v>ncy*****081@mail.edu.tw</v>
      </c>
      <c r="E3245" s="17" t="str">
        <f>IFERROR(__xludf.DUMMYFUNCTION("""COMPUTED_VALUE"""),"國立嘉義大學附設實驗國民小學")</f>
        <v>國立嘉義大學附設實驗國民小學</v>
      </c>
      <c r="F3245" s="14" t="str">
        <f>IFERROR(__xludf.DUMMYFUNCTION("""COMPUTED_VALUE"""),"五年級")</f>
        <v>五年級</v>
      </c>
      <c r="G3245" s="14" t="str">
        <f>IFERROR(__xludf.DUMMYFUNCTION("""COMPUTED_VALUE"""),"★禮券$500")</f>
        <v>★禮券$500</v>
      </c>
      <c r="H3245" s="8"/>
    </row>
    <row r="3246">
      <c r="A3246" s="18"/>
      <c r="B3246" s="14">
        <f>IFERROR(__xludf.DUMMYFUNCTION("""COMPUTED_VALUE"""),577668.0)</f>
        <v>577668</v>
      </c>
      <c r="C3246" s="14" t="str">
        <f>IFERROR(__xludf.DUMMYFUNCTION("""COMPUTED_VALUE"""),"章允斌")</f>
        <v>章允斌</v>
      </c>
      <c r="D3246" s="16" t="str">
        <f>IFERROR(__xludf.DUMMYFUNCTION("""COMPUTED_VALUE"""),"ncy*****102@mail.edu.tw")</f>
        <v>ncy*****102@mail.edu.tw</v>
      </c>
      <c r="E3246" s="17" t="str">
        <f>IFERROR(__xludf.DUMMYFUNCTION("""COMPUTED_VALUE"""),"國立嘉義大學附設實驗國民小學")</f>
        <v>國立嘉義大學附設實驗國民小學</v>
      </c>
      <c r="F3246" s="14" t="str">
        <f>IFERROR(__xludf.DUMMYFUNCTION("""COMPUTED_VALUE"""),"五年級")</f>
        <v>五年級</v>
      </c>
      <c r="G3246" s="14" t="str">
        <f>IFERROR(__xludf.DUMMYFUNCTION("""COMPUTED_VALUE"""),"★禮券$500")</f>
        <v>★禮券$500</v>
      </c>
      <c r="H3246" s="8"/>
    </row>
    <row r="3247">
      <c r="A3247" s="18"/>
      <c r="B3247" s="14">
        <f>IFERROR(__xludf.DUMMYFUNCTION("""COMPUTED_VALUE"""),1072750.0)</f>
        <v>1072750</v>
      </c>
      <c r="C3247" s="14" t="str">
        <f>IFERROR(__xludf.DUMMYFUNCTION("""COMPUTED_VALUE"""),"王梓豪")</f>
        <v>王梓豪</v>
      </c>
      <c r="D3247" s="16" t="str">
        <f>IFERROR(__xludf.DUMMYFUNCTION("""COMPUTED_VALUE"""),"ncy*****064@go.edu.tw")</f>
        <v>ncy*****064@go.edu.tw</v>
      </c>
      <c r="E3247" s="17" t="str">
        <f>IFERROR(__xludf.DUMMYFUNCTION("""COMPUTED_VALUE"""),"國立嘉義大學附設實驗國民小學")</f>
        <v>國立嘉義大學附設實驗國民小學</v>
      </c>
      <c r="F3247" s="14" t="str">
        <f>IFERROR(__xludf.DUMMYFUNCTION("""COMPUTED_VALUE"""),"五年級")</f>
        <v>五年級</v>
      </c>
      <c r="G3247" s="14" t="str">
        <f>IFERROR(__xludf.DUMMYFUNCTION("""COMPUTED_VALUE"""),"獎狀")</f>
        <v>獎狀</v>
      </c>
      <c r="H3247" s="8"/>
    </row>
    <row r="3248">
      <c r="A3248" s="18"/>
      <c r="B3248" s="14">
        <f>IFERROR(__xludf.DUMMYFUNCTION("""COMPUTED_VALUE"""),582491.0)</f>
        <v>582491</v>
      </c>
      <c r="C3248" s="14" t="str">
        <f>IFERROR(__xludf.DUMMYFUNCTION("""COMPUTED_VALUE"""),"許宇和")</f>
        <v>許宇和</v>
      </c>
      <c r="D3248" s="16" t="str">
        <f>IFERROR(__xludf.DUMMYFUNCTION("""COMPUTED_VALUE"""),"ncy*****117@mail.edu.tw")</f>
        <v>ncy*****117@mail.edu.tw</v>
      </c>
      <c r="E3248" s="17" t="str">
        <f>IFERROR(__xludf.DUMMYFUNCTION("""COMPUTED_VALUE"""),"國立嘉義大學附設實驗國民小學")</f>
        <v>國立嘉義大學附設實驗國民小學</v>
      </c>
      <c r="F3248" s="14" t="str">
        <f>IFERROR(__xludf.DUMMYFUNCTION("""COMPUTED_VALUE"""),"五年級")</f>
        <v>五年級</v>
      </c>
      <c r="G3248" s="14" t="str">
        <f>IFERROR(__xludf.DUMMYFUNCTION("""COMPUTED_VALUE"""),"獎狀")</f>
        <v>獎狀</v>
      </c>
      <c r="H3248" s="8"/>
    </row>
    <row r="3249">
      <c r="A3249" s="18"/>
      <c r="B3249" s="14">
        <f>IFERROR(__xludf.DUMMYFUNCTION("""COMPUTED_VALUE"""),442183.0)</f>
        <v>442183</v>
      </c>
      <c r="C3249" s="14" t="str">
        <f>IFERROR(__xludf.DUMMYFUNCTION("""COMPUTED_VALUE"""),"陳昀希")</f>
        <v>陳昀希</v>
      </c>
      <c r="D3249" s="16" t="str">
        <f>IFERROR(__xludf.DUMMYFUNCTION("""COMPUTED_VALUE"""),"say*****5@gmail.com")</f>
        <v>say*****5@gmail.com</v>
      </c>
      <c r="E3249" s="17" t="str">
        <f>IFERROR(__xludf.DUMMYFUNCTION("""COMPUTED_VALUE"""),"國立嘉義大學附設實驗國民小學")</f>
        <v>國立嘉義大學附設實驗國民小學</v>
      </c>
      <c r="F3249" s="14" t="str">
        <f>IFERROR(__xludf.DUMMYFUNCTION("""COMPUTED_VALUE"""),"五年級")</f>
        <v>五年級</v>
      </c>
      <c r="G3249" s="14" t="str">
        <f>IFERROR(__xludf.DUMMYFUNCTION("""COMPUTED_VALUE"""),"獎狀")</f>
        <v>獎狀</v>
      </c>
      <c r="H3249" s="8"/>
    </row>
    <row r="3250">
      <c r="A3250" s="18"/>
      <c r="B3250" s="14">
        <f>IFERROR(__xludf.DUMMYFUNCTION("""COMPUTED_VALUE"""),576976.0)</f>
        <v>576976</v>
      </c>
      <c r="C3250" s="14" t="str">
        <f>IFERROR(__xludf.DUMMYFUNCTION("""COMPUTED_VALUE"""),"黃子熙")</f>
        <v>黃子熙</v>
      </c>
      <c r="D3250" s="16" t="str">
        <f>IFERROR(__xludf.DUMMYFUNCTION("""COMPUTED_VALUE"""),"ncy*****075@mail.edu.tw")</f>
        <v>ncy*****075@mail.edu.tw</v>
      </c>
      <c r="E3250" s="17" t="str">
        <f>IFERROR(__xludf.DUMMYFUNCTION("""COMPUTED_VALUE"""),"國立嘉義大學附設實驗國民小學")</f>
        <v>國立嘉義大學附設實驗國民小學</v>
      </c>
      <c r="F3250" s="14" t="str">
        <f>IFERROR(__xludf.DUMMYFUNCTION("""COMPUTED_VALUE"""),"五年級")</f>
        <v>五年級</v>
      </c>
      <c r="G3250" s="14" t="str">
        <f>IFERROR(__xludf.DUMMYFUNCTION("""COMPUTED_VALUE"""),"獎狀")</f>
        <v>獎狀</v>
      </c>
      <c r="H3250" s="8"/>
    </row>
    <row r="3251">
      <c r="A3251" s="18"/>
      <c r="B3251" s="14">
        <f>IFERROR(__xludf.DUMMYFUNCTION("""COMPUTED_VALUE"""),577685.0)</f>
        <v>577685</v>
      </c>
      <c r="C3251" s="14" t="str">
        <f>IFERROR(__xludf.DUMMYFUNCTION("""COMPUTED_VALUE"""),"鍾晴芳")</f>
        <v>鍾晴芳</v>
      </c>
      <c r="D3251" s="16" t="str">
        <f>IFERROR(__xludf.DUMMYFUNCTION("""COMPUTED_VALUE"""),"ncy*****112@mail.edu.tw")</f>
        <v>ncy*****112@mail.edu.tw</v>
      </c>
      <c r="E3251" s="17" t="str">
        <f>IFERROR(__xludf.DUMMYFUNCTION("""COMPUTED_VALUE"""),"國立嘉義大學附設實驗國民小學")</f>
        <v>國立嘉義大學附設實驗國民小學</v>
      </c>
      <c r="F3251" s="14" t="str">
        <f>IFERROR(__xludf.DUMMYFUNCTION("""COMPUTED_VALUE"""),"五年級")</f>
        <v>五年級</v>
      </c>
      <c r="G3251" s="14" t="str">
        <f>IFERROR(__xludf.DUMMYFUNCTION("""COMPUTED_VALUE"""),"獎狀")</f>
        <v>獎狀</v>
      </c>
      <c r="H3251" s="8"/>
    </row>
    <row r="3252">
      <c r="A3252" s="18"/>
      <c r="B3252" s="14">
        <f>IFERROR(__xludf.DUMMYFUNCTION("""COMPUTED_VALUE"""),577609.0)</f>
        <v>577609</v>
      </c>
      <c r="C3252" s="14" t="str">
        <f>IFERROR(__xludf.DUMMYFUNCTION("""COMPUTED_VALUE"""),"羅健豪")</f>
        <v>羅健豪</v>
      </c>
      <c r="D3252" s="16" t="str">
        <f>IFERROR(__xludf.DUMMYFUNCTION("""COMPUTED_VALUE"""),"ncy*****005@mail.edu.tw")</f>
        <v>ncy*****005@mail.edu.tw</v>
      </c>
      <c r="E3252" s="17" t="str">
        <f>IFERROR(__xludf.DUMMYFUNCTION("""COMPUTED_VALUE"""),"國立嘉義大學附設實驗國民小學")</f>
        <v>國立嘉義大學附設實驗國民小學</v>
      </c>
      <c r="F3252" s="14" t="str">
        <f>IFERROR(__xludf.DUMMYFUNCTION("""COMPUTED_VALUE"""),"五年級")</f>
        <v>五年級</v>
      </c>
      <c r="G3252" s="14" t="str">
        <f>IFERROR(__xludf.DUMMYFUNCTION("""COMPUTED_VALUE"""),"獎狀")</f>
        <v>獎狀</v>
      </c>
      <c r="H3252" s="8"/>
    </row>
    <row r="3253">
      <c r="A3253" s="18"/>
      <c r="B3253" s="14">
        <f>IFERROR(__xludf.DUMMYFUNCTION("""COMPUTED_VALUE"""),577620.0)</f>
        <v>577620</v>
      </c>
      <c r="C3253" s="14" t="str">
        <f>IFERROR(__xludf.DUMMYFUNCTION("""COMPUTED_VALUE"""),"陳奕瑜")</f>
        <v>陳奕瑜</v>
      </c>
      <c r="D3253" s="16" t="str">
        <f>IFERROR(__xludf.DUMMYFUNCTION("""COMPUTED_VALUE"""),"ncy*****103@mail.edu.tw")</f>
        <v>ncy*****103@mail.edu.tw</v>
      </c>
      <c r="E3253" s="17" t="str">
        <f>IFERROR(__xludf.DUMMYFUNCTION("""COMPUTED_VALUE"""),"國立嘉義大學附設實驗國民小學")</f>
        <v>國立嘉義大學附設實驗國民小學</v>
      </c>
      <c r="F3253" s="14" t="str">
        <f>IFERROR(__xludf.DUMMYFUNCTION("""COMPUTED_VALUE"""),"五年級")</f>
        <v>五年級</v>
      </c>
      <c r="G3253" s="14" t="str">
        <f>IFERROR(__xludf.DUMMYFUNCTION("""COMPUTED_VALUE"""),"獎狀")</f>
        <v>獎狀</v>
      </c>
      <c r="H3253" s="8"/>
    </row>
    <row r="3254">
      <c r="A3254" s="18"/>
      <c r="B3254" s="14">
        <f>IFERROR(__xludf.DUMMYFUNCTION("""COMPUTED_VALUE"""),576964.0)</f>
        <v>576964</v>
      </c>
      <c r="C3254" s="14" t="str">
        <f>IFERROR(__xludf.DUMMYFUNCTION("""COMPUTED_VALUE"""),"李泱瑩")</f>
        <v>李泱瑩</v>
      </c>
      <c r="D3254" s="16" t="str">
        <f>IFERROR(__xludf.DUMMYFUNCTION("""COMPUTED_VALUE"""),"ncy*****024@mail.edu.tw")</f>
        <v>ncy*****024@mail.edu.tw</v>
      </c>
      <c r="E3254" s="17" t="str">
        <f>IFERROR(__xludf.DUMMYFUNCTION("""COMPUTED_VALUE"""),"國立嘉義大學附設實驗國民小學")</f>
        <v>國立嘉義大學附設實驗國民小學</v>
      </c>
      <c r="F3254" s="14" t="str">
        <f>IFERROR(__xludf.DUMMYFUNCTION("""COMPUTED_VALUE"""),"五年級")</f>
        <v>五年級</v>
      </c>
      <c r="G3254" s="14" t="str">
        <f>IFERROR(__xludf.DUMMYFUNCTION("""COMPUTED_VALUE"""),"●小禮物")</f>
        <v>●小禮物</v>
      </c>
      <c r="H3254" s="8"/>
    </row>
    <row r="3255">
      <c r="A3255" s="18"/>
      <c r="B3255" s="14">
        <f>IFERROR(__xludf.DUMMYFUNCTION("""COMPUTED_VALUE"""),577693.0)</f>
        <v>577693</v>
      </c>
      <c r="C3255" s="14" t="str">
        <f>IFERROR(__xludf.DUMMYFUNCTION("""COMPUTED_VALUE"""),"羅羽岑")</f>
        <v>羅羽岑</v>
      </c>
      <c r="D3255" s="16" t="str">
        <f>IFERROR(__xludf.DUMMYFUNCTION("""COMPUTED_VALUE"""),"ncy*****7023@mail.edu.tw")</f>
        <v>ncy*****7023@mail.edu.tw</v>
      </c>
      <c r="E3255" s="17" t="str">
        <f>IFERROR(__xludf.DUMMYFUNCTION("""COMPUTED_VALUE"""),"國立嘉義大學附設實驗國民小學")</f>
        <v>國立嘉義大學附設實驗國民小學</v>
      </c>
      <c r="F3255" s="14" t="str">
        <f>IFERROR(__xludf.DUMMYFUNCTION("""COMPUTED_VALUE"""),"五年級")</f>
        <v>五年級</v>
      </c>
      <c r="G3255" s="14" t="str">
        <f>IFERROR(__xludf.DUMMYFUNCTION("""COMPUTED_VALUE"""),"●小禮物")</f>
        <v>●小禮物</v>
      </c>
      <c r="H3255" s="8"/>
    </row>
    <row r="3256">
      <c r="A3256" s="18"/>
      <c r="B3256" s="14">
        <f>IFERROR(__xludf.DUMMYFUNCTION("""COMPUTED_VALUE"""),582475.0)</f>
        <v>582475</v>
      </c>
      <c r="C3256" s="14" t="str">
        <f>IFERROR(__xludf.DUMMYFUNCTION("""COMPUTED_VALUE"""),"劉品嬅")</f>
        <v>劉品嬅</v>
      </c>
      <c r="D3256" s="16" t="str">
        <f>IFERROR(__xludf.DUMMYFUNCTION("""COMPUTED_VALUE"""),"ncy*****131@mail.edu.tw")</f>
        <v>ncy*****131@mail.edu.tw</v>
      </c>
      <c r="E3256" s="17" t="str">
        <f>IFERROR(__xludf.DUMMYFUNCTION("""COMPUTED_VALUE"""),"國立嘉義大學附設實驗國民小學")</f>
        <v>國立嘉義大學附設實驗國民小學</v>
      </c>
      <c r="F3256" s="14" t="str">
        <f>IFERROR(__xludf.DUMMYFUNCTION("""COMPUTED_VALUE"""),"五年級")</f>
        <v>五年級</v>
      </c>
      <c r="G3256" s="14" t="str">
        <f>IFERROR(__xludf.DUMMYFUNCTION("""COMPUTED_VALUE"""),"●小禮物")</f>
        <v>●小禮物</v>
      </c>
      <c r="H3256" s="8"/>
    </row>
    <row r="3257">
      <c r="A3257" s="18"/>
      <c r="B3257" s="14">
        <f>IFERROR(__xludf.DUMMYFUNCTION("""COMPUTED_VALUE"""),577616.0)</f>
        <v>577616</v>
      </c>
      <c r="C3257" s="14" t="str">
        <f>IFERROR(__xludf.DUMMYFUNCTION("""COMPUTED_VALUE"""),"吳宥萱")</f>
        <v>吳宥萱</v>
      </c>
      <c r="D3257" s="16" t="str">
        <f>IFERROR(__xludf.DUMMYFUNCTION("""COMPUTED_VALUE"""),"ncy*****085@mail.edu.tw")</f>
        <v>ncy*****085@mail.edu.tw</v>
      </c>
      <c r="E3257" s="17" t="str">
        <f>IFERROR(__xludf.DUMMYFUNCTION("""COMPUTED_VALUE"""),"國立嘉義大學附設實驗國民小學")</f>
        <v>國立嘉義大學附設實驗國民小學</v>
      </c>
      <c r="F3257" s="14" t="str">
        <f>IFERROR(__xludf.DUMMYFUNCTION("""COMPUTED_VALUE"""),"五年級")</f>
        <v>五年級</v>
      </c>
      <c r="G3257" s="14" t="str">
        <f>IFERROR(__xludf.DUMMYFUNCTION("""COMPUTED_VALUE"""),"獎狀")</f>
        <v>獎狀</v>
      </c>
      <c r="H3257" s="8"/>
    </row>
    <row r="3258">
      <c r="A3258" s="18"/>
      <c r="B3258" s="14">
        <f>IFERROR(__xludf.DUMMYFUNCTION("""COMPUTED_VALUE"""),576958.0)</f>
        <v>576958</v>
      </c>
      <c r="C3258" s="14" t="str">
        <f>IFERROR(__xludf.DUMMYFUNCTION("""COMPUTED_VALUE"""),"侯秉洋")</f>
        <v>侯秉洋</v>
      </c>
      <c r="D3258" s="16" t="str">
        <f>IFERROR(__xludf.DUMMYFUNCTION("""COMPUTED_VALUE"""),"ncy*****122@mail.edu.tw")</f>
        <v>ncy*****122@mail.edu.tw</v>
      </c>
      <c r="E3258" s="17" t="str">
        <f>IFERROR(__xludf.DUMMYFUNCTION("""COMPUTED_VALUE"""),"國立嘉義大學附設實驗國民小學")</f>
        <v>國立嘉義大學附設實驗國民小學</v>
      </c>
      <c r="F3258" s="14" t="str">
        <f>IFERROR(__xludf.DUMMYFUNCTION("""COMPUTED_VALUE"""),"五年級")</f>
        <v>五年級</v>
      </c>
      <c r="G3258" s="14" t="str">
        <f>IFERROR(__xludf.DUMMYFUNCTION("""COMPUTED_VALUE"""),"獎狀")</f>
        <v>獎狀</v>
      </c>
      <c r="H3258" s="8"/>
    </row>
    <row r="3259">
      <c r="A3259" s="18"/>
      <c r="B3259" s="14">
        <f>IFERROR(__xludf.DUMMYFUNCTION("""COMPUTED_VALUE"""),576966.0)</f>
        <v>576966</v>
      </c>
      <c r="C3259" s="14" t="str">
        <f>IFERROR(__xludf.DUMMYFUNCTION("""COMPUTED_VALUE"""),"翁韵晴")</f>
        <v>翁韵晴</v>
      </c>
      <c r="D3259" s="16" t="str">
        <f>IFERROR(__xludf.DUMMYFUNCTION("""COMPUTED_VALUE"""),"ncy*****114@mail.edu.tw")</f>
        <v>ncy*****114@mail.edu.tw</v>
      </c>
      <c r="E3259" s="17" t="str">
        <f>IFERROR(__xludf.DUMMYFUNCTION("""COMPUTED_VALUE"""),"國立嘉義大學附設實驗國民小學")</f>
        <v>國立嘉義大學附設實驗國民小學</v>
      </c>
      <c r="F3259" s="14" t="str">
        <f>IFERROR(__xludf.DUMMYFUNCTION("""COMPUTED_VALUE"""),"五年級")</f>
        <v>五年級</v>
      </c>
      <c r="G3259" s="14" t="str">
        <f>IFERROR(__xludf.DUMMYFUNCTION("""COMPUTED_VALUE"""),"獎狀")</f>
        <v>獎狀</v>
      </c>
      <c r="H3259" s="8"/>
    </row>
    <row r="3260">
      <c r="A3260" s="18"/>
      <c r="B3260" s="14">
        <f>IFERROR(__xludf.DUMMYFUNCTION("""COMPUTED_VALUE"""),634970.0)</f>
        <v>634970</v>
      </c>
      <c r="C3260" s="14" t="str">
        <f>IFERROR(__xludf.DUMMYFUNCTION("""COMPUTED_VALUE"""),"陳昱霏")</f>
        <v>陳昱霏</v>
      </c>
      <c r="D3260" s="16" t="str">
        <f>IFERROR(__xludf.DUMMYFUNCTION("""COMPUTED_VALUE"""),"ncy*****145@mail.edu.tw")</f>
        <v>ncy*****145@mail.edu.tw</v>
      </c>
      <c r="E3260" s="17" t="str">
        <f>IFERROR(__xludf.DUMMYFUNCTION("""COMPUTED_VALUE"""),"國立嘉義大學附設實驗國民小學")</f>
        <v>國立嘉義大學附設實驗國民小學</v>
      </c>
      <c r="F3260" s="14" t="str">
        <f>IFERROR(__xludf.DUMMYFUNCTION("""COMPUTED_VALUE"""),"五年級")</f>
        <v>五年級</v>
      </c>
      <c r="G3260" s="14" t="str">
        <f>IFERROR(__xludf.DUMMYFUNCTION("""COMPUTED_VALUE"""),"獎狀")</f>
        <v>獎狀</v>
      </c>
      <c r="H3260" s="8"/>
    </row>
    <row r="3261">
      <c r="A3261" s="18"/>
      <c r="B3261" s="14">
        <f>IFERROR(__xludf.DUMMYFUNCTION("""COMPUTED_VALUE"""),579702.0)</f>
        <v>579702</v>
      </c>
      <c r="C3261" s="14" t="str">
        <f>IFERROR(__xludf.DUMMYFUNCTION("""COMPUTED_VALUE"""),"黃柏澄")</f>
        <v>黃柏澄</v>
      </c>
      <c r="D3261" s="16" t="str">
        <f>IFERROR(__xludf.DUMMYFUNCTION("""COMPUTED_VALUE"""),"ncy*****119@mail.edu.tw")</f>
        <v>ncy*****119@mail.edu.tw</v>
      </c>
      <c r="E3261" s="17" t="str">
        <f>IFERROR(__xludf.DUMMYFUNCTION("""COMPUTED_VALUE"""),"國立嘉義大學附設實驗國民小學")</f>
        <v>國立嘉義大學附設實驗國民小學</v>
      </c>
      <c r="F3261" s="14" t="str">
        <f>IFERROR(__xludf.DUMMYFUNCTION("""COMPUTED_VALUE"""),"五年級")</f>
        <v>五年級</v>
      </c>
      <c r="G3261" s="14" t="str">
        <f>IFERROR(__xludf.DUMMYFUNCTION("""COMPUTED_VALUE"""),"獎狀")</f>
        <v>獎狀</v>
      </c>
      <c r="H3261" s="8"/>
    </row>
    <row r="3262">
      <c r="A3262" s="18"/>
      <c r="B3262" s="14">
        <f>IFERROR(__xludf.DUMMYFUNCTION("""COMPUTED_VALUE"""),1188046.0)</f>
        <v>1188046</v>
      </c>
      <c r="C3262" s="14" t="str">
        <f>IFERROR(__xludf.DUMMYFUNCTION("""COMPUTED_VALUE"""),"黃盈涵")</f>
        <v>黃盈涵</v>
      </c>
      <c r="D3262" s="16" t="str">
        <f>IFERROR(__xludf.DUMMYFUNCTION("""COMPUTED_VALUE"""),"ncy*****134@go.edu.tw")</f>
        <v>ncy*****134@go.edu.tw</v>
      </c>
      <c r="E3262" s="17" t="str">
        <f>IFERROR(__xludf.DUMMYFUNCTION("""COMPUTED_VALUE"""),"國立嘉義大學附設實驗國民小學")</f>
        <v>國立嘉義大學附設實驗國民小學</v>
      </c>
      <c r="F3262" s="14" t="str">
        <f>IFERROR(__xludf.DUMMYFUNCTION("""COMPUTED_VALUE"""),"五年級")</f>
        <v>五年級</v>
      </c>
      <c r="G3262" s="14" t="str">
        <f>IFERROR(__xludf.DUMMYFUNCTION("""COMPUTED_VALUE"""),"獎狀")</f>
        <v>獎狀</v>
      </c>
      <c r="H3262" s="8"/>
    </row>
    <row r="3263">
      <c r="A3263" s="18"/>
      <c r="B3263" s="14">
        <f>IFERROR(__xludf.DUMMYFUNCTION("""COMPUTED_VALUE"""),579712.0)</f>
        <v>579712</v>
      </c>
      <c r="C3263" s="14" t="str">
        <f>IFERROR(__xludf.DUMMYFUNCTION("""COMPUTED_VALUE"""),"楊媞予")</f>
        <v>楊媞予</v>
      </c>
      <c r="D3263" s="16" t="str">
        <f>IFERROR(__xludf.DUMMYFUNCTION("""COMPUTED_VALUE"""),"ncy*****055@mail.edu.tw")</f>
        <v>ncy*****055@mail.edu.tw</v>
      </c>
      <c r="E3263" s="17" t="str">
        <f>IFERROR(__xludf.DUMMYFUNCTION("""COMPUTED_VALUE"""),"國立嘉義大學附設實驗國民小學")</f>
        <v>國立嘉義大學附設實驗國民小學</v>
      </c>
      <c r="F3263" s="14" t="str">
        <f>IFERROR(__xludf.DUMMYFUNCTION("""COMPUTED_VALUE"""),"五年級")</f>
        <v>五年級</v>
      </c>
      <c r="G3263" s="14" t="str">
        <f>IFERROR(__xludf.DUMMYFUNCTION("""COMPUTED_VALUE"""),"獎狀")</f>
        <v>獎狀</v>
      </c>
      <c r="H3263" s="8"/>
    </row>
    <row r="3264">
      <c r="A3264" s="18"/>
      <c r="B3264" s="14">
        <f>IFERROR(__xludf.DUMMYFUNCTION("""COMPUTED_VALUE"""),577684.0)</f>
        <v>577684</v>
      </c>
      <c r="C3264" s="14" t="str">
        <f>IFERROR(__xludf.DUMMYFUNCTION("""COMPUTED_VALUE"""),"詹政勳")</f>
        <v>詹政勳</v>
      </c>
      <c r="D3264" s="16" t="str">
        <f>IFERROR(__xludf.DUMMYFUNCTION("""COMPUTED_VALUE"""),"ncy*****006@mail.edu.tw")</f>
        <v>ncy*****006@mail.edu.tw</v>
      </c>
      <c r="E3264" s="17" t="str">
        <f>IFERROR(__xludf.DUMMYFUNCTION("""COMPUTED_VALUE"""),"國立嘉義大學附設實驗國民小學")</f>
        <v>國立嘉義大學附設實驗國民小學</v>
      </c>
      <c r="F3264" s="14" t="str">
        <f>IFERROR(__xludf.DUMMYFUNCTION("""COMPUTED_VALUE"""),"五年級")</f>
        <v>五年級</v>
      </c>
      <c r="G3264" s="14" t="str">
        <f>IFERROR(__xludf.DUMMYFUNCTION("""COMPUTED_VALUE"""),"獎狀")</f>
        <v>獎狀</v>
      </c>
      <c r="H3264" s="8"/>
    </row>
    <row r="3265">
      <c r="A3265" s="18"/>
      <c r="B3265" s="14">
        <f>IFERROR(__xludf.DUMMYFUNCTION("""COMPUTED_VALUE"""),576963.0)</f>
        <v>576963</v>
      </c>
      <c r="C3265" s="14" t="str">
        <f>IFERROR(__xludf.DUMMYFUNCTION("""COMPUTED_VALUE"""),"盧立耿")</f>
        <v>盧立耿</v>
      </c>
      <c r="D3265" s="16" t="str">
        <f>IFERROR(__xludf.DUMMYFUNCTION("""COMPUTED_VALUE"""),"ncy*****063@mail.edu.tw")</f>
        <v>ncy*****063@mail.edu.tw</v>
      </c>
      <c r="E3265" s="17" t="str">
        <f>IFERROR(__xludf.DUMMYFUNCTION("""COMPUTED_VALUE"""),"國立嘉義大學附設實驗國民小學")</f>
        <v>國立嘉義大學附設實驗國民小學</v>
      </c>
      <c r="F3265" s="14" t="str">
        <f>IFERROR(__xludf.DUMMYFUNCTION("""COMPUTED_VALUE"""),"五年級")</f>
        <v>五年級</v>
      </c>
      <c r="G3265" s="14" t="str">
        <f>IFERROR(__xludf.DUMMYFUNCTION("""COMPUTED_VALUE"""),"獎狀")</f>
        <v>獎狀</v>
      </c>
      <c r="H3265" s="8"/>
    </row>
    <row r="3266">
      <c r="A3266" s="18"/>
      <c r="B3266" s="14">
        <f>IFERROR(__xludf.DUMMYFUNCTION("""COMPUTED_VALUE"""),736619.0)</f>
        <v>736619</v>
      </c>
      <c r="C3266" s="14" t="str">
        <f>IFERROR(__xludf.DUMMYFUNCTION("""COMPUTED_VALUE"""),"施映慈")</f>
        <v>施映慈</v>
      </c>
      <c r="D3266" s="16" t="str">
        <f>IFERROR(__xludf.DUMMYFUNCTION("""COMPUTED_VALUE"""),"ncy*****019@mail.edu.tw")</f>
        <v>ncy*****019@mail.edu.tw</v>
      </c>
      <c r="E3266" s="17" t="str">
        <f>IFERROR(__xludf.DUMMYFUNCTION("""COMPUTED_VALUE"""),"國立嘉義大學附設實驗國民小學")</f>
        <v>國立嘉義大學附設實驗國民小學</v>
      </c>
      <c r="F3266" s="14" t="str">
        <f>IFERROR(__xludf.DUMMYFUNCTION("""COMPUTED_VALUE"""),"六年級")</f>
        <v>六年級</v>
      </c>
      <c r="G3266" s="14" t="str">
        <f>IFERROR(__xludf.DUMMYFUNCTION("""COMPUTED_VALUE"""),"●小禮物")</f>
        <v>●小禮物</v>
      </c>
      <c r="H3266" s="8"/>
    </row>
    <row r="3267">
      <c r="A3267" s="18"/>
      <c r="B3267" s="14">
        <f>IFERROR(__xludf.DUMMYFUNCTION("""COMPUTED_VALUE"""),321794.0)</f>
        <v>321794</v>
      </c>
      <c r="C3267" s="14" t="str">
        <f>IFERROR(__xludf.DUMMYFUNCTION("""COMPUTED_VALUE"""),"朱品叡")</f>
        <v>朱品叡</v>
      </c>
      <c r="D3267" s="16" t="str">
        <f>IFERROR(__xludf.DUMMYFUNCTION("""COMPUTED_VALUE"""),"wei*****@mail.edu.tw")</f>
        <v>wei*****@mail.edu.tw</v>
      </c>
      <c r="E3267" s="17" t="str">
        <f>IFERROR(__xludf.DUMMYFUNCTION("""COMPUTED_VALUE"""),"國立嘉義大學附設實驗國民小學")</f>
        <v>國立嘉義大學附設實驗國民小學</v>
      </c>
      <c r="F3267" s="14" t="str">
        <f>IFERROR(__xludf.DUMMYFUNCTION("""COMPUTED_VALUE"""),"六年級")</f>
        <v>六年級</v>
      </c>
      <c r="G3267" s="14" t="str">
        <f>IFERROR(__xludf.DUMMYFUNCTION("""COMPUTED_VALUE"""),"獎狀")</f>
        <v>獎狀</v>
      </c>
      <c r="H3267" s="8"/>
    </row>
    <row r="3268">
      <c r="A3268" s="18"/>
      <c r="B3268" s="14">
        <f>IFERROR(__xludf.DUMMYFUNCTION("""COMPUTED_VALUE"""),942840.0)</f>
        <v>942840</v>
      </c>
      <c r="C3268" s="14" t="str">
        <f>IFERROR(__xludf.DUMMYFUNCTION("""COMPUTED_VALUE"""),"蔡巧云")</f>
        <v>蔡巧云</v>
      </c>
      <c r="D3268" s="16" t="str">
        <f>IFERROR(__xludf.DUMMYFUNCTION("""COMPUTED_VALUE"""),"les*****ai100@gmail.com")</f>
        <v>les*****ai100@gmail.com</v>
      </c>
      <c r="E3268" s="17" t="str">
        <f>IFERROR(__xludf.DUMMYFUNCTION("""COMPUTED_VALUE"""),"嘉義市東區精忠國民小學")</f>
        <v>嘉義市東區精忠國民小學</v>
      </c>
      <c r="F3268" s="14" t="str">
        <f>IFERROR(__xludf.DUMMYFUNCTION("""COMPUTED_VALUE"""),"五年級")</f>
        <v>五年級</v>
      </c>
      <c r="G3268" s="14" t="str">
        <f>IFERROR(__xludf.DUMMYFUNCTION("""COMPUTED_VALUE"""),"★禮券$500")</f>
        <v>★禮券$500</v>
      </c>
      <c r="H3268" s="8"/>
    </row>
    <row r="3269">
      <c r="A3269" s="18"/>
      <c r="B3269" s="14">
        <f>IFERROR(__xludf.DUMMYFUNCTION("""COMPUTED_VALUE"""),942838.0)</f>
        <v>942838</v>
      </c>
      <c r="C3269" s="14" t="str">
        <f>IFERROR(__xludf.DUMMYFUNCTION("""COMPUTED_VALUE"""),"蔡巧文")</f>
        <v>蔡巧文</v>
      </c>
      <c r="D3269" s="16" t="str">
        <f>IFERROR(__xludf.DUMMYFUNCTION("""COMPUTED_VALUE"""),"cor*****sai100@gmail.com")</f>
        <v>cor*****sai100@gmail.com</v>
      </c>
      <c r="E3269" s="17" t="str">
        <f>IFERROR(__xludf.DUMMYFUNCTION("""COMPUTED_VALUE"""),"嘉義市東區精忠國民小學")</f>
        <v>嘉義市東區精忠國民小學</v>
      </c>
      <c r="F3269" s="14" t="str">
        <f>IFERROR(__xludf.DUMMYFUNCTION("""COMPUTED_VALUE"""),"五年級")</f>
        <v>五年級</v>
      </c>
      <c r="G3269" s="14" t="str">
        <f>IFERROR(__xludf.DUMMYFUNCTION("""COMPUTED_VALUE"""),"獎狀")</f>
        <v>獎狀</v>
      </c>
      <c r="H3269" s="8"/>
    </row>
    <row r="3270">
      <c r="A3270" s="18"/>
      <c r="B3270" s="14">
        <f>IFERROR(__xludf.DUMMYFUNCTION("""COMPUTED_VALUE"""),870022.0)</f>
        <v>870022</v>
      </c>
      <c r="C3270" s="14" t="str">
        <f>IFERROR(__xludf.DUMMYFUNCTION("""COMPUTED_VALUE"""),"郭尚誼")</f>
        <v>郭尚誼</v>
      </c>
      <c r="D3270" s="16" t="str">
        <f>IFERROR(__xludf.DUMMYFUNCTION("""COMPUTED_VALUE"""),"eth*****1014@gmail.com")</f>
        <v>eth*****1014@gmail.com</v>
      </c>
      <c r="E3270" s="17" t="str">
        <f>IFERROR(__xludf.DUMMYFUNCTION("""COMPUTED_VALUE"""),"嘉義市東區宣信國民小學")</f>
        <v>嘉義市東區宣信國民小學</v>
      </c>
      <c r="F3270" s="14" t="str">
        <f>IFERROR(__xludf.DUMMYFUNCTION("""COMPUTED_VALUE"""),"四年級")</f>
        <v>四年級</v>
      </c>
      <c r="G3270" s="14" t="str">
        <f>IFERROR(__xludf.DUMMYFUNCTION("""COMPUTED_VALUE"""),"獎狀")</f>
        <v>獎狀</v>
      </c>
      <c r="H3270" s="8"/>
    </row>
    <row r="3271">
      <c r="A3271" s="18"/>
      <c r="B3271" s="14">
        <f>IFERROR(__xludf.DUMMYFUNCTION("""COMPUTED_VALUE"""),935732.0)</f>
        <v>935732</v>
      </c>
      <c r="C3271" s="14" t="str">
        <f>IFERROR(__xludf.DUMMYFUNCTION("""COMPUTED_VALUE"""),"曾沅佑")</f>
        <v>曾沅佑</v>
      </c>
      <c r="D3271" s="16" t="str">
        <f>IFERROR(__xludf.DUMMYFUNCTION("""COMPUTED_VALUE"""),"s10*****sses.cy.edu.tw")</f>
        <v>s10*****sses.cy.edu.tw</v>
      </c>
      <c r="E3271" s="17" t="str">
        <f>IFERROR(__xludf.DUMMYFUNCTION("""COMPUTED_VALUE"""),"嘉義市東區宣信國民小學")</f>
        <v>嘉義市東區宣信國民小學</v>
      </c>
      <c r="F3271" s="14" t="str">
        <f>IFERROR(__xludf.DUMMYFUNCTION("""COMPUTED_VALUE"""),"四年級")</f>
        <v>四年級</v>
      </c>
      <c r="G3271" s="14" t="str">
        <f>IFERROR(__xludf.DUMMYFUNCTION("""COMPUTED_VALUE"""),"獎狀")</f>
        <v>獎狀</v>
      </c>
      <c r="H3271" s="8"/>
    </row>
    <row r="3272">
      <c r="A3272" s="18"/>
      <c r="B3272" s="14">
        <f>IFERROR(__xludf.DUMMYFUNCTION("""COMPUTED_VALUE"""),833911.0)</f>
        <v>833911</v>
      </c>
      <c r="C3272" s="14" t="str">
        <f>IFERROR(__xludf.DUMMYFUNCTION("""COMPUTED_VALUE"""),"張苡勻")</f>
        <v>張苡勻</v>
      </c>
      <c r="D3272" s="16" t="str">
        <f>IFERROR(__xludf.DUMMYFUNCTION("""COMPUTED_VALUE"""),"109*****pp.paes.cy.edu.tw")</f>
        <v>109*****pp.paes.cy.edu.tw</v>
      </c>
      <c r="E3272" s="17" t="str">
        <f>IFERROR(__xludf.DUMMYFUNCTION("""COMPUTED_VALUE"""),"嘉義市東區嘉北國民小學")</f>
        <v>嘉義市東區嘉北國民小學</v>
      </c>
      <c r="F3272" s="14" t="str">
        <f>IFERROR(__xludf.DUMMYFUNCTION("""COMPUTED_VALUE"""),"三年級")</f>
        <v>三年級</v>
      </c>
      <c r="G3272" s="14" t="str">
        <f>IFERROR(__xludf.DUMMYFUNCTION("""COMPUTED_VALUE"""),"●小禮物")</f>
        <v>●小禮物</v>
      </c>
      <c r="H3272" s="8"/>
    </row>
    <row r="3273">
      <c r="A3273" s="18"/>
      <c r="B3273" s="14">
        <f>IFERROR(__xludf.DUMMYFUNCTION("""COMPUTED_VALUE"""),773074.0)</f>
        <v>773074</v>
      </c>
      <c r="C3273" s="14" t="str">
        <f>IFERROR(__xludf.DUMMYFUNCTION("""COMPUTED_VALUE"""),"張瑞恩")</f>
        <v>張瑞恩</v>
      </c>
      <c r="D3273" s="16" t="str">
        <f>IFERROR(__xludf.DUMMYFUNCTION("""COMPUTED_VALUE"""),"108*****app.paes.cy.edu.tw")</f>
        <v>108*****app.paes.cy.edu.tw</v>
      </c>
      <c r="E3273" s="17" t="str">
        <f>IFERROR(__xludf.DUMMYFUNCTION("""COMPUTED_VALUE"""),"嘉義市東區嘉北國民小學")</f>
        <v>嘉義市東區嘉北國民小學</v>
      </c>
      <c r="F3273" s="14" t="str">
        <f>IFERROR(__xludf.DUMMYFUNCTION("""COMPUTED_VALUE"""),"四年級")</f>
        <v>四年級</v>
      </c>
      <c r="G3273" s="14" t="str">
        <f>IFERROR(__xludf.DUMMYFUNCTION("""COMPUTED_VALUE"""),"獎狀")</f>
        <v>獎狀</v>
      </c>
      <c r="H3273" s="8"/>
    </row>
    <row r="3274">
      <c r="A3274" s="18"/>
      <c r="B3274" s="14">
        <f>IFERROR(__xludf.DUMMYFUNCTION("""COMPUTED_VALUE"""),561493.0)</f>
        <v>561493</v>
      </c>
      <c r="C3274" s="14" t="str">
        <f>IFERROR(__xludf.DUMMYFUNCTION("""COMPUTED_VALUE"""),"張宜盈")</f>
        <v>張宜盈</v>
      </c>
      <c r="D3274" s="16" t="str">
        <f>IFERROR(__xludf.DUMMYFUNCTION("""COMPUTED_VALUE"""),"win*****031219@mail.edu.tw")</f>
        <v>win*****031219@mail.edu.tw</v>
      </c>
      <c r="E3274" s="17" t="str">
        <f>IFERROR(__xludf.DUMMYFUNCTION("""COMPUTED_VALUE"""),"嘉義市東區嘉北國民小學")</f>
        <v>嘉義市東區嘉北國民小學</v>
      </c>
      <c r="F3274" s="14" t="str">
        <f>IFERROR(__xludf.DUMMYFUNCTION("""COMPUTED_VALUE"""),"五年級")</f>
        <v>五年級</v>
      </c>
      <c r="G3274" s="14" t="str">
        <f>IFERROR(__xludf.DUMMYFUNCTION("""COMPUTED_VALUE"""),"●小禮物")</f>
        <v>●小禮物</v>
      </c>
      <c r="H3274" s="8"/>
    </row>
    <row r="3275">
      <c r="A3275" s="18"/>
      <c r="B3275" s="14">
        <f>IFERROR(__xludf.DUMMYFUNCTION("""COMPUTED_VALUE"""),555930.0)</f>
        <v>555930</v>
      </c>
      <c r="C3275" s="14" t="str">
        <f>IFERROR(__xludf.DUMMYFUNCTION("""COMPUTED_VALUE"""),"蔡羿嫻")</f>
        <v>蔡羿嫻</v>
      </c>
      <c r="D3275" s="16" t="str">
        <f>IFERROR(__xludf.DUMMYFUNCTION("""COMPUTED_VALUE"""),"a09*****552@gmail.com")</f>
        <v>a09*****552@gmail.com</v>
      </c>
      <c r="E3275" s="17" t="str">
        <f>IFERROR(__xludf.DUMMYFUNCTION("""COMPUTED_VALUE"""),"嘉義市東區嘉北國民小學")</f>
        <v>嘉義市東區嘉北國民小學</v>
      </c>
      <c r="F3275" s="14" t="str">
        <f>IFERROR(__xludf.DUMMYFUNCTION("""COMPUTED_VALUE"""),"五年級")</f>
        <v>五年級</v>
      </c>
      <c r="G3275" s="14" t="str">
        <f>IFERROR(__xludf.DUMMYFUNCTION("""COMPUTED_VALUE"""),"獎狀")</f>
        <v>獎狀</v>
      </c>
      <c r="H3275" s="8"/>
    </row>
    <row r="3276">
      <c r="A3276" s="18"/>
      <c r="B3276" s="14">
        <f>IFERROR(__xludf.DUMMYFUNCTION("""COMPUTED_VALUE"""),1179302.0)</f>
        <v>1179302</v>
      </c>
      <c r="C3276" s="14" t="str">
        <f>IFERROR(__xludf.DUMMYFUNCTION("""COMPUTED_VALUE"""),"陳俊澤")</f>
        <v>陳俊澤</v>
      </c>
      <c r="D3276" s="16" t="str">
        <f>IFERROR(__xludf.DUMMYFUNCTION("""COMPUTED_VALUE"""),"sce*****89@mail.edu.tw")</f>
        <v>sce*****89@mail.edu.tw</v>
      </c>
      <c r="E3276" s="17" t="str">
        <f>IFERROR(__xludf.DUMMYFUNCTION("""COMPUTED_VALUE"""),"嘉義縣梅山鄉太平國民小學")</f>
        <v>嘉義縣梅山鄉太平國民小學</v>
      </c>
      <c r="F3276" s="14" t="str">
        <f>IFERROR(__xludf.DUMMYFUNCTION("""COMPUTED_VALUE"""),"三年級")</f>
        <v>三年級</v>
      </c>
      <c r="G3276" s="14" t="str">
        <f>IFERROR(__xludf.DUMMYFUNCTION("""COMPUTED_VALUE"""),"●小禮物")</f>
        <v>●小禮物</v>
      </c>
      <c r="H3276" s="8"/>
    </row>
    <row r="3277">
      <c r="A3277" s="18"/>
      <c r="B3277" s="14">
        <f>IFERROR(__xludf.DUMMYFUNCTION("""COMPUTED_VALUE"""),1179236.0)</f>
        <v>1179236</v>
      </c>
      <c r="C3277" s="14" t="str">
        <f>IFERROR(__xludf.DUMMYFUNCTION("""COMPUTED_VALUE"""),"陳彥名")</f>
        <v>陳彥名</v>
      </c>
      <c r="D3277" s="16" t="str">
        <f>IFERROR(__xludf.DUMMYFUNCTION("""COMPUTED_VALUE"""),"tpp*****01@mail.edu.tw")</f>
        <v>tpp*****01@mail.edu.tw</v>
      </c>
      <c r="E3277" s="17" t="str">
        <f>IFERROR(__xludf.DUMMYFUNCTION("""COMPUTED_VALUE"""),"嘉義縣梅山鄉太平國民小學")</f>
        <v>嘉義縣梅山鄉太平國民小學</v>
      </c>
      <c r="F3277" s="14" t="str">
        <f>IFERROR(__xludf.DUMMYFUNCTION("""COMPUTED_VALUE"""),"三年級")</f>
        <v>三年級</v>
      </c>
      <c r="G3277" s="14" t="str">
        <f>IFERROR(__xludf.DUMMYFUNCTION("""COMPUTED_VALUE"""),"獎狀")</f>
        <v>獎狀</v>
      </c>
      <c r="H3277" s="8"/>
    </row>
    <row r="3278">
      <c r="A3278" s="18"/>
      <c r="B3278" s="14">
        <f>IFERROR(__xludf.DUMMYFUNCTION("""COMPUTED_VALUE"""),1179252.0)</f>
        <v>1179252</v>
      </c>
      <c r="C3278" s="14" t="str">
        <f>IFERROR(__xludf.DUMMYFUNCTION("""COMPUTED_VALUE"""),"葉資妙")</f>
        <v>葉資妙</v>
      </c>
      <c r="D3278" s="16" t="str">
        <f>IFERROR(__xludf.DUMMYFUNCTION("""COMPUTED_VALUE"""),"tpp*****02@mail.edu.tw")</f>
        <v>tpp*****02@mail.edu.tw</v>
      </c>
      <c r="E3278" s="17" t="str">
        <f>IFERROR(__xludf.DUMMYFUNCTION("""COMPUTED_VALUE"""),"嘉義縣梅山鄉太平國民小學")</f>
        <v>嘉義縣梅山鄉太平國民小學</v>
      </c>
      <c r="F3278" s="14" t="str">
        <f>IFERROR(__xludf.DUMMYFUNCTION("""COMPUTED_VALUE"""),"三年級")</f>
        <v>三年級</v>
      </c>
      <c r="G3278" s="14" t="str">
        <f>IFERROR(__xludf.DUMMYFUNCTION("""COMPUTED_VALUE"""),"獎狀")</f>
        <v>獎狀</v>
      </c>
      <c r="H3278" s="8"/>
    </row>
    <row r="3279">
      <c r="A3279" s="18"/>
      <c r="B3279" s="14">
        <f>IFERROR(__xludf.DUMMYFUNCTION("""COMPUTED_VALUE"""),1179332.0)</f>
        <v>1179332</v>
      </c>
      <c r="C3279" s="14" t="str">
        <f>IFERROR(__xludf.DUMMYFUNCTION("""COMPUTED_VALUE"""),"嚴宥程")</f>
        <v>嚴宥程</v>
      </c>
      <c r="D3279" s="16" t="str">
        <f>IFERROR(__xludf.DUMMYFUNCTION("""COMPUTED_VALUE"""),"tpp*****03@mail.edu.tw")</f>
        <v>tpp*****03@mail.edu.tw</v>
      </c>
      <c r="E3279" s="17" t="str">
        <f>IFERROR(__xludf.DUMMYFUNCTION("""COMPUTED_VALUE"""),"嘉義縣梅山鄉太平國民小學")</f>
        <v>嘉義縣梅山鄉太平國民小學</v>
      </c>
      <c r="F3279" s="14" t="str">
        <f>IFERROR(__xludf.DUMMYFUNCTION("""COMPUTED_VALUE"""),"四年級")</f>
        <v>四年級</v>
      </c>
      <c r="G3279" s="14" t="str">
        <f>IFERROR(__xludf.DUMMYFUNCTION("""COMPUTED_VALUE"""),"●小禮物")</f>
        <v>●小禮物</v>
      </c>
      <c r="H3279" s="8"/>
    </row>
    <row r="3280">
      <c r="A3280" s="18"/>
      <c r="B3280" s="14">
        <f>IFERROR(__xludf.DUMMYFUNCTION("""COMPUTED_VALUE"""),1179329.0)</f>
        <v>1179329</v>
      </c>
      <c r="C3280" s="14" t="str">
        <f>IFERROR(__xludf.DUMMYFUNCTION("""COMPUTED_VALUE"""),"林智詠")</f>
        <v>林智詠</v>
      </c>
      <c r="D3280" s="16" t="str">
        <f>IFERROR(__xludf.DUMMYFUNCTION("""COMPUTED_VALUE"""),"tpp*****001@mail.edu.tw")</f>
        <v>tpp*****001@mail.edu.tw</v>
      </c>
      <c r="E3280" s="17" t="str">
        <f>IFERROR(__xludf.DUMMYFUNCTION("""COMPUTED_VALUE"""),"嘉義縣梅山鄉太平國民小學")</f>
        <v>嘉義縣梅山鄉太平國民小學</v>
      </c>
      <c r="F3280" s="14" t="str">
        <f>IFERROR(__xludf.DUMMYFUNCTION("""COMPUTED_VALUE"""),"四年級")</f>
        <v>四年級</v>
      </c>
      <c r="G3280" s="14" t="str">
        <f>IFERROR(__xludf.DUMMYFUNCTION("""COMPUTED_VALUE"""),"獎狀")</f>
        <v>獎狀</v>
      </c>
      <c r="H3280" s="8"/>
    </row>
    <row r="3281">
      <c r="A3281" s="18"/>
      <c r="B3281" s="14">
        <f>IFERROR(__xludf.DUMMYFUNCTION("""COMPUTED_VALUE"""),1179331.0)</f>
        <v>1179331</v>
      </c>
      <c r="C3281" s="14" t="str">
        <f>IFERROR(__xludf.DUMMYFUNCTION("""COMPUTED_VALUE"""),"陳冠名")</f>
        <v>陳冠名</v>
      </c>
      <c r="D3281" s="16" t="str">
        <f>IFERROR(__xludf.DUMMYFUNCTION("""COMPUTED_VALUE"""),"tpp*****02@mail.edu.tw")</f>
        <v>tpp*****02@mail.edu.tw</v>
      </c>
      <c r="E3281" s="17" t="str">
        <f>IFERROR(__xludf.DUMMYFUNCTION("""COMPUTED_VALUE"""),"嘉義縣梅山鄉太平國民小學")</f>
        <v>嘉義縣梅山鄉太平國民小學</v>
      </c>
      <c r="F3281" s="14" t="str">
        <f>IFERROR(__xludf.DUMMYFUNCTION("""COMPUTED_VALUE"""),"四年級")</f>
        <v>四年級</v>
      </c>
      <c r="G3281" s="14" t="str">
        <f>IFERROR(__xludf.DUMMYFUNCTION("""COMPUTED_VALUE"""),"獎狀")</f>
        <v>獎狀</v>
      </c>
      <c r="H3281" s="8"/>
    </row>
    <row r="3282">
      <c r="A3282" s="18"/>
      <c r="B3282" s="14">
        <f>IFERROR(__xludf.DUMMYFUNCTION("""COMPUTED_VALUE"""),306212.0)</f>
        <v>306212</v>
      </c>
      <c r="C3282" s="14" t="str">
        <f>IFERROR(__xludf.DUMMYFUNCTION("""COMPUTED_VALUE"""),"葉三豪")</f>
        <v>葉三豪</v>
      </c>
      <c r="D3282" s="16" t="str">
        <f>IFERROR(__xludf.DUMMYFUNCTION("""COMPUTED_VALUE"""),"tpp*****02@mail.edu.tw")</f>
        <v>tpp*****02@mail.edu.tw</v>
      </c>
      <c r="E3282" s="17" t="str">
        <f>IFERROR(__xludf.DUMMYFUNCTION("""COMPUTED_VALUE"""),"嘉義縣梅山鄉太平國民小學")</f>
        <v>嘉義縣梅山鄉太平國民小學</v>
      </c>
      <c r="F3282" s="14" t="str">
        <f>IFERROR(__xludf.DUMMYFUNCTION("""COMPUTED_VALUE"""),"六年級")</f>
        <v>六年級</v>
      </c>
      <c r="G3282" s="14" t="str">
        <f>IFERROR(__xludf.DUMMYFUNCTION("""COMPUTED_VALUE"""),"●小禮物")</f>
        <v>●小禮物</v>
      </c>
      <c r="H3282" s="8"/>
    </row>
    <row r="3283">
      <c r="A3283" s="18"/>
      <c r="B3283" s="14">
        <f>IFERROR(__xludf.DUMMYFUNCTION("""COMPUTED_VALUE"""),306214.0)</f>
        <v>306214</v>
      </c>
      <c r="C3283" s="14" t="str">
        <f>IFERROR(__xludf.DUMMYFUNCTION("""COMPUTED_VALUE"""),"林涫籈")</f>
        <v>林涫籈</v>
      </c>
      <c r="D3283" s="16" t="str">
        <f>IFERROR(__xludf.DUMMYFUNCTION("""COMPUTED_VALUE"""),"tpp*****04@mail.edu.tw")</f>
        <v>tpp*****04@mail.edu.tw</v>
      </c>
      <c r="E3283" s="17" t="str">
        <f>IFERROR(__xludf.DUMMYFUNCTION("""COMPUTED_VALUE"""),"嘉義縣梅山鄉太平國民小學")</f>
        <v>嘉義縣梅山鄉太平國民小學</v>
      </c>
      <c r="F3283" s="14" t="str">
        <f>IFERROR(__xludf.DUMMYFUNCTION("""COMPUTED_VALUE"""),"六年級")</f>
        <v>六年級</v>
      </c>
      <c r="G3283" s="14" t="str">
        <f>IFERROR(__xludf.DUMMYFUNCTION("""COMPUTED_VALUE"""),"獎狀")</f>
        <v>獎狀</v>
      </c>
      <c r="H3283" s="8"/>
    </row>
    <row r="3284">
      <c r="A3284" s="18"/>
      <c r="B3284" s="14">
        <f>IFERROR(__xludf.DUMMYFUNCTION("""COMPUTED_VALUE"""),306211.0)</f>
        <v>306211</v>
      </c>
      <c r="C3284" s="14" t="str">
        <f>IFERROR(__xludf.DUMMYFUNCTION("""COMPUTED_VALUE"""),"陳軍佑")</f>
        <v>陳軍佑</v>
      </c>
      <c r="D3284" s="16" t="str">
        <f>IFERROR(__xludf.DUMMYFUNCTION("""COMPUTED_VALUE"""),"tpp*****01@mail.edu.tw")</f>
        <v>tpp*****01@mail.edu.tw</v>
      </c>
      <c r="E3284" s="17" t="str">
        <f>IFERROR(__xludf.DUMMYFUNCTION("""COMPUTED_VALUE"""),"嘉義縣梅山鄉太平國民小學")</f>
        <v>嘉義縣梅山鄉太平國民小學</v>
      </c>
      <c r="F3284" s="14" t="str">
        <f>IFERROR(__xludf.DUMMYFUNCTION("""COMPUTED_VALUE"""),"六年級")</f>
        <v>六年級</v>
      </c>
      <c r="G3284" s="14" t="str">
        <f>IFERROR(__xludf.DUMMYFUNCTION("""COMPUTED_VALUE"""),"獎狀")</f>
        <v>獎狀</v>
      </c>
      <c r="H3284" s="8"/>
    </row>
    <row r="3285">
      <c r="A3285" s="18"/>
      <c r="B3285" s="14">
        <f>IFERROR(__xludf.DUMMYFUNCTION("""COMPUTED_VALUE"""),306213.0)</f>
        <v>306213</v>
      </c>
      <c r="C3285" s="14" t="str">
        <f>IFERROR(__xludf.DUMMYFUNCTION("""COMPUTED_VALUE"""),"簡茂盛")</f>
        <v>簡茂盛</v>
      </c>
      <c r="D3285" s="16" t="str">
        <f>IFERROR(__xludf.DUMMYFUNCTION("""COMPUTED_VALUE"""),"tpp*****03@mail.edu.tw")</f>
        <v>tpp*****03@mail.edu.tw</v>
      </c>
      <c r="E3285" s="17" t="str">
        <f>IFERROR(__xludf.DUMMYFUNCTION("""COMPUTED_VALUE"""),"嘉義縣梅山鄉太平國民小學")</f>
        <v>嘉義縣梅山鄉太平國民小學</v>
      </c>
      <c r="F3285" s="14" t="str">
        <f>IFERROR(__xludf.DUMMYFUNCTION("""COMPUTED_VALUE"""),"六年級")</f>
        <v>六年級</v>
      </c>
      <c r="G3285" s="14" t="str">
        <f>IFERROR(__xludf.DUMMYFUNCTION("""COMPUTED_VALUE"""),"獎狀")</f>
        <v>獎狀</v>
      </c>
      <c r="H3285" s="8"/>
    </row>
    <row r="3286">
      <c r="A3286" s="18"/>
      <c r="B3286" s="14">
        <f>IFERROR(__xludf.DUMMYFUNCTION("""COMPUTED_VALUE"""),636514.0)</f>
        <v>636514</v>
      </c>
      <c r="C3286" s="14" t="str">
        <f>IFERROR(__xludf.DUMMYFUNCTION("""COMPUTED_VALUE"""),"何東諺")</f>
        <v>何東諺</v>
      </c>
      <c r="D3286" s="16" t="str">
        <f>IFERROR(__xludf.DUMMYFUNCTION("""COMPUTED_VALUE"""),"cyc*****106005@mail.edu.tw")</f>
        <v>cyc*****106005@mail.edu.tw</v>
      </c>
      <c r="E3286" s="17" t="str">
        <f>IFERROR(__xludf.DUMMYFUNCTION("""COMPUTED_VALUE"""),"嘉義縣梅山鄉梅北國民小學")</f>
        <v>嘉義縣梅山鄉梅北國民小學</v>
      </c>
      <c r="F3286" s="14" t="str">
        <f>IFERROR(__xludf.DUMMYFUNCTION("""COMPUTED_VALUE"""),"六年級")</f>
        <v>六年級</v>
      </c>
      <c r="G3286" s="14" t="str">
        <f>IFERROR(__xludf.DUMMYFUNCTION("""COMPUTED_VALUE"""),"獎狀")</f>
        <v>獎狀</v>
      </c>
      <c r="H3286" s="8"/>
    </row>
    <row r="3287">
      <c r="A3287" s="18"/>
      <c r="B3287" s="14">
        <f>IFERROR(__xludf.DUMMYFUNCTION("""COMPUTED_VALUE"""),654803.0)</f>
        <v>654803</v>
      </c>
      <c r="C3287" s="14" t="str">
        <f>IFERROR(__xludf.DUMMYFUNCTION("""COMPUTED_VALUE"""),"陳品安")</f>
        <v>陳品安</v>
      </c>
      <c r="D3287" s="16" t="str">
        <f>IFERROR(__xludf.DUMMYFUNCTION("""COMPUTED_VALUE"""),"rf1*****@mail.edu.tw")</f>
        <v>rf1*****@mail.edu.tw</v>
      </c>
      <c r="E3287" s="17" t="str">
        <f>IFERROR(__xludf.DUMMYFUNCTION("""COMPUTED_VALUE"""),"嘉義縣梅山鄉瑞峰國民小學")</f>
        <v>嘉義縣梅山鄉瑞峰國民小學</v>
      </c>
      <c r="F3287" s="14" t="str">
        <f>IFERROR(__xludf.DUMMYFUNCTION("""COMPUTED_VALUE"""),"六年級")</f>
        <v>六年級</v>
      </c>
      <c r="G3287" s="14" t="str">
        <f>IFERROR(__xludf.DUMMYFUNCTION("""COMPUTED_VALUE"""),"●小禮物")</f>
        <v>●小禮物</v>
      </c>
      <c r="H3287" s="8"/>
    </row>
    <row r="3288">
      <c r="A3288" s="18"/>
      <c r="B3288" s="14">
        <f>IFERROR(__xludf.DUMMYFUNCTION("""COMPUTED_VALUE"""),741455.0)</f>
        <v>741455</v>
      </c>
      <c r="C3288" s="14" t="str">
        <f>IFERROR(__xludf.DUMMYFUNCTION("""COMPUTED_VALUE"""),"陳思菱")</f>
        <v>陳思菱</v>
      </c>
      <c r="D3288" s="16" t="str">
        <f>IFERROR(__xludf.DUMMYFUNCTION("""COMPUTED_VALUE"""),"rf1*****@mail.edu.tw")</f>
        <v>rf1*****@mail.edu.tw</v>
      </c>
      <c r="E3288" s="17" t="str">
        <f>IFERROR(__xludf.DUMMYFUNCTION("""COMPUTED_VALUE"""),"嘉義縣梅山鄉瑞峰國民小學")</f>
        <v>嘉義縣梅山鄉瑞峰國民小學</v>
      </c>
      <c r="F3288" s="14" t="str">
        <f>IFERROR(__xludf.DUMMYFUNCTION("""COMPUTED_VALUE"""),"六年級")</f>
        <v>六年級</v>
      </c>
      <c r="G3288" s="14" t="str">
        <f>IFERROR(__xludf.DUMMYFUNCTION("""COMPUTED_VALUE"""),"●小禮物")</f>
        <v>●小禮物</v>
      </c>
      <c r="H3288" s="8"/>
    </row>
    <row r="3289">
      <c r="A3289" s="18"/>
      <c r="B3289" s="14">
        <f>IFERROR(__xludf.DUMMYFUNCTION("""COMPUTED_VALUE"""),741456.0)</f>
        <v>741456</v>
      </c>
      <c r="C3289" s="14" t="str">
        <f>IFERROR(__xludf.DUMMYFUNCTION("""COMPUTED_VALUE"""),"陳家華")</f>
        <v>陳家華</v>
      </c>
      <c r="D3289" s="16" t="str">
        <f>IFERROR(__xludf.DUMMYFUNCTION("""COMPUTED_VALUE"""),"rf1*****@mail.edu.tw")</f>
        <v>rf1*****@mail.edu.tw</v>
      </c>
      <c r="E3289" s="17" t="str">
        <f>IFERROR(__xludf.DUMMYFUNCTION("""COMPUTED_VALUE"""),"嘉義縣梅山鄉瑞峰國民小學")</f>
        <v>嘉義縣梅山鄉瑞峰國民小學</v>
      </c>
      <c r="F3289" s="14" t="str">
        <f>IFERROR(__xludf.DUMMYFUNCTION("""COMPUTED_VALUE"""),"六年級")</f>
        <v>六年級</v>
      </c>
      <c r="G3289" s="14" t="str">
        <f>IFERROR(__xludf.DUMMYFUNCTION("""COMPUTED_VALUE"""),"●小禮物")</f>
        <v>●小禮物</v>
      </c>
      <c r="H3289" s="8"/>
    </row>
    <row r="3290">
      <c r="A3290" s="18"/>
      <c r="B3290" s="14">
        <f>IFERROR(__xludf.DUMMYFUNCTION("""COMPUTED_VALUE"""),654841.0)</f>
        <v>654841</v>
      </c>
      <c r="C3290" s="14" t="str">
        <f>IFERROR(__xludf.DUMMYFUNCTION("""COMPUTED_VALUE"""),"鄭峻憶")</f>
        <v>鄭峻憶</v>
      </c>
      <c r="D3290" s="16" t="str">
        <f>IFERROR(__xludf.DUMMYFUNCTION("""COMPUTED_VALUE"""),"rf1*****@mail.edu.tw")</f>
        <v>rf1*****@mail.edu.tw</v>
      </c>
      <c r="E3290" s="17" t="str">
        <f>IFERROR(__xludf.DUMMYFUNCTION("""COMPUTED_VALUE"""),"嘉義縣梅山鄉瑞峰國民小學")</f>
        <v>嘉義縣梅山鄉瑞峰國民小學</v>
      </c>
      <c r="F3290" s="14" t="str">
        <f>IFERROR(__xludf.DUMMYFUNCTION("""COMPUTED_VALUE"""),"六年級")</f>
        <v>六年級</v>
      </c>
      <c r="G3290" s="14" t="str">
        <f>IFERROR(__xludf.DUMMYFUNCTION("""COMPUTED_VALUE"""),"●小禮物")</f>
        <v>●小禮物</v>
      </c>
      <c r="H3290" s="8"/>
    </row>
    <row r="3291">
      <c r="A3291" s="18"/>
      <c r="B3291" s="14">
        <f>IFERROR(__xludf.DUMMYFUNCTION("""COMPUTED_VALUE"""),741462.0)</f>
        <v>741462</v>
      </c>
      <c r="C3291" s="14" t="str">
        <f>IFERROR(__xludf.DUMMYFUNCTION("""COMPUTED_VALUE"""),"吳岑珍")</f>
        <v>吳岑珍</v>
      </c>
      <c r="D3291" s="16" t="str">
        <f>IFERROR(__xludf.DUMMYFUNCTION("""COMPUTED_VALUE"""),"rf1*****@mail.edu.tw")</f>
        <v>rf1*****@mail.edu.tw</v>
      </c>
      <c r="E3291" s="17" t="str">
        <f>IFERROR(__xludf.DUMMYFUNCTION("""COMPUTED_VALUE"""),"嘉義縣梅山鄉瑞峰國民小學")</f>
        <v>嘉義縣梅山鄉瑞峰國民小學</v>
      </c>
      <c r="F3291" s="14" t="str">
        <f>IFERROR(__xludf.DUMMYFUNCTION("""COMPUTED_VALUE"""),"六年級")</f>
        <v>六年級</v>
      </c>
      <c r="G3291" s="14" t="str">
        <f>IFERROR(__xludf.DUMMYFUNCTION("""COMPUTED_VALUE"""),"獎狀")</f>
        <v>獎狀</v>
      </c>
      <c r="H3291" s="8"/>
    </row>
    <row r="3292">
      <c r="A3292" s="18"/>
      <c r="B3292" s="14">
        <f>IFERROR(__xludf.DUMMYFUNCTION("""COMPUTED_VALUE"""),1200706.0)</f>
        <v>1200706</v>
      </c>
      <c r="C3292" s="14" t="str">
        <f>IFERROR(__xludf.DUMMYFUNCTION("""COMPUTED_VALUE"""),"陳程翔")</f>
        <v>陳程翔</v>
      </c>
      <c r="D3292" s="16" t="str">
        <f>IFERROR(__xludf.DUMMYFUNCTION("""COMPUTED_VALUE"""),"rf1*****@go.edu.tw")</f>
        <v>rf1*****@go.edu.tw</v>
      </c>
      <c r="E3292" s="17" t="str">
        <f>IFERROR(__xludf.DUMMYFUNCTION("""COMPUTED_VALUE"""),"嘉義縣梅山鄉瑞峰國民小學")</f>
        <v>嘉義縣梅山鄉瑞峰國民小學</v>
      </c>
      <c r="F3292" s="14" t="str">
        <f>IFERROR(__xludf.DUMMYFUNCTION("""COMPUTED_VALUE"""),"六年級")</f>
        <v>六年級</v>
      </c>
      <c r="G3292" s="14" t="str">
        <f>IFERROR(__xludf.DUMMYFUNCTION("""COMPUTED_VALUE"""),"●小禮物")</f>
        <v>●小禮物</v>
      </c>
      <c r="H3292" s="8"/>
    </row>
    <row r="3293">
      <c r="A3293" s="18"/>
      <c r="B3293" s="14">
        <f>IFERROR(__xludf.DUMMYFUNCTION("""COMPUTED_VALUE"""),547429.0)</f>
        <v>547429</v>
      </c>
      <c r="C3293" s="14" t="str">
        <f>IFERROR(__xludf.DUMMYFUNCTION("""COMPUTED_VALUE"""),"林芸丞")</f>
        <v>林芸丞</v>
      </c>
      <c r="D3293" s="16" t="str">
        <f>IFERROR(__xludf.DUMMYFUNCTION("""COMPUTED_VALUE"""),"jcp*****79@mail.edu.tw")</f>
        <v>jcp*****79@mail.edu.tw</v>
      </c>
      <c r="E3293" s="17" t="str">
        <f>IFERROR(__xludf.DUMMYFUNCTION("""COMPUTED_VALUE"""),"嘉義縣竹崎鄉竹崎國民小學")</f>
        <v>嘉義縣竹崎鄉竹崎國民小學</v>
      </c>
      <c r="F3293" s="14" t="str">
        <f>IFERROR(__xludf.DUMMYFUNCTION("""COMPUTED_VALUE"""),"六年級")</f>
        <v>六年級</v>
      </c>
      <c r="G3293" s="14" t="str">
        <f>IFERROR(__xludf.DUMMYFUNCTION("""COMPUTED_VALUE"""),"獎狀")</f>
        <v>獎狀</v>
      </c>
      <c r="H3293" s="8"/>
    </row>
    <row r="3294">
      <c r="A3294" s="18"/>
      <c r="B3294" s="14">
        <f>IFERROR(__xludf.DUMMYFUNCTION("""COMPUTED_VALUE"""),877842.0)</f>
        <v>877842</v>
      </c>
      <c r="C3294" s="14" t="str">
        <f>IFERROR(__xludf.DUMMYFUNCTION("""COMPUTED_VALUE"""),"林伊培")</f>
        <v>林伊培</v>
      </c>
      <c r="D3294" s="16" t="str">
        <f>IFERROR(__xludf.DUMMYFUNCTION("""COMPUTED_VALUE"""),"jcp*****5@mail.edu.tw")</f>
        <v>jcp*****5@mail.edu.tw</v>
      </c>
      <c r="E3294" s="17" t="str">
        <f>IFERROR(__xludf.DUMMYFUNCTION("""COMPUTED_VALUE"""),"嘉義縣竹崎鄉竹崎國民小學")</f>
        <v>嘉義縣竹崎鄉竹崎國民小學</v>
      </c>
      <c r="F3294" s="14" t="str">
        <f>IFERROR(__xludf.DUMMYFUNCTION("""COMPUTED_VALUE"""),"六年級")</f>
        <v>六年級</v>
      </c>
      <c r="G3294" s="14" t="str">
        <f>IFERROR(__xludf.DUMMYFUNCTION("""COMPUTED_VALUE"""),"●小禮物")</f>
        <v>●小禮物</v>
      </c>
      <c r="H3294" s="8"/>
    </row>
    <row r="3295">
      <c r="A3295" s="18"/>
      <c r="B3295" s="14">
        <f>IFERROR(__xludf.DUMMYFUNCTION("""COMPUTED_VALUE"""),846419.0)</f>
        <v>846419</v>
      </c>
      <c r="C3295" s="14" t="str">
        <f>IFERROR(__xludf.DUMMYFUNCTION("""COMPUTED_VALUE"""),"王俊博")</f>
        <v>王俊博</v>
      </c>
      <c r="D3295" s="16" t="str">
        <f>IFERROR(__xludf.DUMMYFUNCTION("""COMPUTED_VALUE"""),"jcp*****11@mail.edu.tw")</f>
        <v>jcp*****11@mail.edu.tw</v>
      </c>
      <c r="E3295" s="17" t="str">
        <f>IFERROR(__xludf.DUMMYFUNCTION("""COMPUTED_VALUE"""),"嘉義縣竹崎鄉竹崎國民小學")</f>
        <v>嘉義縣竹崎鄉竹崎國民小學</v>
      </c>
      <c r="F3295" s="14" t="str">
        <f>IFERROR(__xludf.DUMMYFUNCTION("""COMPUTED_VALUE"""),"六年級")</f>
        <v>六年級</v>
      </c>
      <c r="G3295" s="14" t="str">
        <f>IFERROR(__xludf.DUMMYFUNCTION("""COMPUTED_VALUE"""),"●小禮物")</f>
        <v>●小禮物</v>
      </c>
      <c r="H3295" s="8"/>
    </row>
    <row r="3296">
      <c r="A3296" s="18"/>
      <c r="B3296" s="14">
        <f>IFERROR(__xludf.DUMMYFUNCTION("""COMPUTED_VALUE"""),999821.0)</f>
        <v>999821</v>
      </c>
      <c r="C3296" s="14" t="str">
        <f>IFERROR(__xludf.DUMMYFUNCTION("""COMPUTED_VALUE"""),"張柏誠")</f>
        <v>張柏誠</v>
      </c>
      <c r="D3296" s="16" t="str">
        <f>IFERROR(__xludf.DUMMYFUNCTION("""COMPUTED_VALUE"""),"ell*****1030@mail.edu.tw")</f>
        <v>ell*****1030@mail.edu.tw</v>
      </c>
      <c r="E3296" s="17" t="str">
        <f>IFERROR(__xludf.DUMMYFUNCTION("""COMPUTED_VALUE"""),"嘉義縣竹崎鄉龍山國民小學")</f>
        <v>嘉義縣竹崎鄉龍山國民小學</v>
      </c>
      <c r="F3296" s="14" t="str">
        <f>IFERROR(__xludf.DUMMYFUNCTION("""COMPUTED_VALUE"""),"五年級")</f>
        <v>五年級</v>
      </c>
      <c r="G3296" s="14" t="str">
        <f>IFERROR(__xludf.DUMMYFUNCTION("""COMPUTED_VALUE"""),"●小禮物")</f>
        <v>●小禮物</v>
      </c>
      <c r="H3296" s="8"/>
    </row>
    <row r="3297">
      <c r="A3297" s="18"/>
      <c r="B3297" s="14">
        <f>IFERROR(__xludf.DUMMYFUNCTION("""COMPUTED_VALUE"""),420764.0)</f>
        <v>420764</v>
      </c>
      <c r="C3297" s="14" t="str">
        <f>IFERROR(__xludf.DUMMYFUNCTION("""COMPUTED_VALUE"""),"廖柏丞")</f>
        <v>廖柏丞</v>
      </c>
      <c r="D3297" s="16" t="str">
        <f>IFERROR(__xludf.DUMMYFUNCTION("""COMPUTED_VALUE"""),"lsp*****@mail.edu.tw")</f>
        <v>lsp*****@mail.edu.tw</v>
      </c>
      <c r="E3297" s="17" t="str">
        <f>IFERROR(__xludf.DUMMYFUNCTION("""COMPUTED_VALUE"""),"嘉義縣竹崎鄉龍山國民小學")</f>
        <v>嘉義縣竹崎鄉龍山國民小學</v>
      </c>
      <c r="F3297" s="14" t="str">
        <f>IFERROR(__xludf.DUMMYFUNCTION("""COMPUTED_VALUE"""),"六年級")</f>
        <v>六年級</v>
      </c>
      <c r="G3297" s="14" t="str">
        <f>IFERROR(__xludf.DUMMYFUNCTION("""COMPUTED_VALUE"""),"●小禮物")</f>
        <v>●小禮物</v>
      </c>
      <c r="H3297" s="8"/>
    </row>
    <row r="3298">
      <c r="A3298" s="18"/>
      <c r="B3298" s="14">
        <f>IFERROR(__xludf.DUMMYFUNCTION("""COMPUTED_VALUE"""),420763.0)</f>
        <v>420763</v>
      </c>
      <c r="C3298" s="14" t="str">
        <f>IFERROR(__xludf.DUMMYFUNCTION("""COMPUTED_VALUE"""),"黃期業")</f>
        <v>黃期業</v>
      </c>
      <c r="D3298" s="16" t="str">
        <f>IFERROR(__xludf.DUMMYFUNCTION("""COMPUTED_VALUE"""),"lsp*****n@mail.edu.tw")</f>
        <v>lsp*****n@mail.edu.tw</v>
      </c>
      <c r="E3298" s="17" t="str">
        <f>IFERROR(__xludf.DUMMYFUNCTION("""COMPUTED_VALUE"""),"嘉義縣竹崎鄉龍山國民小學")</f>
        <v>嘉義縣竹崎鄉龍山國民小學</v>
      </c>
      <c r="F3298" s="14" t="str">
        <f>IFERROR(__xludf.DUMMYFUNCTION("""COMPUTED_VALUE"""),"六年級")</f>
        <v>六年級</v>
      </c>
      <c r="G3298" s="14" t="str">
        <f>IFERROR(__xludf.DUMMYFUNCTION("""COMPUTED_VALUE"""),"獎狀")</f>
        <v>獎狀</v>
      </c>
      <c r="H3298" s="8"/>
    </row>
    <row r="3299">
      <c r="A3299" s="18"/>
      <c r="B3299" s="14">
        <f>IFERROR(__xludf.DUMMYFUNCTION("""COMPUTED_VALUE"""),1006428.0)</f>
        <v>1006428</v>
      </c>
      <c r="C3299" s="14" t="str">
        <f>IFERROR(__xludf.DUMMYFUNCTION("""COMPUTED_VALUE"""),"莊毓沅")</f>
        <v>莊毓沅</v>
      </c>
      <c r="D3299" s="16" t="str">
        <f>IFERROR(__xludf.DUMMYFUNCTION("""COMPUTED_VALUE"""),"shs*****085@go.edu.tw")</f>
        <v>shs*****085@go.edu.tw</v>
      </c>
      <c r="E3299" s="17" t="str">
        <f>IFERROR(__xludf.DUMMYFUNCTION("""COMPUTED_VALUE"""),"嘉義縣水上鄉水上國民小學")</f>
        <v>嘉義縣水上鄉水上國民小學</v>
      </c>
      <c r="F3299" s="14" t="str">
        <f>IFERROR(__xludf.DUMMYFUNCTION("""COMPUTED_VALUE"""),"四年級")</f>
        <v>四年級</v>
      </c>
      <c r="G3299" s="14" t="str">
        <f>IFERROR(__xludf.DUMMYFUNCTION("""COMPUTED_VALUE"""),"獎狀")</f>
        <v>獎狀</v>
      </c>
      <c r="H3299" s="8"/>
    </row>
    <row r="3300">
      <c r="A3300" s="18"/>
      <c r="B3300" s="14">
        <f>IFERROR(__xludf.DUMMYFUNCTION("""COMPUTED_VALUE"""),939288.0)</f>
        <v>939288</v>
      </c>
      <c r="C3300" s="14" t="str">
        <f>IFERROR(__xludf.DUMMYFUNCTION("""COMPUTED_VALUE"""),"蘇品承")</f>
        <v>蘇品承</v>
      </c>
      <c r="D3300" s="16" t="str">
        <f>IFERROR(__xludf.DUMMYFUNCTION("""COMPUTED_VALUE"""),"shs*****090@mail.edu.tw")</f>
        <v>shs*****090@mail.edu.tw</v>
      </c>
      <c r="E3300" s="17" t="str">
        <f>IFERROR(__xludf.DUMMYFUNCTION("""COMPUTED_VALUE"""),"嘉義縣水上鄉水上國民小學")</f>
        <v>嘉義縣水上鄉水上國民小學</v>
      </c>
      <c r="F3300" s="14" t="str">
        <f>IFERROR(__xludf.DUMMYFUNCTION("""COMPUTED_VALUE"""),"四年級")</f>
        <v>四年級</v>
      </c>
      <c r="G3300" s="14" t="str">
        <f>IFERROR(__xludf.DUMMYFUNCTION("""COMPUTED_VALUE"""),"●小禮物")</f>
        <v>●小禮物</v>
      </c>
      <c r="H3300" s="8"/>
    </row>
    <row r="3301">
      <c r="A3301" s="18"/>
      <c r="B3301" s="14">
        <f>IFERROR(__xludf.DUMMYFUNCTION("""COMPUTED_VALUE"""),249072.0)</f>
        <v>249072</v>
      </c>
      <c r="C3301" s="14" t="str">
        <f>IFERROR(__xludf.DUMMYFUNCTION("""COMPUTED_VALUE"""),"黃瑋婕")</f>
        <v>黃瑋婕</v>
      </c>
      <c r="D3301" s="16" t="str">
        <f>IFERROR(__xludf.DUMMYFUNCTION("""COMPUTED_VALUE"""),"occ*****mail.com")</f>
        <v>occ*****mail.com</v>
      </c>
      <c r="E3301" s="17" t="str">
        <f>IFERROR(__xludf.DUMMYFUNCTION("""COMPUTED_VALUE"""),"嘉義縣水上鄉水上國民小學")</f>
        <v>嘉義縣水上鄉水上國民小學</v>
      </c>
      <c r="F3301" s="14" t="str">
        <f>IFERROR(__xludf.DUMMYFUNCTION("""COMPUTED_VALUE"""),"六年級")</f>
        <v>六年級</v>
      </c>
      <c r="G3301" s="14" t="str">
        <f>IFERROR(__xludf.DUMMYFUNCTION("""COMPUTED_VALUE"""),"●小禮物")</f>
        <v>●小禮物</v>
      </c>
      <c r="H3301" s="8"/>
    </row>
    <row r="3302">
      <c r="A3302" s="18"/>
      <c r="B3302" s="14">
        <f>IFERROR(__xludf.DUMMYFUNCTION("""COMPUTED_VALUE"""),853109.0)</f>
        <v>853109</v>
      </c>
      <c r="C3302" s="14" t="str">
        <f>IFERROR(__xludf.DUMMYFUNCTION("""COMPUTED_VALUE"""),"胡丞佑")</f>
        <v>胡丞佑</v>
      </c>
      <c r="D3302" s="16" t="str">
        <f>IFERROR(__xludf.DUMMYFUNCTION("""COMPUTED_VALUE"""),"jhp*****003@mail.edu.tw")</f>
        <v>jhp*****003@mail.edu.tw</v>
      </c>
      <c r="E3302" s="17" t="str">
        <f>IFERROR(__xludf.DUMMYFUNCTION("""COMPUTED_VALUE"""),"嘉義縣水上鄉忠和國民小學")</f>
        <v>嘉義縣水上鄉忠和國民小學</v>
      </c>
      <c r="F3302" s="14" t="str">
        <f>IFERROR(__xludf.DUMMYFUNCTION("""COMPUTED_VALUE"""),"五年級")</f>
        <v>五年級</v>
      </c>
      <c r="G3302" s="14" t="str">
        <f>IFERROR(__xludf.DUMMYFUNCTION("""COMPUTED_VALUE"""),"●小禮物")</f>
        <v>●小禮物</v>
      </c>
      <c r="H3302" s="8"/>
    </row>
    <row r="3303">
      <c r="A3303" s="18"/>
      <c r="B3303" s="14">
        <f>IFERROR(__xludf.DUMMYFUNCTION("""COMPUTED_VALUE"""),871473.0)</f>
        <v>871473</v>
      </c>
      <c r="C3303" s="14" t="str">
        <f>IFERROR(__xludf.DUMMYFUNCTION("""COMPUTED_VALUE"""),"温育盛")</f>
        <v>温育盛</v>
      </c>
      <c r="D3303" s="16" t="str">
        <f>IFERROR(__xludf.DUMMYFUNCTION("""COMPUTED_VALUE"""),"jhp*****18@mail.edu.tw")</f>
        <v>jhp*****18@mail.edu.tw</v>
      </c>
      <c r="E3303" s="17" t="str">
        <f>IFERROR(__xludf.DUMMYFUNCTION("""COMPUTED_VALUE"""),"嘉義縣水上鄉忠和國民小學")</f>
        <v>嘉義縣水上鄉忠和國民小學</v>
      </c>
      <c r="F3303" s="14" t="str">
        <f>IFERROR(__xludf.DUMMYFUNCTION("""COMPUTED_VALUE"""),"五年級")</f>
        <v>五年級</v>
      </c>
      <c r="G3303" s="14" t="str">
        <f>IFERROR(__xludf.DUMMYFUNCTION("""COMPUTED_VALUE"""),"●小禮物")</f>
        <v>●小禮物</v>
      </c>
      <c r="H3303" s="8"/>
    </row>
    <row r="3304">
      <c r="A3304" s="18"/>
      <c r="B3304" s="14">
        <f>IFERROR(__xludf.DUMMYFUNCTION("""COMPUTED_VALUE"""),853007.0)</f>
        <v>853007</v>
      </c>
      <c r="C3304" s="14" t="str">
        <f>IFERROR(__xludf.DUMMYFUNCTION("""COMPUTED_VALUE"""),"張宸赫")</f>
        <v>張宸赫</v>
      </c>
      <c r="D3304" s="16" t="str">
        <f>IFERROR(__xludf.DUMMYFUNCTION("""COMPUTED_VALUE"""),"jhp*****004@mail.edu.tw")</f>
        <v>jhp*****004@mail.edu.tw</v>
      </c>
      <c r="E3304" s="17" t="str">
        <f>IFERROR(__xludf.DUMMYFUNCTION("""COMPUTED_VALUE"""),"嘉義縣水上鄉忠和國民小學")</f>
        <v>嘉義縣水上鄉忠和國民小學</v>
      </c>
      <c r="F3304" s="14" t="str">
        <f>IFERROR(__xludf.DUMMYFUNCTION("""COMPUTED_VALUE"""),"五年級")</f>
        <v>五年級</v>
      </c>
      <c r="G3304" s="14" t="str">
        <f>IFERROR(__xludf.DUMMYFUNCTION("""COMPUTED_VALUE"""),"獎狀")</f>
        <v>獎狀</v>
      </c>
      <c r="H3304" s="8"/>
    </row>
    <row r="3305">
      <c r="A3305" s="18"/>
      <c r="B3305" s="14">
        <f>IFERROR(__xludf.DUMMYFUNCTION("""COMPUTED_VALUE"""),853071.0)</f>
        <v>853071</v>
      </c>
      <c r="C3305" s="14" t="str">
        <f>IFERROR(__xludf.DUMMYFUNCTION("""COMPUTED_VALUE"""),"陳滋旺")</f>
        <v>陳滋旺</v>
      </c>
      <c r="D3305" s="16" t="str">
        <f>IFERROR(__xludf.DUMMYFUNCTION("""COMPUTED_VALUE"""),"jhp*****013@mail.edu.tw")</f>
        <v>jhp*****013@mail.edu.tw</v>
      </c>
      <c r="E3305" s="17" t="str">
        <f>IFERROR(__xludf.DUMMYFUNCTION("""COMPUTED_VALUE"""),"嘉義縣水上鄉忠和國民小學")</f>
        <v>嘉義縣水上鄉忠和國民小學</v>
      </c>
      <c r="F3305" s="14" t="str">
        <f>IFERROR(__xludf.DUMMYFUNCTION("""COMPUTED_VALUE"""),"五年級")</f>
        <v>五年級</v>
      </c>
      <c r="G3305" s="14" t="str">
        <f>IFERROR(__xludf.DUMMYFUNCTION("""COMPUTED_VALUE"""),"獎狀")</f>
        <v>獎狀</v>
      </c>
      <c r="H3305" s="8"/>
    </row>
    <row r="3306">
      <c r="A3306" s="18"/>
      <c r="B3306" s="14">
        <f>IFERROR(__xludf.DUMMYFUNCTION("""COMPUTED_VALUE"""),871500.0)</f>
        <v>871500</v>
      </c>
      <c r="C3306" s="14" t="str">
        <f>IFERROR(__xludf.DUMMYFUNCTION("""COMPUTED_VALUE"""),"蘇子安")</f>
        <v>蘇子安</v>
      </c>
      <c r="D3306" s="16" t="str">
        <f>IFERROR(__xludf.DUMMYFUNCTION("""COMPUTED_VALUE"""),"jhp*****23@mail.edu.tw")</f>
        <v>jhp*****23@mail.edu.tw</v>
      </c>
      <c r="E3306" s="17" t="str">
        <f>IFERROR(__xludf.DUMMYFUNCTION("""COMPUTED_VALUE"""),"嘉義縣水上鄉忠和國民小學")</f>
        <v>嘉義縣水上鄉忠和國民小學</v>
      </c>
      <c r="F3306" s="14" t="str">
        <f>IFERROR(__xludf.DUMMYFUNCTION("""COMPUTED_VALUE"""),"五年級")</f>
        <v>五年級</v>
      </c>
      <c r="G3306" s="14" t="str">
        <f>IFERROR(__xludf.DUMMYFUNCTION("""COMPUTED_VALUE"""),"獎狀")</f>
        <v>獎狀</v>
      </c>
      <c r="H3306" s="8"/>
    </row>
    <row r="3307">
      <c r="A3307" s="18"/>
      <c r="B3307" s="14">
        <f>IFERROR(__xludf.DUMMYFUNCTION("""COMPUTED_VALUE"""),527440.0)</f>
        <v>527440</v>
      </c>
      <c r="C3307" s="14" t="str">
        <f>IFERROR(__xludf.DUMMYFUNCTION("""COMPUTED_VALUE"""),"施妏樺")</f>
        <v>施妏樺</v>
      </c>
      <c r="D3307" s="16" t="str">
        <f>IFERROR(__xludf.DUMMYFUNCTION("""COMPUTED_VALUE"""),"clp*****3@mail.edu.tw")</f>
        <v>clp*****3@mail.edu.tw</v>
      </c>
      <c r="E3307" s="17" t="str">
        <f>IFERROR(__xludf.DUMMYFUNCTION("""COMPUTED_VALUE"""),"嘉義縣鹿草鄉重寮國民小學")</f>
        <v>嘉義縣鹿草鄉重寮國民小學</v>
      </c>
      <c r="F3307" s="14" t="str">
        <f>IFERROR(__xludf.DUMMYFUNCTION("""COMPUTED_VALUE"""),"五年級")</f>
        <v>五年級</v>
      </c>
      <c r="G3307" s="14" t="str">
        <f>IFERROR(__xludf.DUMMYFUNCTION("""COMPUTED_VALUE"""),"●小禮物")</f>
        <v>●小禮物</v>
      </c>
      <c r="H3307" s="8"/>
    </row>
    <row r="3308">
      <c r="A3308" s="18"/>
      <c r="B3308" s="14">
        <f>IFERROR(__xludf.DUMMYFUNCTION("""COMPUTED_VALUE"""),1023417.0)</f>
        <v>1023417</v>
      </c>
      <c r="C3308" s="14" t="str">
        <f>IFERROR(__xludf.DUMMYFUNCTION("""COMPUTED_VALUE"""),"王于睿")</f>
        <v>王于睿</v>
      </c>
      <c r="D3308" s="16" t="str">
        <f>IFERROR(__xludf.DUMMYFUNCTION("""COMPUTED_VALUE"""),"nsp*****33@mail.edu.tw")</f>
        <v>nsp*****33@mail.edu.tw</v>
      </c>
      <c r="E3308" s="17" t="str">
        <f>IFERROR(__xludf.DUMMYFUNCTION("""COMPUTED_VALUE"""),"嘉義縣太保市南新國民小學")</f>
        <v>嘉義縣太保市南新國民小學</v>
      </c>
      <c r="F3308" s="14" t="str">
        <f>IFERROR(__xludf.DUMMYFUNCTION("""COMPUTED_VALUE"""),"五年級")</f>
        <v>五年級</v>
      </c>
      <c r="G3308" s="14" t="str">
        <f>IFERROR(__xludf.DUMMYFUNCTION("""COMPUTED_VALUE"""),"●小禮物")</f>
        <v>●小禮物</v>
      </c>
      <c r="H3308" s="8"/>
    </row>
    <row r="3309">
      <c r="A3309" s="18"/>
      <c r="B3309" s="14">
        <f>IFERROR(__xludf.DUMMYFUNCTION("""COMPUTED_VALUE"""),1046503.0)</f>
        <v>1046503</v>
      </c>
      <c r="C3309" s="14" t="str">
        <f>IFERROR(__xludf.DUMMYFUNCTION("""COMPUTED_VALUE"""),"吳和諺")</f>
        <v>吳和諺</v>
      </c>
      <c r="D3309" s="16" t="str">
        <f>IFERROR(__xludf.DUMMYFUNCTION("""COMPUTED_VALUE"""),"nsp*****54@mail.edu.tw")</f>
        <v>nsp*****54@mail.edu.tw</v>
      </c>
      <c r="E3309" s="17" t="str">
        <f>IFERROR(__xludf.DUMMYFUNCTION("""COMPUTED_VALUE"""),"嘉義縣太保市南新國民小學")</f>
        <v>嘉義縣太保市南新國民小學</v>
      </c>
      <c r="F3309" s="14" t="str">
        <f>IFERROR(__xludf.DUMMYFUNCTION("""COMPUTED_VALUE"""),"五年級")</f>
        <v>五年級</v>
      </c>
      <c r="G3309" s="14" t="str">
        <f>IFERROR(__xludf.DUMMYFUNCTION("""COMPUTED_VALUE"""),"●小禮物")</f>
        <v>●小禮物</v>
      </c>
      <c r="H3309" s="8"/>
    </row>
    <row r="3310">
      <c r="A3310" s="18"/>
      <c r="B3310" s="14">
        <f>IFERROR(__xludf.DUMMYFUNCTION("""COMPUTED_VALUE"""),927152.0)</f>
        <v>927152</v>
      </c>
      <c r="C3310" s="14" t="str">
        <f>IFERROR(__xludf.DUMMYFUNCTION("""COMPUTED_VALUE"""),"陳昱維")</f>
        <v>陳昱維</v>
      </c>
      <c r="D3310" s="16" t="str">
        <f>IFERROR(__xludf.DUMMYFUNCTION("""COMPUTED_VALUE"""),"nsp*****85@mail.edu.tw")</f>
        <v>nsp*****85@mail.edu.tw</v>
      </c>
      <c r="E3310" s="17" t="str">
        <f>IFERROR(__xludf.DUMMYFUNCTION("""COMPUTED_VALUE"""),"嘉義縣太保市南新國民小學")</f>
        <v>嘉義縣太保市南新國民小學</v>
      </c>
      <c r="F3310" s="14" t="str">
        <f>IFERROR(__xludf.DUMMYFUNCTION("""COMPUTED_VALUE"""),"五年級")</f>
        <v>五年級</v>
      </c>
      <c r="G3310" s="14" t="str">
        <f>IFERROR(__xludf.DUMMYFUNCTION("""COMPUTED_VALUE"""),"●小禮物")</f>
        <v>●小禮物</v>
      </c>
      <c r="H3310" s="8"/>
    </row>
    <row r="3311">
      <c r="A3311" s="18"/>
      <c r="B3311" s="14">
        <f>IFERROR(__xludf.DUMMYFUNCTION("""COMPUTED_VALUE"""),1017750.0)</f>
        <v>1017750</v>
      </c>
      <c r="C3311" s="14" t="str">
        <f>IFERROR(__xludf.DUMMYFUNCTION("""COMPUTED_VALUE"""),"陳羿潸")</f>
        <v>陳羿潸</v>
      </c>
      <c r="D3311" s="16" t="str">
        <f>IFERROR(__xludf.DUMMYFUNCTION("""COMPUTED_VALUE"""),"nsp*****21@mail.edu.tw")</f>
        <v>nsp*****21@mail.edu.tw</v>
      </c>
      <c r="E3311" s="17" t="str">
        <f>IFERROR(__xludf.DUMMYFUNCTION("""COMPUTED_VALUE"""),"嘉義縣太保市南新國民小學")</f>
        <v>嘉義縣太保市南新國民小學</v>
      </c>
      <c r="F3311" s="14" t="str">
        <f>IFERROR(__xludf.DUMMYFUNCTION("""COMPUTED_VALUE"""),"五年級")</f>
        <v>五年級</v>
      </c>
      <c r="G3311" s="14" t="str">
        <f>IFERROR(__xludf.DUMMYFUNCTION("""COMPUTED_VALUE"""),"●小禮物")</f>
        <v>●小禮物</v>
      </c>
      <c r="H3311" s="8"/>
    </row>
    <row r="3312">
      <c r="A3312" s="18"/>
      <c r="B3312" s="14">
        <f>IFERROR(__xludf.DUMMYFUNCTION("""COMPUTED_VALUE"""),1036507.0)</f>
        <v>1036507</v>
      </c>
      <c r="C3312" s="14" t="str">
        <f>IFERROR(__xludf.DUMMYFUNCTION("""COMPUTED_VALUE"""),"葉孟杰")</f>
        <v>葉孟杰</v>
      </c>
      <c r="D3312" s="16" t="str">
        <f>IFERROR(__xludf.DUMMYFUNCTION("""COMPUTED_VALUE"""),"nsp*****07@mail.edu.tw")</f>
        <v>nsp*****07@mail.edu.tw</v>
      </c>
      <c r="E3312" s="17" t="str">
        <f>IFERROR(__xludf.DUMMYFUNCTION("""COMPUTED_VALUE"""),"嘉義縣太保市南新國民小學")</f>
        <v>嘉義縣太保市南新國民小學</v>
      </c>
      <c r="F3312" s="14" t="str">
        <f>IFERROR(__xludf.DUMMYFUNCTION("""COMPUTED_VALUE"""),"五年級")</f>
        <v>五年級</v>
      </c>
      <c r="G3312" s="14" t="str">
        <f>IFERROR(__xludf.DUMMYFUNCTION("""COMPUTED_VALUE"""),"●小禮物")</f>
        <v>●小禮物</v>
      </c>
      <c r="H3312" s="8"/>
    </row>
    <row r="3313">
      <c r="A3313" s="18"/>
      <c r="B3313" s="14">
        <f>IFERROR(__xludf.DUMMYFUNCTION("""COMPUTED_VALUE"""),911934.0)</f>
        <v>911934</v>
      </c>
      <c r="C3313" s="14" t="str">
        <f>IFERROR(__xludf.DUMMYFUNCTION("""COMPUTED_VALUE"""),"盧俋諠")</f>
        <v>盧俋諠</v>
      </c>
      <c r="D3313" s="16" t="str">
        <f>IFERROR(__xludf.DUMMYFUNCTION("""COMPUTED_VALUE"""),"nsp*****81@mail.edu.tw")</f>
        <v>nsp*****81@mail.edu.tw</v>
      </c>
      <c r="E3313" s="17" t="str">
        <f>IFERROR(__xludf.DUMMYFUNCTION("""COMPUTED_VALUE"""),"嘉義縣太保市南新國民小學")</f>
        <v>嘉義縣太保市南新國民小學</v>
      </c>
      <c r="F3313" s="14" t="str">
        <f>IFERROR(__xludf.DUMMYFUNCTION("""COMPUTED_VALUE"""),"五年級")</f>
        <v>五年級</v>
      </c>
      <c r="G3313" s="14" t="str">
        <f>IFERROR(__xludf.DUMMYFUNCTION("""COMPUTED_VALUE"""),"●小禮物")</f>
        <v>●小禮物</v>
      </c>
      <c r="H3313" s="8"/>
    </row>
    <row r="3314">
      <c r="A3314" s="18"/>
      <c r="B3314" s="14">
        <f>IFERROR(__xludf.DUMMYFUNCTION("""COMPUTED_VALUE"""),1037857.0)</f>
        <v>1037857</v>
      </c>
      <c r="C3314" s="14" t="str">
        <f>IFERROR(__xludf.DUMMYFUNCTION("""COMPUTED_VALUE"""),"許子承")</f>
        <v>許子承</v>
      </c>
      <c r="D3314" s="16" t="str">
        <f>IFERROR(__xludf.DUMMYFUNCTION("""COMPUTED_VALUE"""),"nsp*****39@mail.edu.tw")</f>
        <v>nsp*****39@mail.edu.tw</v>
      </c>
      <c r="E3314" s="17" t="str">
        <f>IFERROR(__xludf.DUMMYFUNCTION("""COMPUTED_VALUE"""),"嘉義縣太保市南新國民小學")</f>
        <v>嘉義縣太保市南新國民小學</v>
      </c>
      <c r="F3314" s="14" t="str">
        <f>IFERROR(__xludf.DUMMYFUNCTION("""COMPUTED_VALUE"""),"五年級")</f>
        <v>五年級</v>
      </c>
      <c r="G3314" s="14" t="str">
        <f>IFERROR(__xludf.DUMMYFUNCTION("""COMPUTED_VALUE"""),"獎狀")</f>
        <v>獎狀</v>
      </c>
      <c r="H3314" s="8"/>
    </row>
    <row r="3315">
      <c r="A3315" s="18"/>
      <c r="B3315" s="14">
        <f>IFERROR(__xludf.DUMMYFUNCTION("""COMPUTED_VALUE"""),1027381.0)</f>
        <v>1027381</v>
      </c>
      <c r="C3315" s="14" t="str">
        <f>IFERROR(__xludf.DUMMYFUNCTION("""COMPUTED_VALUE"""),"陳湘緹")</f>
        <v>陳湘緹</v>
      </c>
      <c r="D3315" s="16" t="str">
        <f>IFERROR(__xludf.DUMMYFUNCTION("""COMPUTED_VALUE"""),"nsp*****50@mail.edu.tw")</f>
        <v>nsp*****50@mail.edu.tw</v>
      </c>
      <c r="E3315" s="17" t="str">
        <f>IFERROR(__xludf.DUMMYFUNCTION("""COMPUTED_VALUE"""),"嘉義縣太保市南新國民小學")</f>
        <v>嘉義縣太保市南新國民小學</v>
      </c>
      <c r="F3315" s="14" t="str">
        <f>IFERROR(__xludf.DUMMYFUNCTION("""COMPUTED_VALUE"""),"五年級")</f>
        <v>五年級</v>
      </c>
      <c r="G3315" s="14" t="str">
        <f>IFERROR(__xludf.DUMMYFUNCTION("""COMPUTED_VALUE"""),"獎狀")</f>
        <v>獎狀</v>
      </c>
      <c r="H3315" s="8"/>
    </row>
    <row r="3316">
      <c r="A3316" s="18"/>
      <c r="B3316" s="14">
        <f>IFERROR(__xludf.DUMMYFUNCTION("""COMPUTED_VALUE"""),1017109.0)</f>
        <v>1017109</v>
      </c>
      <c r="C3316" s="14" t="str">
        <f>IFERROR(__xludf.DUMMYFUNCTION("""COMPUTED_VALUE"""),"游承豪")</f>
        <v>游承豪</v>
      </c>
      <c r="D3316" s="16" t="str">
        <f>IFERROR(__xludf.DUMMYFUNCTION("""COMPUTED_VALUE"""),"nsp*****40@mail.edu.tw")</f>
        <v>nsp*****40@mail.edu.tw</v>
      </c>
      <c r="E3316" s="17" t="str">
        <f>IFERROR(__xludf.DUMMYFUNCTION("""COMPUTED_VALUE"""),"嘉義縣太保市南新國民小學")</f>
        <v>嘉義縣太保市南新國民小學</v>
      </c>
      <c r="F3316" s="14" t="str">
        <f>IFERROR(__xludf.DUMMYFUNCTION("""COMPUTED_VALUE"""),"五年級")</f>
        <v>五年級</v>
      </c>
      <c r="G3316" s="14" t="str">
        <f>IFERROR(__xludf.DUMMYFUNCTION("""COMPUTED_VALUE"""),"獎狀")</f>
        <v>獎狀</v>
      </c>
      <c r="H3316" s="8"/>
    </row>
    <row r="3317">
      <c r="A3317" s="18"/>
      <c r="B3317" s="14">
        <f>IFERROR(__xludf.DUMMYFUNCTION("""COMPUTED_VALUE"""),1020949.0)</f>
        <v>1020949</v>
      </c>
      <c r="C3317" s="14" t="str">
        <f>IFERROR(__xludf.DUMMYFUNCTION("""COMPUTED_VALUE"""),"黃貞甄")</f>
        <v>黃貞甄</v>
      </c>
      <c r="D3317" s="16" t="str">
        <f>IFERROR(__xludf.DUMMYFUNCTION("""COMPUTED_VALUE"""),"nsp*****95@mail.edu.tw")</f>
        <v>nsp*****95@mail.edu.tw</v>
      </c>
      <c r="E3317" s="17" t="str">
        <f>IFERROR(__xludf.DUMMYFUNCTION("""COMPUTED_VALUE"""),"嘉義縣太保市南新國民小學")</f>
        <v>嘉義縣太保市南新國民小學</v>
      </c>
      <c r="F3317" s="14" t="str">
        <f>IFERROR(__xludf.DUMMYFUNCTION("""COMPUTED_VALUE"""),"五年級")</f>
        <v>五年級</v>
      </c>
      <c r="G3317" s="14" t="str">
        <f>IFERROR(__xludf.DUMMYFUNCTION("""COMPUTED_VALUE"""),"獎狀")</f>
        <v>獎狀</v>
      </c>
      <c r="H3317" s="8"/>
    </row>
    <row r="3318">
      <c r="A3318" s="18"/>
      <c r="B3318" s="14">
        <f>IFERROR(__xludf.DUMMYFUNCTION("""COMPUTED_VALUE"""),1037249.0)</f>
        <v>1037249</v>
      </c>
      <c r="C3318" s="14" t="str">
        <f>IFERROR(__xludf.DUMMYFUNCTION("""COMPUTED_VALUE"""),"黃嘉右")</f>
        <v>黃嘉右</v>
      </c>
      <c r="D3318" s="16" t="str">
        <f>IFERROR(__xludf.DUMMYFUNCTION("""COMPUTED_VALUE"""),"nsp*****82@mail.edu.tw")</f>
        <v>nsp*****82@mail.edu.tw</v>
      </c>
      <c r="E3318" s="17" t="str">
        <f>IFERROR(__xludf.DUMMYFUNCTION("""COMPUTED_VALUE"""),"嘉義縣太保市南新國民小學")</f>
        <v>嘉義縣太保市南新國民小學</v>
      </c>
      <c r="F3318" s="14" t="str">
        <f>IFERROR(__xludf.DUMMYFUNCTION("""COMPUTED_VALUE"""),"五年級")</f>
        <v>五年級</v>
      </c>
      <c r="G3318" s="14" t="str">
        <f>IFERROR(__xludf.DUMMYFUNCTION("""COMPUTED_VALUE"""),"獎狀")</f>
        <v>獎狀</v>
      </c>
      <c r="H3318" s="8"/>
    </row>
    <row r="3319">
      <c r="A3319" s="18"/>
      <c r="B3319" s="14">
        <f>IFERROR(__xludf.DUMMYFUNCTION("""COMPUTED_VALUE"""),1019548.0)</f>
        <v>1019548</v>
      </c>
      <c r="C3319" s="14" t="str">
        <f>IFERROR(__xludf.DUMMYFUNCTION("""COMPUTED_VALUE"""),"潘旻蕙")</f>
        <v>潘旻蕙</v>
      </c>
      <c r="D3319" s="16" t="str">
        <f>IFERROR(__xludf.DUMMYFUNCTION("""COMPUTED_VALUE"""),"nsp*****14@mail.edu.tw")</f>
        <v>nsp*****14@mail.edu.tw</v>
      </c>
      <c r="E3319" s="17" t="str">
        <f>IFERROR(__xludf.DUMMYFUNCTION("""COMPUTED_VALUE"""),"嘉義縣太保市南新國民小學")</f>
        <v>嘉義縣太保市南新國民小學</v>
      </c>
      <c r="F3319" s="14" t="str">
        <f>IFERROR(__xludf.DUMMYFUNCTION("""COMPUTED_VALUE"""),"五年級")</f>
        <v>五年級</v>
      </c>
      <c r="G3319" s="14" t="str">
        <f>IFERROR(__xludf.DUMMYFUNCTION("""COMPUTED_VALUE"""),"獎狀")</f>
        <v>獎狀</v>
      </c>
      <c r="H3319" s="8"/>
    </row>
    <row r="3320">
      <c r="A3320" s="18"/>
      <c r="B3320" s="14">
        <f>IFERROR(__xludf.DUMMYFUNCTION("""COMPUTED_VALUE"""),247922.0)</f>
        <v>247922</v>
      </c>
      <c r="C3320" s="14" t="str">
        <f>IFERROR(__xludf.DUMMYFUNCTION("""COMPUTED_VALUE"""),"林昀言")</f>
        <v>林昀言</v>
      </c>
      <c r="D3320" s="16" t="str">
        <f>IFERROR(__xludf.DUMMYFUNCTION("""COMPUTED_VALUE"""),"dia*****2370287@mail.edu.tw")</f>
        <v>dia*****2370287@mail.edu.tw</v>
      </c>
      <c r="E3320" s="17" t="str">
        <f>IFERROR(__xludf.DUMMYFUNCTION("""COMPUTED_VALUE"""),"嘉義縣太保市南新國民小學")</f>
        <v>嘉義縣太保市南新國民小學</v>
      </c>
      <c r="F3320" s="14" t="str">
        <f>IFERROR(__xludf.DUMMYFUNCTION("""COMPUTED_VALUE"""),"六年級")</f>
        <v>六年級</v>
      </c>
      <c r="G3320" s="14" t="str">
        <f>IFERROR(__xludf.DUMMYFUNCTION("""COMPUTED_VALUE"""),"●小禮物")</f>
        <v>●小禮物</v>
      </c>
      <c r="H3320" s="8"/>
    </row>
    <row r="3321">
      <c r="A3321" s="18"/>
      <c r="B3321" s="14">
        <f>IFERROR(__xludf.DUMMYFUNCTION("""COMPUTED_VALUE"""),870692.0)</f>
        <v>870692</v>
      </c>
      <c r="C3321" s="14" t="str">
        <f>IFERROR(__xludf.DUMMYFUNCTION("""COMPUTED_VALUE"""),"邱苡彣")</f>
        <v>邱苡彣</v>
      </c>
      <c r="D3321" s="16" t="str">
        <f>IFERROR(__xludf.DUMMYFUNCTION("""COMPUTED_VALUE"""),"q30*****ail.edu.tw")</f>
        <v>q30*****ail.edu.tw</v>
      </c>
      <c r="E3321" s="17" t="str">
        <f>IFERROR(__xludf.DUMMYFUNCTION("""COMPUTED_VALUE"""),"嘉義縣太保市南新國民小學")</f>
        <v>嘉義縣太保市南新國民小學</v>
      </c>
      <c r="F3321" s="14" t="str">
        <f>IFERROR(__xludf.DUMMYFUNCTION("""COMPUTED_VALUE"""),"六年級")</f>
        <v>六年級</v>
      </c>
      <c r="G3321" s="14" t="str">
        <f>IFERROR(__xludf.DUMMYFUNCTION("""COMPUTED_VALUE"""),"●小禮物")</f>
        <v>●小禮物</v>
      </c>
      <c r="H3321" s="8"/>
    </row>
    <row r="3322">
      <c r="A3322" s="18"/>
      <c r="B3322" s="14">
        <f>IFERROR(__xludf.DUMMYFUNCTION("""COMPUTED_VALUE"""),1080146.0)</f>
        <v>1080146</v>
      </c>
      <c r="C3322" s="14" t="str">
        <f>IFERROR(__xludf.DUMMYFUNCTION("""COMPUTED_VALUE"""),"黃承恩")</f>
        <v>黃承恩</v>
      </c>
      <c r="D3322" s="16" t="str">
        <f>IFERROR(__xludf.DUMMYFUNCTION("""COMPUTED_VALUE"""),"cyc*****08067@mail.edu.tw")</f>
        <v>cyc*****08067@mail.edu.tw</v>
      </c>
      <c r="E3322" s="17" t="str">
        <f>IFERROR(__xludf.DUMMYFUNCTION("""COMPUTED_VALUE"""),"嘉義縣朴子市朴子國民小學")</f>
        <v>嘉義縣朴子市朴子國民小學</v>
      </c>
      <c r="F3322" s="14" t="str">
        <f>IFERROR(__xludf.DUMMYFUNCTION("""COMPUTED_VALUE"""),"四年級")</f>
        <v>四年級</v>
      </c>
      <c r="G3322" s="14" t="str">
        <f>IFERROR(__xludf.DUMMYFUNCTION("""COMPUTED_VALUE"""),"獎狀")</f>
        <v>獎狀</v>
      </c>
      <c r="H3322" s="8"/>
    </row>
    <row r="3323">
      <c r="A3323" s="18"/>
      <c r="B3323" s="14">
        <f>IFERROR(__xludf.DUMMYFUNCTION("""COMPUTED_VALUE"""),1047982.0)</f>
        <v>1047982</v>
      </c>
      <c r="C3323" s="14" t="str">
        <f>IFERROR(__xludf.DUMMYFUNCTION("""COMPUTED_VALUE"""),"楊凱涵")</f>
        <v>楊凱涵</v>
      </c>
      <c r="D3323" s="16" t="str">
        <f>IFERROR(__xludf.DUMMYFUNCTION("""COMPUTED_VALUE"""),"car*****ail.edu.tw")</f>
        <v>car*****ail.edu.tw</v>
      </c>
      <c r="E3323" s="17" t="str">
        <f>IFERROR(__xludf.DUMMYFUNCTION("""COMPUTED_VALUE"""),"嘉義縣朴子市朴子國民小學")</f>
        <v>嘉義縣朴子市朴子國民小學</v>
      </c>
      <c r="F3323" s="14" t="str">
        <f>IFERROR(__xludf.DUMMYFUNCTION("""COMPUTED_VALUE"""),"六年級")</f>
        <v>六年級</v>
      </c>
      <c r="G3323" s="14" t="str">
        <f>IFERROR(__xludf.DUMMYFUNCTION("""COMPUTED_VALUE"""),"●小禮物")</f>
        <v>●小禮物</v>
      </c>
      <c r="H3323" s="8"/>
    </row>
    <row r="3324">
      <c r="A3324" s="18"/>
      <c r="B3324" s="14">
        <f>IFERROR(__xludf.DUMMYFUNCTION("""COMPUTED_VALUE"""),1051161.0)</f>
        <v>1051161</v>
      </c>
      <c r="C3324" s="14" t="str">
        <f>IFERROR(__xludf.DUMMYFUNCTION("""COMPUTED_VALUE"""),"黃思妤")</f>
        <v>黃思妤</v>
      </c>
      <c r="D3324" s="16" t="str">
        <f>IFERROR(__xludf.DUMMYFUNCTION("""COMPUTED_VALUE"""),"cyc*****0423@mail.edu.tw")</f>
        <v>cyc*****0423@mail.edu.tw</v>
      </c>
      <c r="E3324" s="17" t="str">
        <f>IFERROR(__xludf.DUMMYFUNCTION("""COMPUTED_VALUE"""),"嘉義縣朴子市朴子國民小學")</f>
        <v>嘉義縣朴子市朴子國民小學</v>
      </c>
      <c r="F3324" s="14" t="str">
        <f>IFERROR(__xludf.DUMMYFUNCTION("""COMPUTED_VALUE"""),"六年級")</f>
        <v>六年級</v>
      </c>
      <c r="G3324" s="14" t="str">
        <f>IFERROR(__xludf.DUMMYFUNCTION("""COMPUTED_VALUE"""),"獎狀")</f>
        <v>獎狀</v>
      </c>
      <c r="H3324" s="8"/>
    </row>
    <row r="3325">
      <c r="A3325" s="18"/>
      <c r="B3325" s="14">
        <f>IFERROR(__xludf.DUMMYFUNCTION("""COMPUTED_VALUE"""),919444.0)</f>
        <v>919444</v>
      </c>
      <c r="C3325" s="14" t="str">
        <f>IFERROR(__xludf.DUMMYFUNCTION("""COMPUTED_VALUE"""),"林昂徵")</f>
        <v>林昂徵</v>
      </c>
      <c r="D3325" s="16" t="str">
        <f>IFERROR(__xludf.DUMMYFUNCTION("""COMPUTED_VALUE"""),"sss*****@mail.edu.tw")</f>
        <v>sss*****@mail.edu.tw</v>
      </c>
      <c r="E3325" s="17" t="str">
        <f>IFERROR(__xludf.DUMMYFUNCTION("""COMPUTED_VALUE"""),"嘉義縣朴子市松梅國民小學")</f>
        <v>嘉義縣朴子市松梅國民小學</v>
      </c>
      <c r="F3325" s="14" t="str">
        <f>IFERROR(__xludf.DUMMYFUNCTION("""COMPUTED_VALUE"""),"四年級")</f>
        <v>四年級</v>
      </c>
      <c r="G3325" s="14" t="str">
        <f>IFERROR(__xludf.DUMMYFUNCTION("""COMPUTED_VALUE"""),"●小禮物")</f>
        <v>●小禮物</v>
      </c>
      <c r="H3325" s="8"/>
    </row>
    <row r="3326">
      <c r="A3326" s="18"/>
      <c r="B3326" s="14">
        <f>IFERROR(__xludf.DUMMYFUNCTION("""COMPUTED_VALUE"""),924061.0)</f>
        <v>924061</v>
      </c>
      <c r="C3326" s="14" t="str">
        <f>IFERROR(__xludf.DUMMYFUNCTION("""COMPUTED_VALUE"""),"翁珮玲")</f>
        <v>翁珮玲</v>
      </c>
      <c r="D3326" s="16" t="str">
        <f>IFERROR(__xludf.DUMMYFUNCTION("""COMPUTED_VALUE"""),"sss*****@mail.edu.tw")</f>
        <v>sss*****@mail.edu.tw</v>
      </c>
      <c r="E3326" s="17" t="str">
        <f>IFERROR(__xludf.DUMMYFUNCTION("""COMPUTED_VALUE"""),"嘉義縣朴子市松梅國民小學")</f>
        <v>嘉義縣朴子市松梅國民小學</v>
      </c>
      <c r="F3326" s="14" t="str">
        <f>IFERROR(__xludf.DUMMYFUNCTION("""COMPUTED_VALUE"""),"四年級")</f>
        <v>四年級</v>
      </c>
      <c r="G3326" s="14" t="str">
        <f>IFERROR(__xludf.DUMMYFUNCTION("""COMPUTED_VALUE"""),"●小禮物")</f>
        <v>●小禮物</v>
      </c>
      <c r="H3326" s="8"/>
    </row>
    <row r="3327">
      <c r="A3327" s="18"/>
      <c r="B3327" s="14">
        <f>IFERROR(__xludf.DUMMYFUNCTION("""COMPUTED_VALUE"""),580445.0)</f>
        <v>580445</v>
      </c>
      <c r="C3327" s="14" t="str">
        <f>IFERROR(__xludf.DUMMYFUNCTION("""COMPUTED_VALUE"""),"曾昱晨")</f>
        <v>曾昱晨</v>
      </c>
      <c r="D3327" s="16" t="str">
        <f>IFERROR(__xludf.DUMMYFUNCTION("""COMPUTED_VALUE"""),"sss*****@mail.edu.tw")</f>
        <v>sss*****@mail.edu.tw</v>
      </c>
      <c r="E3327" s="17" t="str">
        <f>IFERROR(__xludf.DUMMYFUNCTION("""COMPUTED_VALUE"""),"嘉義縣朴子市松梅國民小學")</f>
        <v>嘉義縣朴子市松梅國民小學</v>
      </c>
      <c r="F3327" s="14" t="str">
        <f>IFERROR(__xludf.DUMMYFUNCTION("""COMPUTED_VALUE"""),"四年級")</f>
        <v>四年級</v>
      </c>
      <c r="G3327" s="14" t="str">
        <f>IFERROR(__xludf.DUMMYFUNCTION("""COMPUTED_VALUE"""),"●小禮物")</f>
        <v>●小禮物</v>
      </c>
      <c r="H3327" s="8"/>
    </row>
    <row r="3328">
      <c r="A3328" s="18"/>
      <c r="B3328" s="14">
        <f>IFERROR(__xludf.DUMMYFUNCTION("""COMPUTED_VALUE"""),916745.0)</f>
        <v>916745</v>
      </c>
      <c r="C3328" s="14" t="str">
        <f>IFERROR(__xludf.DUMMYFUNCTION("""COMPUTED_VALUE"""),"周子甯")</f>
        <v>周子甯</v>
      </c>
      <c r="D3328" s="16" t="str">
        <f>IFERROR(__xludf.DUMMYFUNCTION("""COMPUTED_VALUE"""),"smp*****06@mail.edu.tw")</f>
        <v>smp*****06@mail.edu.tw</v>
      </c>
      <c r="E3328" s="17" t="str">
        <f>IFERROR(__xludf.DUMMYFUNCTION("""COMPUTED_VALUE"""),"嘉義縣朴子市松梅國民小學")</f>
        <v>嘉義縣朴子市松梅國民小學</v>
      </c>
      <c r="F3328" s="14" t="str">
        <f>IFERROR(__xludf.DUMMYFUNCTION("""COMPUTED_VALUE"""),"五年級")</f>
        <v>五年級</v>
      </c>
      <c r="G3328" s="14" t="str">
        <f>IFERROR(__xludf.DUMMYFUNCTION("""COMPUTED_VALUE"""),"●小禮物")</f>
        <v>●小禮物</v>
      </c>
      <c r="H3328" s="8"/>
    </row>
    <row r="3329">
      <c r="A3329" s="18"/>
      <c r="B3329" s="14">
        <f>IFERROR(__xludf.DUMMYFUNCTION("""COMPUTED_VALUE"""),920199.0)</f>
        <v>920199</v>
      </c>
      <c r="C3329" s="14" t="str">
        <f>IFERROR(__xludf.DUMMYFUNCTION("""COMPUTED_VALUE"""),"林岢漫")</f>
        <v>林岢漫</v>
      </c>
      <c r="D3329" s="16" t="str">
        <f>IFERROR(__xludf.DUMMYFUNCTION("""COMPUTED_VALUE"""),"aaa*****@mail.edu.tw")</f>
        <v>aaa*****@mail.edu.tw</v>
      </c>
      <c r="E3329" s="17" t="str">
        <f>IFERROR(__xludf.DUMMYFUNCTION("""COMPUTED_VALUE"""),"嘉義縣朴子市松梅國民小學")</f>
        <v>嘉義縣朴子市松梅國民小學</v>
      </c>
      <c r="F3329" s="14" t="str">
        <f>IFERROR(__xludf.DUMMYFUNCTION("""COMPUTED_VALUE"""),"六年級")</f>
        <v>六年級</v>
      </c>
      <c r="G3329" s="14" t="str">
        <f>IFERROR(__xludf.DUMMYFUNCTION("""COMPUTED_VALUE"""),"獎狀")</f>
        <v>獎狀</v>
      </c>
      <c r="H3329" s="8"/>
    </row>
    <row r="3330">
      <c r="A3330" s="18"/>
      <c r="B3330" s="14">
        <f>IFERROR(__xludf.DUMMYFUNCTION("""COMPUTED_VALUE"""),1121302.0)</f>
        <v>1121302</v>
      </c>
      <c r="C3330" s="14" t="str">
        <f>IFERROR(__xludf.DUMMYFUNCTION("""COMPUTED_VALUE"""),"薛育任")</f>
        <v>薛育任</v>
      </c>
      <c r="D3330" s="16" t="str">
        <f>IFERROR(__xludf.DUMMYFUNCTION("""COMPUTED_VALUE"""),"aar*****02@go.edu.tw")</f>
        <v>aar*****02@go.edu.tw</v>
      </c>
      <c r="E3330" s="17" t="str">
        <f>IFERROR(__xludf.DUMMYFUNCTION("""COMPUTED_VALUE"""),"嘉義縣朴子市祥和國民小學")</f>
        <v>嘉義縣朴子市祥和國民小學</v>
      </c>
      <c r="F3330" s="14" t="str">
        <f>IFERROR(__xludf.DUMMYFUNCTION("""COMPUTED_VALUE"""),"五年級")</f>
        <v>五年級</v>
      </c>
      <c r="G3330" s="14" t="str">
        <f>IFERROR(__xludf.DUMMYFUNCTION("""COMPUTED_VALUE"""),"獎狀")</f>
        <v>獎狀</v>
      </c>
      <c r="H3330" s="8"/>
    </row>
    <row r="3331">
      <c r="A3331" s="18"/>
      <c r="B3331" s="14">
        <f>IFERROR(__xludf.DUMMYFUNCTION("""COMPUTED_VALUE"""),874932.0)</f>
        <v>874932</v>
      </c>
      <c r="C3331" s="14" t="str">
        <f>IFERROR(__xludf.DUMMYFUNCTION("""COMPUTED_VALUE"""),"黃義祥")</f>
        <v>黃義祥</v>
      </c>
      <c r="D3331" s="16" t="str">
        <f>IFERROR(__xludf.DUMMYFUNCTION("""COMPUTED_VALUE"""),"a10*****mail.edu.tw")</f>
        <v>a10*****mail.edu.tw</v>
      </c>
      <c r="E3331" s="17" t="str">
        <f>IFERROR(__xludf.DUMMYFUNCTION("""COMPUTED_VALUE"""),"嘉義縣朴子市雙溪國民小學")</f>
        <v>嘉義縣朴子市雙溪國民小學</v>
      </c>
      <c r="F3331" s="14" t="str">
        <f>IFERROR(__xludf.DUMMYFUNCTION("""COMPUTED_VALUE"""),"五年級")</f>
        <v>五年級</v>
      </c>
      <c r="G3331" s="14" t="str">
        <f>IFERROR(__xludf.DUMMYFUNCTION("""COMPUTED_VALUE"""),"●小禮物")</f>
        <v>●小禮物</v>
      </c>
      <c r="H3331" s="8"/>
    </row>
    <row r="3332">
      <c r="A3332" s="18"/>
      <c r="B3332" s="14">
        <f>IFERROR(__xludf.DUMMYFUNCTION("""COMPUTED_VALUE"""),874939.0)</f>
        <v>874939</v>
      </c>
      <c r="C3332" s="14" t="str">
        <f>IFERROR(__xludf.DUMMYFUNCTION("""COMPUTED_VALUE"""),"楊昱涵")</f>
        <v>楊昱涵</v>
      </c>
      <c r="D3332" s="16" t="str">
        <f>IFERROR(__xludf.DUMMYFUNCTION("""COMPUTED_VALUE"""),"a10*****mail.edu.tw")</f>
        <v>a10*****mail.edu.tw</v>
      </c>
      <c r="E3332" s="17" t="str">
        <f>IFERROR(__xludf.DUMMYFUNCTION("""COMPUTED_VALUE"""),"嘉義縣朴子市雙溪國民小學")</f>
        <v>嘉義縣朴子市雙溪國民小學</v>
      </c>
      <c r="F3332" s="14" t="str">
        <f>IFERROR(__xludf.DUMMYFUNCTION("""COMPUTED_VALUE"""),"五年級")</f>
        <v>五年級</v>
      </c>
      <c r="G3332" s="14" t="str">
        <f>IFERROR(__xludf.DUMMYFUNCTION("""COMPUTED_VALUE"""),"●小禮物")</f>
        <v>●小禮物</v>
      </c>
      <c r="H3332" s="8"/>
    </row>
    <row r="3333">
      <c r="A3333" s="18"/>
      <c r="B3333" s="14">
        <f>IFERROR(__xludf.DUMMYFUNCTION("""COMPUTED_VALUE"""),874941.0)</f>
        <v>874941</v>
      </c>
      <c r="C3333" s="14" t="str">
        <f>IFERROR(__xludf.DUMMYFUNCTION("""COMPUTED_VALUE"""),"侯又綺")</f>
        <v>侯又綺</v>
      </c>
      <c r="D3333" s="16" t="str">
        <f>IFERROR(__xludf.DUMMYFUNCTION("""COMPUTED_VALUE"""),"a10*****mail.edu.tw")</f>
        <v>a10*****mail.edu.tw</v>
      </c>
      <c r="E3333" s="17" t="str">
        <f>IFERROR(__xludf.DUMMYFUNCTION("""COMPUTED_VALUE"""),"嘉義縣朴子市雙溪國民小學")</f>
        <v>嘉義縣朴子市雙溪國民小學</v>
      </c>
      <c r="F3333" s="14" t="str">
        <f>IFERROR(__xludf.DUMMYFUNCTION("""COMPUTED_VALUE"""),"五年級")</f>
        <v>五年級</v>
      </c>
      <c r="G3333" s="14" t="str">
        <f>IFERROR(__xludf.DUMMYFUNCTION("""COMPUTED_VALUE"""),"獎狀")</f>
        <v>獎狀</v>
      </c>
      <c r="H3333" s="8"/>
    </row>
    <row r="3334">
      <c r="A3334" s="18"/>
      <c r="B3334" s="14">
        <f>IFERROR(__xludf.DUMMYFUNCTION("""COMPUTED_VALUE"""),874943.0)</f>
        <v>874943</v>
      </c>
      <c r="C3334" s="14" t="str">
        <f>IFERROR(__xludf.DUMMYFUNCTION("""COMPUTED_VALUE"""),"張昀臻")</f>
        <v>張昀臻</v>
      </c>
      <c r="D3334" s="16" t="str">
        <f>IFERROR(__xludf.DUMMYFUNCTION("""COMPUTED_VALUE"""),"a10*****mail.edu.tw")</f>
        <v>a10*****mail.edu.tw</v>
      </c>
      <c r="E3334" s="17" t="str">
        <f>IFERROR(__xludf.DUMMYFUNCTION("""COMPUTED_VALUE"""),"嘉義縣朴子市雙溪國民小學")</f>
        <v>嘉義縣朴子市雙溪國民小學</v>
      </c>
      <c r="F3334" s="14" t="str">
        <f>IFERROR(__xludf.DUMMYFUNCTION("""COMPUTED_VALUE"""),"五年級")</f>
        <v>五年級</v>
      </c>
      <c r="G3334" s="14" t="str">
        <f>IFERROR(__xludf.DUMMYFUNCTION("""COMPUTED_VALUE"""),"獎狀")</f>
        <v>獎狀</v>
      </c>
      <c r="H3334" s="8"/>
    </row>
    <row r="3335">
      <c r="A3335" s="18"/>
      <c r="B3335" s="14">
        <f>IFERROR(__xludf.DUMMYFUNCTION("""COMPUTED_VALUE"""),907004.0)</f>
        <v>907004</v>
      </c>
      <c r="C3335" s="14" t="str">
        <f>IFERROR(__xludf.DUMMYFUNCTION("""COMPUTED_VALUE"""),"陳亭潔")</f>
        <v>陳亭潔</v>
      </c>
      <c r="D3335" s="16" t="str">
        <f>IFERROR(__xludf.DUMMYFUNCTION("""COMPUTED_VALUE"""),"ss1*****mail.edu.tw")</f>
        <v>ss1*****mail.edu.tw</v>
      </c>
      <c r="E3335" s="17" t="str">
        <f>IFERROR(__xludf.DUMMYFUNCTION("""COMPUTED_VALUE"""),"嘉義縣朴子市雙溪國民小學")</f>
        <v>嘉義縣朴子市雙溪國民小學</v>
      </c>
      <c r="F3335" s="14" t="str">
        <f>IFERROR(__xludf.DUMMYFUNCTION("""COMPUTED_VALUE"""),"五年級")</f>
        <v>五年級</v>
      </c>
      <c r="G3335" s="14" t="str">
        <f>IFERROR(__xludf.DUMMYFUNCTION("""COMPUTED_VALUE"""),"獎狀")</f>
        <v>獎狀</v>
      </c>
      <c r="H3335" s="8"/>
    </row>
    <row r="3336">
      <c r="A3336" s="18"/>
      <c r="B3336" s="14">
        <f>IFERROR(__xludf.DUMMYFUNCTION("""COMPUTED_VALUE"""),716742.0)</f>
        <v>716742</v>
      </c>
      <c r="C3336" s="14" t="str">
        <f>IFERROR(__xludf.DUMMYFUNCTION("""COMPUTED_VALUE"""),"陳琪允")</f>
        <v>陳琪允</v>
      </c>
      <c r="D3336" s="16" t="str">
        <f>IFERROR(__xludf.DUMMYFUNCTION("""COMPUTED_VALUE"""),"yun*****ail.edu.tw")</f>
        <v>yun*****ail.edu.tw</v>
      </c>
      <c r="E3336" s="17" t="str">
        <f>IFERROR(__xludf.DUMMYFUNCTION("""COMPUTED_VALUE"""),"嘉義縣朴子市雙溪國民小學")</f>
        <v>嘉義縣朴子市雙溪國民小學</v>
      </c>
      <c r="F3336" s="14" t="str">
        <f>IFERROR(__xludf.DUMMYFUNCTION("""COMPUTED_VALUE"""),"五年級")</f>
        <v>五年級</v>
      </c>
      <c r="G3336" s="14" t="str">
        <f>IFERROR(__xludf.DUMMYFUNCTION("""COMPUTED_VALUE"""),"獎狀")</f>
        <v>獎狀</v>
      </c>
      <c r="H3336" s="8"/>
    </row>
    <row r="3337">
      <c r="A3337" s="18"/>
      <c r="B3337" s="14">
        <f>IFERROR(__xludf.DUMMYFUNCTION("""COMPUTED_VALUE"""),624050.0)</f>
        <v>624050</v>
      </c>
      <c r="C3337" s="14" t="str">
        <f>IFERROR(__xludf.DUMMYFUNCTION("""COMPUTED_VALUE"""),"黃子淮")</f>
        <v>黃子淮</v>
      </c>
      <c r="D3337" s="16" t="str">
        <f>IFERROR(__xludf.DUMMYFUNCTION("""COMPUTED_VALUE"""),"a10*****mail.edu.tw")</f>
        <v>a10*****mail.edu.tw</v>
      </c>
      <c r="E3337" s="17" t="str">
        <f>IFERROR(__xludf.DUMMYFUNCTION("""COMPUTED_VALUE"""),"嘉義縣朴子市雙溪國民小學")</f>
        <v>嘉義縣朴子市雙溪國民小學</v>
      </c>
      <c r="F3337" s="14" t="str">
        <f>IFERROR(__xludf.DUMMYFUNCTION("""COMPUTED_VALUE"""),"五年級")</f>
        <v>五年級</v>
      </c>
      <c r="G3337" s="14" t="str">
        <f>IFERROR(__xludf.DUMMYFUNCTION("""COMPUTED_VALUE"""),"獎狀")</f>
        <v>獎狀</v>
      </c>
      <c r="H3337" s="8"/>
    </row>
    <row r="3338">
      <c r="A3338" s="18"/>
      <c r="B3338" s="14">
        <f>IFERROR(__xludf.DUMMYFUNCTION("""COMPUTED_VALUE"""),733285.0)</f>
        <v>733285</v>
      </c>
      <c r="C3338" s="14" t="str">
        <f>IFERROR(__xludf.DUMMYFUNCTION("""COMPUTED_VALUE"""),"蔡宇萱")</f>
        <v>蔡宇萱</v>
      </c>
      <c r="D3338" s="16" t="str">
        <f>IFERROR(__xludf.DUMMYFUNCTION("""COMPUTED_VALUE"""),"a10*****mail.edu.tw")</f>
        <v>a10*****mail.edu.tw</v>
      </c>
      <c r="E3338" s="17" t="str">
        <f>IFERROR(__xludf.DUMMYFUNCTION("""COMPUTED_VALUE"""),"嘉義縣朴子市雙溪國民小學")</f>
        <v>嘉義縣朴子市雙溪國民小學</v>
      </c>
      <c r="F3338" s="14" t="str">
        <f>IFERROR(__xludf.DUMMYFUNCTION("""COMPUTED_VALUE"""),"五年級")</f>
        <v>五年級</v>
      </c>
      <c r="G3338" s="14" t="str">
        <f>IFERROR(__xludf.DUMMYFUNCTION("""COMPUTED_VALUE"""),"獎狀")</f>
        <v>獎狀</v>
      </c>
      <c r="H3338" s="8"/>
    </row>
    <row r="3339">
      <c r="A3339" s="18"/>
      <c r="B3339" s="14">
        <f>IFERROR(__xludf.DUMMYFUNCTION("""COMPUTED_VALUE"""),791752.0)</f>
        <v>791752</v>
      </c>
      <c r="C3339" s="14" t="str">
        <f>IFERROR(__xludf.DUMMYFUNCTION("""COMPUTED_VALUE"""),"侯品彤")</f>
        <v>侯品彤</v>
      </c>
      <c r="D3339" s="16" t="str">
        <f>IFERROR(__xludf.DUMMYFUNCTION("""COMPUTED_VALUE"""),"a10*****mail.edu.tw")</f>
        <v>a10*****mail.edu.tw</v>
      </c>
      <c r="E3339" s="17" t="str">
        <f>IFERROR(__xludf.DUMMYFUNCTION("""COMPUTED_VALUE"""),"嘉義縣朴子市雙溪國民小學")</f>
        <v>嘉義縣朴子市雙溪國民小學</v>
      </c>
      <c r="F3339" s="14" t="str">
        <f>IFERROR(__xludf.DUMMYFUNCTION("""COMPUTED_VALUE"""),"六年級")</f>
        <v>六年級</v>
      </c>
      <c r="G3339" s="14" t="str">
        <f>IFERROR(__xludf.DUMMYFUNCTION("""COMPUTED_VALUE"""),"★禮券$200")</f>
        <v>★禮券$200</v>
      </c>
      <c r="H3339" s="8"/>
    </row>
    <row r="3340">
      <c r="A3340" s="18"/>
      <c r="B3340" s="14">
        <f>IFERROR(__xludf.DUMMYFUNCTION("""COMPUTED_VALUE"""),791751.0)</f>
        <v>791751</v>
      </c>
      <c r="C3340" s="14" t="str">
        <f>IFERROR(__xludf.DUMMYFUNCTION("""COMPUTED_VALUE"""),"林萍萍")</f>
        <v>林萍萍</v>
      </c>
      <c r="D3340" s="16" t="str">
        <f>IFERROR(__xludf.DUMMYFUNCTION("""COMPUTED_VALUE"""),"a10*****mail.edu.tw")</f>
        <v>a10*****mail.edu.tw</v>
      </c>
      <c r="E3340" s="17" t="str">
        <f>IFERROR(__xludf.DUMMYFUNCTION("""COMPUTED_VALUE"""),"嘉義縣朴子市雙溪國民小學")</f>
        <v>嘉義縣朴子市雙溪國民小學</v>
      </c>
      <c r="F3340" s="14" t="str">
        <f>IFERROR(__xludf.DUMMYFUNCTION("""COMPUTED_VALUE"""),"六年級")</f>
        <v>六年級</v>
      </c>
      <c r="G3340" s="14" t="str">
        <f>IFERROR(__xludf.DUMMYFUNCTION("""COMPUTED_VALUE"""),"獎狀")</f>
        <v>獎狀</v>
      </c>
      <c r="H3340" s="8"/>
    </row>
    <row r="3341">
      <c r="A3341" s="18"/>
      <c r="B3341" s="14">
        <f>IFERROR(__xludf.DUMMYFUNCTION("""COMPUTED_VALUE"""),791754.0)</f>
        <v>791754</v>
      </c>
      <c r="C3341" s="14" t="str">
        <f>IFERROR(__xludf.DUMMYFUNCTION("""COMPUTED_VALUE"""),"侯奐存")</f>
        <v>侯奐存</v>
      </c>
      <c r="D3341" s="16" t="str">
        <f>IFERROR(__xludf.DUMMYFUNCTION("""COMPUTED_VALUE"""),"a10*****mail.edu.tw")</f>
        <v>a10*****mail.edu.tw</v>
      </c>
      <c r="E3341" s="17" t="str">
        <f>IFERROR(__xludf.DUMMYFUNCTION("""COMPUTED_VALUE"""),"嘉義縣朴子市雙溪國民小學")</f>
        <v>嘉義縣朴子市雙溪國民小學</v>
      </c>
      <c r="F3341" s="14" t="str">
        <f>IFERROR(__xludf.DUMMYFUNCTION("""COMPUTED_VALUE"""),"六年級")</f>
        <v>六年級</v>
      </c>
      <c r="G3341" s="14" t="str">
        <f>IFERROR(__xludf.DUMMYFUNCTION("""COMPUTED_VALUE"""),"獎狀")</f>
        <v>獎狀</v>
      </c>
      <c r="H3341" s="8"/>
    </row>
    <row r="3342">
      <c r="A3342" s="18"/>
      <c r="B3342" s="14">
        <f>IFERROR(__xludf.DUMMYFUNCTION("""COMPUTED_VALUE"""),722648.0)</f>
        <v>722648</v>
      </c>
      <c r="C3342" s="14" t="str">
        <f>IFERROR(__xludf.DUMMYFUNCTION("""COMPUTED_VALUE"""),"蔡宗汶")</f>
        <v>蔡宗汶</v>
      </c>
      <c r="D3342" s="16" t="str">
        <f>IFERROR(__xludf.DUMMYFUNCTION("""COMPUTED_VALUE"""),"a10*****mail.edu.tw")</f>
        <v>a10*****mail.edu.tw</v>
      </c>
      <c r="E3342" s="17" t="str">
        <f>IFERROR(__xludf.DUMMYFUNCTION("""COMPUTED_VALUE"""),"嘉義縣朴子市雙溪國民小學")</f>
        <v>嘉義縣朴子市雙溪國民小學</v>
      </c>
      <c r="F3342" s="14" t="str">
        <f>IFERROR(__xludf.DUMMYFUNCTION("""COMPUTED_VALUE"""),"六年級")</f>
        <v>六年級</v>
      </c>
      <c r="G3342" s="14" t="str">
        <f>IFERROR(__xludf.DUMMYFUNCTION("""COMPUTED_VALUE"""),"獎狀")</f>
        <v>獎狀</v>
      </c>
      <c r="H3342" s="8"/>
    </row>
    <row r="3343">
      <c r="A3343" s="18"/>
      <c r="B3343" s="14">
        <f>IFERROR(__xludf.DUMMYFUNCTION("""COMPUTED_VALUE"""),813928.0)</f>
        <v>813928</v>
      </c>
      <c r="C3343" s="14" t="str">
        <f>IFERROR(__xludf.DUMMYFUNCTION("""COMPUTED_VALUE"""),"黃平如")</f>
        <v>黃平如</v>
      </c>
      <c r="D3343" s="16" t="str">
        <f>IFERROR(__xludf.DUMMYFUNCTION("""COMPUTED_VALUE"""),"106*****sps.cyc.edu.tw")</f>
        <v>106*****sps.cyc.edu.tw</v>
      </c>
      <c r="E3343" s="17" t="str">
        <f>IFERROR(__xludf.DUMMYFUNCTION("""COMPUTED_VALUE"""),"嘉義縣東石鄉東石國民小學")</f>
        <v>嘉義縣東石鄉東石國民小學</v>
      </c>
      <c r="F3343" s="14" t="str">
        <f>IFERROR(__xludf.DUMMYFUNCTION("""COMPUTED_VALUE"""),"六年級")</f>
        <v>六年級</v>
      </c>
      <c r="G3343" s="14" t="str">
        <f>IFERROR(__xludf.DUMMYFUNCTION("""COMPUTED_VALUE"""),"●小禮物")</f>
        <v>●小禮物</v>
      </c>
      <c r="H3343" s="8"/>
    </row>
    <row r="3344">
      <c r="A3344" s="18"/>
      <c r="B3344" s="14">
        <f>IFERROR(__xludf.DUMMYFUNCTION("""COMPUTED_VALUE"""),615341.0)</f>
        <v>615341</v>
      </c>
      <c r="C3344" s="14" t="str">
        <f>IFERROR(__xludf.DUMMYFUNCTION("""COMPUTED_VALUE"""),"吳巧靜")</f>
        <v>吳巧靜</v>
      </c>
      <c r="D3344" s="16" t="str">
        <f>IFERROR(__xludf.DUMMYFUNCTION("""COMPUTED_VALUE"""),"xc1*****@tsps.cyc.edu.tw")</f>
        <v>xc1*****@tsps.cyc.edu.tw</v>
      </c>
      <c r="E3344" s="17" t="str">
        <f>IFERROR(__xludf.DUMMYFUNCTION("""COMPUTED_VALUE"""),"嘉義縣東石鄉東石國民小學")</f>
        <v>嘉義縣東石鄉東石國民小學</v>
      </c>
      <c r="F3344" s="14" t="str">
        <f>IFERROR(__xludf.DUMMYFUNCTION("""COMPUTED_VALUE"""),"六年級")</f>
        <v>六年級</v>
      </c>
      <c r="G3344" s="14" t="str">
        <f>IFERROR(__xludf.DUMMYFUNCTION("""COMPUTED_VALUE"""),"●小禮物")</f>
        <v>●小禮物</v>
      </c>
      <c r="H3344" s="8"/>
    </row>
    <row r="3345">
      <c r="A3345" s="18"/>
      <c r="B3345" s="14">
        <f>IFERROR(__xludf.DUMMYFUNCTION("""COMPUTED_VALUE"""),396089.0)</f>
        <v>396089</v>
      </c>
      <c r="C3345" s="14" t="str">
        <f>IFERROR(__xludf.DUMMYFUNCTION("""COMPUTED_VALUE"""),"張祐晨")</f>
        <v>張祐晨</v>
      </c>
      <c r="D3345" s="16" t="str">
        <f>IFERROR(__xludf.DUMMYFUNCTION("""COMPUTED_VALUE"""),"xc1*****@tsps.cyc.edu.tw")</f>
        <v>xc1*****@tsps.cyc.edu.tw</v>
      </c>
      <c r="E3345" s="17" t="str">
        <f>IFERROR(__xludf.DUMMYFUNCTION("""COMPUTED_VALUE"""),"嘉義縣東石鄉東石國民小學")</f>
        <v>嘉義縣東石鄉東石國民小學</v>
      </c>
      <c r="F3345" s="14" t="str">
        <f>IFERROR(__xludf.DUMMYFUNCTION("""COMPUTED_VALUE"""),"六年級")</f>
        <v>六年級</v>
      </c>
      <c r="G3345" s="14" t="str">
        <f>IFERROR(__xludf.DUMMYFUNCTION("""COMPUTED_VALUE"""),"●小禮物")</f>
        <v>●小禮物</v>
      </c>
      <c r="H3345" s="8"/>
    </row>
    <row r="3346">
      <c r="A3346" s="18"/>
      <c r="B3346" s="14">
        <f>IFERROR(__xludf.DUMMYFUNCTION("""COMPUTED_VALUE"""),814303.0)</f>
        <v>814303</v>
      </c>
      <c r="C3346" s="14" t="str">
        <f>IFERROR(__xludf.DUMMYFUNCTION("""COMPUTED_VALUE"""),"吳苑寧")</f>
        <v>吳苑寧</v>
      </c>
      <c r="D3346" s="16" t="str">
        <f>IFERROR(__xludf.DUMMYFUNCTION("""COMPUTED_VALUE"""),"106*****sps.cyc.edu.tw")</f>
        <v>106*****sps.cyc.edu.tw</v>
      </c>
      <c r="E3346" s="17" t="str">
        <f>IFERROR(__xludf.DUMMYFUNCTION("""COMPUTED_VALUE"""),"嘉義縣東石鄉東石國民小學")</f>
        <v>嘉義縣東石鄉東石國民小學</v>
      </c>
      <c r="F3346" s="14" t="str">
        <f>IFERROR(__xludf.DUMMYFUNCTION("""COMPUTED_VALUE"""),"六年級")</f>
        <v>六年級</v>
      </c>
      <c r="G3346" s="14" t="str">
        <f>IFERROR(__xludf.DUMMYFUNCTION("""COMPUTED_VALUE"""),"●小禮物")</f>
        <v>●小禮物</v>
      </c>
      <c r="H3346" s="8"/>
    </row>
    <row r="3347">
      <c r="A3347" s="18"/>
      <c r="B3347" s="14">
        <f>IFERROR(__xludf.DUMMYFUNCTION("""COMPUTED_VALUE"""),812697.0)</f>
        <v>812697</v>
      </c>
      <c r="C3347" s="14" t="str">
        <f>IFERROR(__xludf.DUMMYFUNCTION("""COMPUTED_VALUE"""),"李祥宇")</f>
        <v>李祥宇</v>
      </c>
      <c r="D3347" s="16" t="str">
        <f>IFERROR(__xludf.DUMMYFUNCTION("""COMPUTED_VALUE"""),"106*****sps.cyc.edu.tw")</f>
        <v>106*****sps.cyc.edu.tw</v>
      </c>
      <c r="E3347" s="17" t="str">
        <f>IFERROR(__xludf.DUMMYFUNCTION("""COMPUTED_VALUE"""),"嘉義縣東石鄉東石國民小學")</f>
        <v>嘉義縣東石鄉東石國民小學</v>
      </c>
      <c r="F3347" s="14" t="str">
        <f>IFERROR(__xludf.DUMMYFUNCTION("""COMPUTED_VALUE"""),"六年級")</f>
        <v>六年級</v>
      </c>
      <c r="G3347" s="14" t="str">
        <f>IFERROR(__xludf.DUMMYFUNCTION("""COMPUTED_VALUE"""),"●小禮物")</f>
        <v>●小禮物</v>
      </c>
      <c r="H3347" s="8"/>
    </row>
    <row r="3348">
      <c r="A3348" s="18"/>
      <c r="B3348" s="14">
        <f>IFERROR(__xludf.DUMMYFUNCTION("""COMPUTED_VALUE"""),644841.0)</f>
        <v>644841</v>
      </c>
      <c r="C3348" s="14" t="str">
        <f>IFERROR(__xludf.DUMMYFUNCTION("""COMPUTED_VALUE"""),"黃翊賓")</f>
        <v>黃翊賓</v>
      </c>
      <c r="D3348" s="16" t="str">
        <f>IFERROR(__xludf.DUMMYFUNCTION("""COMPUTED_VALUE"""),"106*****sps.cyc.edu.tw")</f>
        <v>106*****sps.cyc.edu.tw</v>
      </c>
      <c r="E3348" s="17" t="str">
        <f>IFERROR(__xludf.DUMMYFUNCTION("""COMPUTED_VALUE"""),"嘉義縣東石鄉東石國民小學")</f>
        <v>嘉義縣東石鄉東石國民小學</v>
      </c>
      <c r="F3348" s="14" t="str">
        <f>IFERROR(__xludf.DUMMYFUNCTION("""COMPUTED_VALUE"""),"六年級")</f>
        <v>六年級</v>
      </c>
      <c r="G3348" s="14" t="str">
        <f>IFERROR(__xludf.DUMMYFUNCTION("""COMPUTED_VALUE"""),"●小禮物")</f>
        <v>●小禮物</v>
      </c>
      <c r="H3348" s="8"/>
    </row>
    <row r="3349">
      <c r="A3349" s="18"/>
      <c r="B3349" s="14">
        <f>IFERROR(__xludf.DUMMYFUNCTION("""COMPUTED_VALUE"""),813937.0)</f>
        <v>813937</v>
      </c>
      <c r="C3349" s="14" t="str">
        <f>IFERROR(__xludf.DUMMYFUNCTION("""COMPUTED_VALUE"""),"蔡東佑")</f>
        <v>蔡東佑</v>
      </c>
      <c r="D3349" s="16" t="str">
        <f>IFERROR(__xludf.DUMMYFUNCTION("""COMPUTED_VALUE"""),"106*****sps.cyc.edu.tw")</f>
        <v>106*****sps.cyc.edu.tw</v>
      </c>
      <c r="E3349" s="17" t="str">
        <f>IFERROR(__xludf.DUMMYFUNCTION("""COMPUTED_VALUE"""),"嘉義縣東石鄉東石國民小學")</f>
        <v>嘉義縣東石鄉東石國民小學</v>
      </c>
      <c r="F3349" s="14" t="str">
        <f>IFERROR(__xludf.DUMMYFUNCTION("""COMPUTED_VALUE"""),"六年級")</f>
        <v>六年級</v>
      </c>
      <c r="G3349" s="14" t="str">
        <f>IFERROR(__xludf.DUMMYFUNCTION("""COMPUTED_VALUE"""),"●小禮物")</f>
        <v>●小禮物</v>
      </c>
      <c r="H3349" s="8"/>
    </row>
    <row r="3350">
      <c r="A3350" s="18"/>
      <c r="B3350" s="14">
        <f>IFERROR(__xludf.DUMMYFUNCTION("""COMPUTED_VALUE"""),813943.0)</f>
        <v>813943</v>
      </c>
      <c r="C3350" s="14" t="str">
        <f>IFERROR(__xludf.DUMMYFUNCTION("""COMPUTED_VALUE"""),"顏伯文")</f>
        <v>顏伯文</v>
      </c>
      <c r="D3350" s="16" t="str">
        <f>IFERROR(__xludf.DUMMYFUNCTION("""COMPUTED_VALUE"""),"106*****sps.cyc.edu.tw")</f>
        <v>106*****sps.cyc.edu.tw</v>
      </c>
      <c r="E3350" s="17" t="str">
        <f>IFERROR(__xludf.DUMMYFUNCTION("""COMPUTED_VALUE"""),"嘉義縣東石鄉東石國民小學")</f>
        <v>嘉義縣東石鄉東石國民小學</v>
      </c>
      <c r="F3350" s="14" t="str">
        <f>IFERROR(__xludf.DUMMYFUNCTION("""COMPUTED_VALUE"""),"六年級")</f>
        <v>六年級</v>
      </c>
      <c r="G3350" s="14" t="str">
        <f>IFERROR(__xludf.DUMMYFUNCTION("""COMPUTED_VALUE"""),"●小禮物")</f>
        <v>●小禮物</v>
      </c>
      <c r="H3350" s="8"/>
    </row>
    <row r="3351">
      <c r="A3351" s="18"/>
      <c r="B3351" s="14">
        <f>IFERROR(__xludf.DUMMYFUNCTION("""COMPUTED_VALUE"""),812663.0)</f>
        <v>812663</v>
      </c>
      <c r="C3351" s="14" t="str">
        <f>IFERROR(__xludf.DUMMYFUNCTION("""COMPUTED_VALUE"""),"黃柏東")</f>
        <v>黃柏東</v>
      </c>
      <c r="D3351" s="16" t="str">
        <f>IFERROR(__xludf.DUMMYFUNCTION("""COMPUTED_VALUE"""),"106*****sps.cyc.edu.tw")</f>
        <v>106*****sps.cyc.edu.tw</v>
      </c>
      <c r="E3351" s="17" t="str">
        <f>IFERROR(__xludf.DUMMYFUNCTION("""COMPUTED_VALUE"""),"嘉義縣東石鄉東石國民小學")</f>
        <v>嘉義縣東石鄉東石國民小學</v>
      </c>
      <c r="F3351" s="14" t="str">
        <f>IFERROR(__xludf.DUMMYFUNCTION("""COMPUTED_VALUE"""),"六年級")</f>
        <v>六年級</v>
      </c>
      <c r="G3351" s="14" t="str">
        <f>IFERROR(__xludf.DUMMYFUNCTION("""COMPUTED_VALUE"""),"★禮券$200")</f>
        <v>★禮券$200</v>
      </c>
      <c r="H3351" s="8"/>
    </row>
    <row r="3352">
      <c r="A3352" s="18"/>
      <c r="B3352" s="14">
        <f>IFERROR(__xludf.DUMMYFUNCTION("""COMPUTED_VALUE"""),813936.0)</f>
        <v>813936</v>
      </c>
      <c r="C3352" s="14" t="str">
        <f>IFERROR(__xludf.DUMMYFUNCTION("""COMPUTED_VALUE"""),"柯勝楷")</f>
        <v>柯勝楷</v>
      </c>
      <c r="D3352" s="16" t="str">
        <f>IFERROR(__xludf.DUMMYFUNCTION("""COMPUTED_VALUE"""),"106*****sps.cyc.edu.tw")</f>
        <v>106*****sps.cyc.edu.tw</v>
      </c>
      <c r="E3352" s="17" t="str">
        <f>IFERROR(__xludf.DUMMYFUNCTION("""COMPUTED_VALUE"""),"嘉義縣東石鄉東石國民小學")</f>
        <v>嘉義縣東石鄉東石國民小學</v>
      </c>
      <c r="F3352" s="14" t="str">
        <f>IFERROR(__xludf.DUMMYFUNCTION("""COMPUTED_VALUE"""),"六年級")</f>
        <v>六年級</v>
      </c>
      <c r="G3352" s="14" t="str">
        <f>IFERROR(__xludf.DUMMYFUNCTION("""COMPUTED_VALUE"""),"獎狀")</f>
        <v>獎狀</v>
      </c>
      <c r="H3352" s="8"/>
    </row>
    <row r="3353">
      <c r="A3353" s="18"/>
      <c r="B3353" s="14">
        <f>IFERROR(__xludf.DUMMYFUNCTION("""COMPUTED_VALUE"""),847377.0)</f>
        <v>847377</v>
      </c>
      <c r="C3353" s="14" t="str">
        <f>IFERROR(__xludf.DUMMYFUNCTION("""COMPUTED_VALUE"""),"陳信睿")</f>
        <v>陳信睿</v>
      </c>
      <c r="D3353" s="16" t="str">
        <f>IFERROR(__xludf.DUMMYFUNCTION("""COMPUTED_VALUE"""),"lm0*****ail.edu.tw")</f>
        <v>lm0*****ail.edu.tw</v>
      </c>
      <c r="E3353" s="17" t="str">
        <f>IFERROR(__xludf.DUMMYFUNCTION("""COMPUTED_VALUE"""),"嘉義縣六腳鄉六美國民小學")</f>
        <v>嘉義縣六腳鄉六美國民小學</v>
      </c>
      <c r="F3353" s="14" t="str">
        <f>IFERROR(__xludf.DUMMYFUNCTION("""COMPUTED_VALUE"""),"六年級")</f>
        <v>六年級</v>
      </c>
      <c r="G3353" s="14" t="str">
        <f>IFERROR(__xludf.DUMMYFUNCTION("""COMPUTED_VALUE"""),"●小禮物")</f>
        <v>●小禮物</v>
      </c>
      <c r="H3353" s="8"/>
    </row>
    <row r="3354">
      <c r="A3354" s="18"/>
      <c r="B3354" s="14">
        <f>IFERROR(__xludf.DUMMYFUNCTION("""COMPUTED_VALUE"""),847477.0)</f>
        <v>847477</v>
      </c>
      <c r="C3354" s="14" t="str">
        <f>IFERROR(__xludf.DUMMYFUNCTION("""COMPUTED_VALUE"""),"黃郁芸")</f>
        <v>黃郁芸</v>
      </c>
      <c r="D3354" s="16" t="str">
        <f>IFERROR(__xludf.DUMMYFUNCTION("""COMPUTED_VALUE"""),"lm0*****ail.edu.tw")</f>
        <v>lm0*****ail.edu.tw</v>
      </c>
      <c r="E3354" s="17" t="str">
        <f>IFERROR(__xludf.DUMMYFUNCTION("""COMPUTED_VALUE"""),"嘉義縣六腳鄉六美國民小學")</f>
        <v>嘉義縣六腳鄉六美國民小學</v>
      </c>
      <c r="F3354" s="14" t="str">
        <f>IFERROR(__xludf.DUMMYFUNCTION("""COMPUTED_VALUE"""),"六年級")</f>
        <v>六年級</v>
      </c>
      <c r="G3354" s="14" t="str">
        <f>IFERROR(__xludf.DUMMYFUNCTION("""COMPUTED_VALUE"""),"獎狀")</f>
        <v>獎狀</v>
      </c>
      <c r="H3354" s="8"/>
    </row>
    <row r="3355">
      <c r="A3355" s="18"/>
      <c r="B3355" s="14">
        <f>IFERROR(__xludf.DUMMYFUNCTION("""COMPUTED_VALUE"""),547047.0)</f>
        <v>547047</v>
      </c>
      <c r="C3355" s="14" t="str">
        <f>IFERROR(__xludf.DUMMYFUNCTION("""COMPUTED_VALUE"""),"蔡芷柔")</f>
        <v>蔡芷柔</v>
      </c>
      <c r="D3355" s="16" t="str">
        <f>IFERROR(__xludf.DUMMYFUNCTION("""COMPUTED_VALUE"""),"lm0*****ail.edu.tw")</f>
        <v>lm0*****ail.edu.tw</v>
      </c>
      <c r="E3355" s="17" t="str">
        <f>IFERROR(__xludf.DUMMYFUNCTION("""COMPUTED_VALUE"""),"嘉義縣六腳鄉六美國民小學")</f>
        <v>嘉義縣六腳鄉六美國民小學</v>
      </c>
      <c r="F3355" s="14" t="str">
        <f>IFERROR(__xludf.DUMMYFUNCTION("""COMPUTED_VALUE"""),"六年級")</f>
        <v>六年級</v>
      </c>
      <c r="G3355" s="14" t="str">
        <f>IFERROR(__xludf.DUMMYFUNCTION("""COMPUTED_VALUE"""),"獎狀")</f>
        <v>獎狀</v>
      </c>
      <c r="H3355" s="8"/>
    </row>
    <row r="3356">
      <c r="A3356" s="18"/>
      <c r="B3356" s="14">
        <f>IFERROR(__xludf.DUMMYFUNCTION("""COMPUTED_VALUE"""),921336.0)</f>
        <v>921336</v>
      </c>
      <c r="C3356" s="14" t="str">
        <f>IFERROR(__xludf.DUMMYFUNCTION("""COMPUTED_VALUE"""),"謝佳恩")</f>
        <v>謝佳恩</v>
      </c>
      <c r="D3356" s="16" t="str">
        <f>IFERROR(__xludf.DUMMYFUNCTION("""COMPUTED_VALUE"""),"sht*****012@mail.edu.tw")</f>
        <v>sht*****012@mail.edu.tw</v>
      </c>
      <c r="E3356" s="17" t="str">
        <f>IFERROR(__xludf.DUMMYFUNCTION("""COMPUTED_VALUE"""),"嘉義縣六腳鄉蒜頭國民小學")</f>
        <v>嘉義縣六腳鄉蒜頭國民小學</v>
      </c>
      <c r="F3356" s="14" t="str">
        <f>IFERROR(__xludf.DUMMYFUNCTION("""COMPUTED_VALUE"""),"六年級")</f>
        <v>六年級</v>
      </c>
      <c r="G3356" s="14" t="str">
        <f>IFERROR(__xludf.DUMMYFUNCTION("""COMPUTED_VALUE"""),"獎狀")</f>
        <v>獎狀</v>
      </c>
      <c r="H3356" s="8"/>
    </row>
    <row r="3357">
      <c r="A3357" s="18"/>
      <c r="B3357" s="14">
        <f>IFERROR(__xludf.DUMMYFUNCTION("""COMPUTED_VALUE"""),535496.0)</f>
        <v>535496</v>
      </c>
      <c r="C3357" s="14" t="str">
        <f>IFERROR(__xludf.DUMMYFUNCTION("""COMPUTED_VALUE"""),"陳珮欣")</f>
        <v>陳珮欣</v>
      </c>
      <c r="D3357" s="16" t="str">
        <f>IFERROR(__xludf.DUMMYFUNCTION("""COMPUTED_VALUE"""),"che*****in@mail.edu.tw")</f>
        <v>che*****in@mail.edu.tw</v>
      </c>
      <c r="E3357" s="17" t="str">
        <f>IFERROR(__xludf.DUMMYFUNCTION("""COMPUTED_VALUE"""),"嘉義縣新港鄉復興國民小學")</f>
        <v>嘉義縣新港鄉復興國民小學</v>
      </c>
      <c r="F3357" s="14" t="str">
        <f>IFERROR(__xludf.DUMMYFUNCTION("""COMPUTED_VALUE"""),"六年級")</f>
        <v>六年級</v>
      </c>
      <c r="G3357" s="14" t="str">
        <f>IFERROR(__xludf.DUMMYFUNCTION("""COMPUTED_VALUE"""),"獎狀")</f>
        <v>獎狀</v>
      </c>
      <c r="H3357" s="8"/>
    </row>
    <row r="3358">
      <c r="A3358" s="18"/>
      <c r="B3358" s="14">
        <f>IFERROR(__xludf.DUMMYFUNCTION("""COMPUTED_VALUE"""),535500.0)</f>
        <v>535500</v>
      </c>
      <c r="C3358" s="14" t="str">
        <f>IFERROR(__xludf.DUMMYFUNCTION("""COMPUTED_VALUE"""),"鄭雅芬")</f>
        <v>鄭雅芬</v>
      </c>
      <c r="D3358" s="16" t="str">
        <f>IFERROR(__xludf.DUMMYFUNCTION("""COMPUTED_VALUE"""),"zhe*****en@mail.edu.tw")</f>
        <v>zhe*****en@mail.edu.tw</v>
      </c>
      <c r="E3358" s="17" t="str">
        <f>IFERROR(__xludf.DUMMYFUNCTION("""COMPUTED_VALUE"""),"嘉義縣新港鄉復興國民小學")</f>
        <v>嘉義縣新港鄉復興國民小學</v>
      </c>
      <c r="F3358" s="14" t="str">
        <f>IFERROR(__xludf.DUMMYFUNCTION("""COMPUTED_VALUE"""),"六年級")</f>
        <v>六年級</v>
      </c>
      <c r="G3358" s="14" t="str">
        <f>IFERROR(__xludf.DUMMYFUNCTION("""COMPUTED_VALUE"""),"獎狀")</f>
        <v>獎狀</v>
      </c>
      <c r="H3358" s="8"/>
    </row>
    <row r="3359">
      <c r="A3359" s="18"/>
      <c r="B3359" s="14">
        <f>IFERROR(__xludf.DUMMYFUNCTION("""COMPUTED_VALUE"""),1179809.0)</f>
        <v>1179809</v>
      </c>
      <c r="C3359" s="14" t="str">
        <f>IFERROR(__xludf.DUMMYFUNCTION("""COMPUTED_VALUE"""),"黃以恩")</f>
        <v>黃以恩</v>
      </c>
      <c r="D3359" s="16" t="str">
        <f>IFERROR(__xludf.DUMMYFUNCTION("""COMPUTED_VALUE"""),"hkp*****80@go.edu.tw")</f>
        <v>hkp*****80@go.edu.tw</v>
      </c>
      <c r="E3359" s="17" t="str">
        <f>IFERROR(__xludf.DUMMYFUNCTION("""COMPUTED_VALUE"""),"嘉義縣新港鄉新港國民小學")</f>
        <v>嘉義縣新港鄉新港國民小學</v>
      </c>
      <c r="F3359" s="14" t="str">
        <f>IFERROR(__xludf.DUMMYFUNCTION("""COMPUTED_VALUE"""),"五年級")</f>
        <v>五年級</v>
      </c>
      <c r="G3359" s="14" t="str">
        <f>IFERROR(__xludf.DUMMYFUNCTION("""COMPUTED_VALUE"""),"獎狀")</f>
        <v>獎狀</v>
      </c>
      <c r="H3359" s="8"/>
    </row>
    <row r="3360">
      <c r="A3360" s="18"/>
      <c r="B3360" s="14">
        <f>IFERROR(__xludf.DUMMYFUNCTION("""COMPUTED_VALUE"""),1032992.0)</f>
        <v>1032992</v>
      </c>
      <c r="C3360" s="14" t="str">
        <f>IFERROR(__xludf.DUMMYFUNCTION("""COMPUTED_VALUE"""),"蔡文謙")</f>
        <v>蔡文謙</v>
      </c>
      <c r="D3360" s="16" t="str">
        <f>IFERROR(__xludf.DUMMYFUNCTION("""COMPUTED_VALUE"""),"s10*****2@mail.edu.tw")</f>
        <v>s10*****2@mail.edu.tw</v>
      </c>
      <c r="E3360" s="17" t="str">
        <f>IFERROR(__xludf.DUMMYFUNCTION("""COMPUTED_VALUE"""),"嘉義縣民雄鄉三興國民小學")</f>
        <v>嘉義縣民雄鄉三興國民小學</v>
      </c>
      <c r="F3360" s="14" t="str">
        <f>IFERROR(__xludf.DUMMYFUNCTION("""COMPUTED_VALUE"""),"六年級")</f>
        <v>六年級</v>
      </c>
      <c r="G3360" s="14" t="str">
        <f>IFERROR(__xludf.DUMMYFUNCTION("""COMPUTED_VALUE"""),"●小禮物")</f>
        <v>●小禮物</v>
      </c>
      <c r="H3360" s="8"/>
    </row>
    <row r="3361">
      <c r="A3361" s="18"/>
      <c r="B3361" s="14">
        <f>IFERROR(__xludf.DUMMYFUNCTION("""COMPUTED_VALUE"""),1203208.0)</f>
        <v>1203208</v>
      </c>
      <c r="C3361" s="14" t="str">
        <f>IFERROR(__xludf.DUMMYFUNCTION("""COMPUTED_VALUE"""),"高唯恩")</f>
        <v>高唯恩</v>
      </c>
      <c r="D3361" s="16" t="str">
        <f>IFERROR(__xludf.DUMMYFUNCTION("""COMPUTED_VALUE"""),"kyl*****@gmail.com")</f>
        <v>kyl*****@gmail.com</v>
      </c>
      <c r="E3361" s="17" t="str">
        <f>IFERROR(__xludf.DUMMYFUNCTION("""COMPUTED_VALUE"""),"嘉義縣民雄鄉民雄國民小學")</f>
        <v>嘉義縣民雄鄉民雄國民小學</v>
      </c>
      <c r="F3361" s="14" t="str">
        <f>IFERROR(__xludf.DUMMYFUNCTION("""COMPUTED_VALUE"""),"四年級")</f>
        <v>四年級</v>
      </c>
      <c r="G3361" s="14" t="str">
        <f>IFERROR(__xludf.DUMMYFUNCTION("""COMPUTED_VALUE"""),"獎狀")</f>
        <v>獎狀</v>
      </c>
      <c r="H3361" s="8"/>
    </row>
    <row r="3362">
      <c r="A3362" s="18"/>
      <c r="B3362" s="14">
        <f>IFERROR(__xludf.DUMMYFUNCTION("""COMPUTED_VALUE"""),1141106.0)</f>
        <v>1141106</v>
      </c>
      <c r="C3362" s="14" t="str">
        <f>IFERROR(__xludf.DUMMYFUNCTION("""COMPUTED_VALUE"""),"楊喻茜")</f>
        <v>楊喻茜</v>
      </c>
      <c r="D3362" s="16" t="str">
        <f>IFERROR(__xludf.DUMMYFUNCTION("""COMPUTED_VALUE"""),"sle*****51@go.edu.tw")</f>
        <v>sle*****51@go.edu.tw</v>
      </c>
      <c r="E3362" s="17" t="str">
        <f>IFERROR(__xludf.DUMMYFUNCTION("""COMPUTED_VALUE"""),"嘉義縣民雄鄉秀林國民小學")</f>
        <v>嘉義縣民雄鄉秀林國民小學</v>
      </c>
      <c r="F3362" s="14" t="str">
        <f>IFERROR(__xludf.DUMMYFUNCTION("""COMPUTED_VALUE"""),"四年級")</f>
        <v>四年級</v>
      </c>
      <c r="G3362" s="14" t="str">
        <f>IFERROR(__xludf.DUMMYFUNCTION("""COMPUTED_VALUE"""),"●小禮物")</f>
        <v>●小禮物</v>
      </c>
      <c r="H3362" s="8"/>
    </row>
    <row r="3363">
      <c r="A3363" s="18"/>
      <c r="B3363" s="14">
        <f>IFERROR(__xludf.DUMMYFUNCTION("""COMPUTED_VALUE"""),707589.0)</f>
        <v>707589</v>
      </c>
      <c r="C3363" s="14" t="str">
        <f>IFERROR(__xludf.DUMMYFUNCTION("""COMPUTED_VALUE"""),"楊珮彤")</f>
        <v>楊珮彤</v>
      </c>
      <c r="D3363" s="16" t="str">
        <f>IFERROR(__xludf.DUMMYFUNCTION("""COMPUTED_VALUE"""),"yan*****ong53@gmail.com")</f>
        <v>yan*****ong53@gmail.com</v>
      </c>
      <c r="E3363" s="17" t="str">
        <f>IFERROR(__xludf.DUMMYFUNCTION("""COMPUTED_VALUE"""),"嘉義縣民雄鄉秀林國民小學")</f>
        <v>嘉義縣民雄鄉秀林國民小學</v>
      </c>
      <c r="F3363" s="14" t="str">
        <f>IFERROR(__xludf.DUMMYFUNCTION("""COMPUTED_VALUE"""),"五年級")</f>
        <v>五年級</v>
      </c>
      <c r="G3363" s="14" t="str">
        <f>IFERROR(__xludf.DUMMYFUNCTION("""COMPUTED_VALUE"""),"獎狀")</f>
        <v>獎狀</v>
      </c>
      <c r="H3363" s="8"/>
    </row>
    <row r="3364">
      <c r="A3364" s="18"/>
      <c r="B3364" s="14">
        <f>IFERROR(__xludf.DUMMYFUNCTION("""COMPUTED_VALUE"""),825893.0)</f>
        <v>825893</v>
      </c>
      <c r="C3364" s="14" t="str">
        <f>IFERROR(__xludf.DUMMYFUNCTION("""COMPUTED_VALUE"""),"余俊希")</f>
        <v>余俊希</v>
      </c>
      <c r="D3364" s="16" t="str">
        <f>IFERROR(__xludf.DUMMYFUNCTION("""COMPUTED_VALUE"""),"alb*****6612@gmail.com")</f>
        <v>alb*****6612@gmail.com</v>
      </c>
      <c r="E3364" s="17" t="str">
        <f>IFERROR(__xludf.DUMMYFUNCTION("""COMPUTED_VALUE"""),"嘉義縣民雄鄉秀林國民小學")</f>
        <v>嘉義縣民雄鄉秀林國民小學</v>
      </c>
      <c r="F3364" s="14" t="str">
        <f>IFERROR(__xludf.DUMMYFUNCTION("""COMPUTED_VALUE"""),"五年級")</f>
        <v>五年級</v>
      </c>
      <c r="G3364" s="14" t="str">
        <f>IFERROR(__xludf.DUMMYFUNCTION("""COMPUTED_VALUE"""),"●小禮物")</f>
        <v>●小禮物</v>
      </c>
      <c r="H3364" s="8"/>
    </row>
    <row r="3365">
      <c r="A3365" s="18"/>
      <c r="B3365" s="14">
        <f>IFERROR(__xludf.DUMMYFUNCTION("""COMPUTED_VALUE"""),813336.0)</f>
        <v>813336</v>
      </c>
      <c r="C3365" s="14" t="str">
        <f>IFERROR(__xludf.DUMMYFUNCTION("""COMPUTED_VALUE"""),"劉濬瑜")</f>
        <v>劉濬瑜</v>
      </c>
      <c r="D3365" s="16" t="str">
        <f>IFERROR(__xludf.DUMMYFUNCTION("""COMPUTED_VALUE"""),"yok*****211@gmail.com")</f>
        <v>yok*****211@gmail.com</v>
      </c>
      <c r="E3365" s="17" t="str">
        <f>IFERROR(__xludf.DUMMYFUNCTION("""COMPUTED_VALUE"""),"嘉義縣民雄鄉秀林國民小學")</f>
        <v>嘉義縣民雄鄉秀林國民小學</v>
      </c>
      <c r="F3365" s="14" t="str">
        <f>IFERROR(__xludf.DUMMYFUNCTION("""COMPUTED_VALUE"""),"五年級")</f>
        <v>五年級</v>
      </c>
      <c r="G3365" s="14" t="str">
        <f>IFERROR(__xludf.DUMMYFUNCTION("""COMPUTED_VALUE"""),"●小禮物")</f>
        <v>●小禮物</v>
      </c>
      <c r="H3365" s="8"/>
    </row>
    <row r="3366">
      <c r="A3366" s="18"/>
      <c r="B3366" s="14">
        <f>IFERROR(__xludf.DUMMYFUNCTION("""COMPUTED_VALUE"""),413222.0)</f>
        <v>413222</v>
      </c>
      <c r="C3366" s="14" t="str">
        <f>IFERROR(__xludf.DUMMYFUNCTION("""COMPUTED_VALUE"""),"呂亞倫")</f>
        <v>呂亞倫</v>
      </c>
      <c r="D3366" s="16" t="str">
        <f>IFERROR(__xludf.DUMMYFUNCTION("""COMPUTED_VALUE"""),"sle*****006@mail.edu.tw")</f>
        <v>sle*****006@mail.edu.tw</v>
      </c>
      <c r="E3366" s="17" t="str">
        <f>IFERROR(__xludf.DUMMYFUNCTION("""COMPUTED_VALUE"""),"嘉義縣民雄鄉秀林國民小學")</f>
        <v>嘉義縣民雄鄉秀林國民小學</v>
      </c>
      <c r="F3366" s="14" t="str">
        <f>IFERROR(__xludf.DUMMYFUNCTION("""COMPUTED_VALUE"""),"六年級")</f>
        <v>六年級</v>
      </c>
      <c r="G3366" s="14" t="str">
        <f>IFERROR(__xludf.DUMMYFUNCTION("""COMPUTED_VALUE"""),"●小禮物")</f>
        <v>●小禮物</v>
      </c>
      <c r="H3366" s="8"/>
    </row>
    <row r="3367">
      <c r="A3367" s="18"/>
      <c r="B3367" s="14">
        <f>IFERROR(__xludf.DUMMYFUNCTION("""COMPUTED_VALUE"""),1099856.0)</f>
        <v>1099856</v>
      </c>
      <c r="C3367" s="14" t="str">
        <f>IFERROR(__xludf.DUMMYFUNCTION("""COMPUTED_VALUE"""),"楊芸榛")</f>
        <v>楊芸榛</v>
      </c>
      <c r="D3367" s="16" t="str">
        <f>IFERROR(__xludf.DUMMYFUNCTION("""COMPUTED_VALUE"""),"sle*****59@go.edu.tw")</f>
        <v>sle*****59@go.edu.tw</v>
      </c>
      <c r="E3367" s="17" t="str">
        <f>IFERROR(__xludf.DUMMYFUNCTION("""COMPUTED_VALUE"""),"嘉義縣民雄鄉秀林國民小學")</f>
        <v>嘉義縣民雄鄉秀林國民小學</v>
      </c>
      <c r="F3367" s="14" t="str">
        <f>IFERROR(__xludf.DUMMYFUNCTION("""COMPUTED_VALUE"""),"六年級")</f>
        <v>六年級</v>
      </c>
      <c r="G3367" s="14" t="str">
        <f>IFERROR(__xludf.DUMMYFUNCTION("""COMPUTED_VALUE"""),"獎狀")</f>
        <v>獎狀</v>
      </c>
      <c r="H3367" s="8"/>
    </row>
    <row r="3368">
      <c r="A3368" s="18"/>
      <c r="B3368" s="14">
        <f>IFERROR(__xludf.DUMMYFUNCTION("""COMPUTED_VALUE"""),412628.0)</f>
        <v>412628</v>
      </c>
      <c r="C3368" s="14" t="str">
        <f>IFERROR(__xludf.DUMMYFUNCTION("""COMPUTED_VALUE"""),"許嘉修")</f>
        <v>許嘉修</v>
      </c>
      <c r="D3368" s="16" t="str">
        <f>IFERROR(__xludf.DUMMYFUNCTION("""COMPUTED_VALUE"""),"sle*****44@mail.edu.tw")</f>
        <v>sle*****44@mail.edu.tw</v>
      </c>
      <c r="E3368" s="17" t="str">
        <f>IFERROR(__xludf.DUMMYFUNCTION("""COMPUTED_VALUE"""),"嘉義縣民雄鄉秀林國民小學")</f>
        <v>嘉義縣民雄鄉秀林國民小學</v>
      </c>
      <c r="F3368" s="14" t="str">
        <f>IFERROR(__xludf.DUMMYFUNCTION("""COMPUTED_VALUE"""),"六年級")</f>
        <v>六年級</v>
      </c>
      <c r="G3368" s="14" t="str">
        <f>IFERROR(__xludf.DUMMYFUNCTION("""COMPUTED_VALUE"""),"獎狀")</f>
        <v>獎狀</v>
      </c>
      <c r="H3368" s="8"/>
    </row>
    <row r="3369">
      <c r="A3369" s="18"/>
      <c r="B3369" s="14">
        <f>IFERROR(__xludf.DUMMYFUNCTION("""COMPUTED_VALUE"""),857041.0)</f>
        <v>857041</v>
      </c>
      <c r="C3369" s="14" t="str">
        <f>IFERROR(__xludf.DUMMYFUNCTION("""COMPUTED_VALUE"""),"賴恩惠")</f>
        <v>賴恩惠</v>
      </c>
      <c r="D3369" s="16" t="str">
        <f>IFERROR(__xludf.DUMMYFUNCTION("""COMPUTED_VALUE"""),"108*****tu.trps.cyc.edu.tw")</f>
        <v>108*****tu.trps.cyc.edu.tw</v>
      </c>
      <c r="E3369" s="17" t="str">
        <f>IFERROR(__xludf.DUMMYFUNCTION("""COMPUTED_VALUE"""),"嘉義縣民雄鄉東榮國民小學")</f>
        <v>嘉義縣民雄鄉東榮國民小學</v>
      </c>
      <c r="F3369" s="14" t="str">
        <f>IFERROR(__xludf.DUMMYFUNCTION("""COMPUTED_VALUE"""),"四年級")</f>
        <v>四年級</v>
      </c>
      <c r="G3369" s="14" t="str">
        <f>IFERROR(__xludf.DUMMYFUNCTION("""COMPUTED_VALUE"""),"獎狀")</f>
        <v>獎狀</v>
      </c>
      <c r="H3369" s="8"/>
    </row>
    <row r="3370">
      <c r="A3370" s="18"/>
      <c r="B3370" s="14">
        <f>IFERROR(__xludf.DUMMYFUNCTION("""COMPUTED_VALUE"""),874528.0)</f>
        <v>874528</v>
      </c>
      <c r="C3370" s="14" t="str">
        <f>IFERROR(__xludf.DUMMYFUNCTION("""COMPUTED_VALUE"""),"林叡玹")</f>
        <v>林叡玹</v>
      </c>
      <c r="D3370" s="16" t="str">
        <f>IFERROR(__xludf.DUMMYFUNCTION("""COMPUTED_VALUE"""),"108*****tu.trps.cyc.edu.tw")</f>
        <v>108*****tu.trps.cyc.edu.tw</v>
      </c>
      <c r="E3370" s="17" t="str">
        <f>IFERROR(__xludf.DUMMYFUNCTION("""COMPUTED_VALUE"""),"嘉義縣民雄鄉東榮國民小學")</f>
        <v>嘉義縣民雄鄉東榮國民小學</v>
      </c>
      <c r="F3370" s="14" t="str">
        <f>IFERROR(__xludf.DUMMYFUNCTION("""COMPUTED_VALUE"""),"四年級")</f>
        <v>四年級</v>
      </c>
      <c r="G3370" s="14" t="str">
        <f>IFERROR(__xludf.DUMMYFUNCTION("""COMPUTED_VALUE"""),"獎狀")</f>
        <v>獎狀</v>
      </c>
      <c r="H3370" s="8"/>
    </row>
    <row r="3371">
      <c r="A3371" s="18"/>
      <c r="B3371" s="14">
        <f>IFERROR(__xludf.DUMMYFUNCTION("""COMPUTED_VALUE"""),1003964.0)</f>
        <v>1003964</v>
      </c>
      <c r="C3371" s="14" t="str">
        <f>IFERROR(__xludf.DUMMYFUNCTION("""COMPUTED_VALUE"""),"陳昕玥")</f>
        <v>陳昕玥</v>
      </c>
      <c r="D3371" s="16" t="str">
        <f>IFERROR(__xludf.DUMMYFUNCTION("""COMPUTED_VALUE"""),"csy*****@mail.edu.tw")</f>
        <v>csy*****@mail.edu.tw</v>
      </c>
      <c r="E3371" s="17" t="str">
        <f>IFERROR(__xludf.DUMMYFUNCTION("""COMPUTED_VALUE"""),"嘉義縣民雄鄉東榮國民小學")</f>
        <v>嘉義縣民雄鄉東榮國民小學</v>
      </c>
      <c r="F3371" s="14" t="str">
        <f>IFERROR(__xludf.DUMMYFUNCTION("""COMPUTED_VALUE"""),"六年級")</f>
        <v>六年級</v>
      </c>
      <c r="G3371" s="14" t="str">
        <f>IFERROR(__xludf.DUMMYFUNCTION("""COMPUTED_VALUE"""),"●小禮物")</f>
        <v>●小禮物</v>
      </c>
      <c r="H3371" s="8"/>
    </row>
    <row r="3372">
      <c r="A3372" s="18"/>
      <c r="B3372" s="14">
        <f>IFERROR(__xludf.DUMMYFUNCTION("""COMPUTED_VALUE"""),802672.0)</f>
        <v>802672</v>
      </c>
      <c r="C3372" s="14" t="str">
        <f>IFERROR(__xludf.DUMMYFUNCTION("""COMPUTED_VALUE"""),"張明桂")</f>
        <v>張明桂</v>
      </c>
      <c r="D3372" s="16" t="str">
        <f>IFERROR(__xludf.DUMMYFUNCTION("""COMPUTED_VALUE"""),"mic*****01@mail.edu.tw")</f>
        <v>mic*****01@mail.edu.tw</v>
      </c>
      <c r="E3372" s="17" t="str">
        <f>IFERROR(__xludf.DUMMYFUNCTION("""COMPUTED_VALUE"""),"嘉義縣溪口鄉柳溝國民小學")</f>
        <v>嘉義縣溪口鄉柳溝國民小學</v>
      </c>
      <c r="F3372" s="14" t="str">
        <f>IFERROR(__xludf.DUMMYFUNCTION("""COMPUTED_VALUE"""),"四年級")</f>
        <v>四年級</v>
      </c>
      <c r="G3372" s="14" t="str">
        <f>IFERROR(__xludf.DUMMYFUNCTION("""COMPUTED_VALUE"""),"●小禮物")</f>
        <v>●小禮物</v>
      </c>
      <c r="H3372" s="8"/>
    </row>
    <row r="3373">
      <c r="A3373" s="18"/>
      <c r="B3373" s="14">
        <f>IFERROR(__xludf.DUMMYFUNCTION("""COMPUTED_VALUE"""),805300.0)</f>
        <v>805300</v>
      </c>
      <c r="C3373" s="14" t="str">
        <f>IFERROR(__xludf.DUMMYFUNCTION("""COMPUTED_VALUE"""),"劉穎潔")</f>
        <v>劉穎潔</v>
      </c>
      <c r="D3373" s="16" t="str">
        <f>IFERROR(__xludf.DUMMYFUNCTION("""COMPUTED_VALUE"""),"ang*****5@mail.edu.tw")</f>
        <v>ang*****5@mail.edu.tw</v>
      </c>
      <c r="E3373" s="17" t="str">
        <f>IFERROR(__xludf.DUMMYFUNCTION("""COMPUTED_VALUE"""),"嘉義縣溪口鄉柳溝國民小學")</f>
        <v>嘉義縣溪口鄉柳溝國民小學</v>
      </c>
      <c r="F3373" s="14" t="str">
        <f>IFERROR(__xludf.DUMMYFUNCTION("""COMPUTED_VALUE"""),"四年級")</f>
        <v>四年級</v>
      </c>
      <c r="G3373" s="14" t="str">
        <f>IFERROR(__xludf.DUMMYFUNCTION("""COMPUTED_VALUE"""),"●小禮物")</f>
        <v>●小禮物</v>
      </c>
      <c r="H3373" s="8"/>
    </row>
    <row r="3374">
      <c r="A3374" s="18"/>
      <c r="B3374" s="14">
        <f>IFERROR(__xludf.DUMMYFUNCTION("""COMPUTED_VALUE"""),805335.0)</f>
        <v>805335</v>
      </c>
      <c r="C3374" s="14" t="str">
        <f>IFERROR(__xludf.DUMMYFUNCTION("""COMPUTED_VALUE"""),"何姿瑩")</f>
        <v>何姿瑩</v>
      </c>
      <c r="D3374" s="16" t="str">
        <f>IFERROR(__xludf.DUMMYFUNCTION("""COMPUTED_VALUE"""),"viv*****03@mail.edu.tw")</f>
        <v>viv*****03@mail.edu.tw</v>
      </c>
      <c r="E3374" s="17" t="str">
        <f>IFERROR(__xludf.DUMMYFUNCTION("""COMPUTED_VALUE"""),"嘉義縣溪口鄉柳溝國民小學")</f>
        <v>嘉義縣溪口鄉柳溝國民小學</v>
      </c>
      <c r="F3374" s="14" t="str">
        <f>IFERROR(__xludf.DUMMYFUNCTION("""COMPUTED_VALUE"""),"四年級")</f>
        <v>四年級</v>
      </c>
      <c r="G3374" s="14" t="str">
        <f>IFERROR(__xludf.DUMMYFUNCTION("""COMPUTED_VALUE"""),"獎狀")</f>
        <v>獎狀</v>
      </c>
      <c r="H3374" s="8"/>
    </row>
    <row r="3375">
      <c r="A3375" s="18"/>
      <c r="B3375" s="14">
        <f>IFERROR(__xludf.DUMMYFUNCTION("""COMPUTED_VALUE"""),805306.0)</f>
        <v>805306</v>
      </c>
      <c r="C3375" s="14" t="str">
        <f>IFERROR(__xludf.DUMMYFUNCTION("""COMPUTED_VALUE"""),"陳虹妤")</f>
        <v>陳虹妤</v>
      </c>
      <c r="D3375" s="16" t="str">
        <f>IFERROR(__xludf.DUMMYFUNCTION("""COMPUTED_VALUE"""),"min*****@mail.edu.tw")</f>
        <v>min*****@mail.edu.tw</v>
      </c>
      <c r="E3375" s="17" t="str">
        <f>IFERROR(__xludf.DUMMYFUNCTION("""COMPUTED_VALUE"""),"嘉義縣溪口鄉柳溝國民小學")</f>
        <v>嘉義縣溪口鄉柳溝國民小學</v>
      </c>
      <c r="F3375" s="14" t="str">
        <f>IFERROR(__xludf.DUMMYFUNCTION("""COMPUTED_VALUE"""),"四年級")</f>
        <v>四年級</v>
      </c>
      <c r="G3375" s="14" t="str">
        <f>IFERROR(__xludf.DUMMYFUNCTION("""COMPUTED_VALUE"""),"獎狀")</f>
        <v>獎狀</v>
      </c>
      <c r="H3375" s="8"/>
    </row>
    <row r="3376">
      <c r="A3376" s="18"/>
      <c r="B3376" s="14">
        <f>IFERROR(__xludf.DUMMYFUNCTION("""COMPUTED_VALUE"""),802656.0)</f>
        <v>802656</v>
      </c>
      <c r="C3376" s="14" t="str">
        <f>IFERROR(__xludf.DUMMYFUNCTION("""COMPUTED_VALUE"""),"朱建育")</f>
        <v>朱建育</v>
      </c>
      <c r="D3376" s="16" t="str">
        <f>IFERROR(__xludf.DUMMYFUNCTION("""COMPUTED_VALUE"""),"tom*****11@mail.edu.tw")</f>
        <v>tom*****11@mail.edu.tw</v>
      </c>
      <c r="E3376" s="17" t="str">
        <f>IFERROR(__xludf.DUMMYFUNCTION("""COMPUTED_VALUE"""),"嘉義縣溪口鄉柳溝國民小學")</f>
        <v>嘉義縣溪口鄉柳溝國民小學</v>
      </c>
      <c r="F3376" s="14" t="str">
        <f>IFERROR(__xludf.DUMMYFUNCTION("""COMPUTED_VALUE"""),"四年級")</f>
        <v>四年級</v>
      </c>
      <c r="G3376" s="14" t="str">
        <f>IFERROR(__xludf.DUMMYFUNCTION("""COMPUTED_VALUE"""),"獎狀")</f>
        <v>獎狀</v>
      </c>
      <c r="H3376" s="8"/>
    </row>
    <row r="3377">
      <c r="A3377" s="18"/>
      <c r="B3377" s="14">
        <f>IFERROR(__xludf.DUMMYFUNCTION("""COMPUTED_VALUE"""),794707.0)</f>
        <v>794707</v>
      </c>
      <c r="C3377" s="14" t="str">
        <f>IFERROR(__xludf.DUMMYFUNCTION("""COMPUTED_VALUE"""),"葉書佑")</f>
        <v>葉書佑</v>
      </c>
      <c r="D3377" s="16" t="str">
        <f>IFERROR(__xludf.DUMMYFUNCTION("""COMPUTED_VALUE"""),"neo*****mail.edu.tw")</f>
        <v>neo*****mail.edu.tw</v>
      </c>
      <c r="E3377" s="17" t="str">
        <f>IFERROR(__xludf.DUMMYFUNCTION("""COMPUTED_VALUE"""),"嘉義縣溪口鄉柳溝國民小學")</f>
        <v>嘉義縣溪口鄉柳溝國民小學</v>
      </c>
      <c r="F3377" s="14" t="str">
        <f>IFERROR(__xludf.DUMMYFUNCTION("""COMPUTED_VALUE"""),"四年級")</f>
        <v>四年級</v>
      </c>
      <c r="G3377" s="14" t="str">
        <f>IFERROR(__xludf.DUMMYFUNCTION("""COMPUTED_VALUE"""),"獎狀")</f>
        <v>獎狀</v>
      </c>
      <c r="H3377" s="8"/>
    </row>
    <row r="3378">
      <c r="A3378" s="18"/>
      <c r="B3378" s="14">
        <f>IFERROR(__xludf.DUMMYFUNCTION("""COMPUTED_VALUE"""),477133.0)</f>
        <v>477133</v>
      </c>
      <c r="C3378" s="14" t="str">
        <f>IFERROR(__xludf.DUMMYFUNCTION("""COMPUTED_VALUE"""),"林宏勳")</f>
        <v>林宏勳</v>
      </c>
      <c r="D3378" s="16" t="str">
        <f>IFERROR(__xludf.DUMMYFUNCTION("""COMPUTED_VALUE"""),"nic*****1@mail.edu.tw")</f>
        <v>nic*****1@mail.edu.tw</v>
      </c>
      <c r="E3378" s="17" t="str">
        <f>IFERROR(__xludf.DUMMYFUNCTION("""COMPUTED_VALUE"""),"嘉義縣溪口鄉柳溝國民小學")</f>
        <v>嘉義縣溪口鄉柳溝國民小學</v>
      </c>
      <c r="F3378" s="14" t="str">
        <f>IFERROR(__xludf.DUMMYFUNCTION("""COMPUTED_VALUE"""),"五年級")</f>
        <v>五年級</v>
      </c>
      <c r="G3378" s="14" t="str">
        <f>IFERROR(__xludf.DUMMYFUNCTION("""COMPUTED_VALUE"""),"●小禮物")</f>
        <v>●小禮物</v>
      </c>
      <c r="H3378" s="8"/>
    </row>
    <row r="3379">
      <c r="A3379" s="18"/>
      <c r="B3379" s="14">
        <f>IFERROR(__xludf.DUMMYFUNCTION("""COMPUTED_VALUE"""),477140.0)</f>
        <v>477140</v>
      </c>
      <c r="C3379" s="14" t="str">
        <f>IFERROR(__xludf.DUMMYFUNCTION("""COMPUTED_VALUE"""),"張菀芹")</f>
        <v>張菀芹</v>
      </c>
      <c r="D3379" s="16" t="str">
        <f>IFERROR(__xludf.DUMMYFUNCTION("""COMPUTED_VALUE"""),"wen*****06@mail.edu.tw")</f>
        <v>wen*****06@mail.edu.tw</v>
      </c>
      <c r="E3379" s="17" t="str">
        <f>IFERROR(__xludf.DUMMYFUNCTION("""COMPUTED_VALUE"""),"嘉義縣溪口鄉柳溝國民小學")</f>
        <v>嘉義縣溪口鄉柳溝國民小學</v>
      </c>
      <c r="F3379" s="14" t="str">
        <f>IFERROR(__xludf.DUMMYFUNCTION("""COMPUTED_VALUE"""),"五年級")</f>
        <v>五年級</v>
      </c>
      <c r="G3379" s="14" t="str">
        <f>IFERROR(__xludf.DUMMYFUNCTION("""COMPUTED_VALUE"""),"●小禮物")</f>
        <v>●小禮物</v>
      </c>
      <c r="H3379" s="8"/>
    </row>
    <row r="3380">
      <c r="A3380" s="18"/>
      <c r="B3380" s="14">
        <f>IFERROR(__xludf.DUMMYFUNCTION("""COMPUTED_VALUE"""),477139.0)</f>
        <v>477139</v>
      </c>
      <c r="C3380" s="14" t="str">
        <f>IFERROR(__xludf.DUMMYFUNCTION("""COMPUTED_VALUE"""),"劉祐廷")</f>
        <v>劉祐廷</v>
      </c>
      <c r="D3380" s="16" t="str">
        <f>IFERROR(__xludf.DUMMYFUNCTION("""COMPUTED_VALUE"""),"tim*****@mail.edu.tw")</f>
        <v>tim*****@mail.edu.tw</v>
      </c>
      <c r="E3380" s="17" t="str">
        <f>IFERROR(__xludf.DUMMYFUNCTION("""COMPUTED_VALUE"""),"嘉義縣溪口鄉柳溝國民小學")</f>
        <v>嘉義縣溪口鄉柳溝國民小學</v>
      </c>
      <c r="F3380" s="14" t="str">
        <f>IFERROR(__xludf.DUMMYFUNCTION("""COMPUTED_VALUE"""),"五年級")</f>
        <v>五年級</v>
      </c>
      <c r="G3380" s="14" t="str">
        <f>IFERROR(__xludf.DUMMYFUNCTION("""COMPUTED_VALUE"""),"●小禮物")</f>
        <v>●小禮物</v>
      </c>
      <c r="H3380" s="8"/>
    </row>
    <row r="3381">
      <c r="A3381" s="18"/>
      <c r="B3381" s="14">
        <f>IFERROR(__xludf.DUMMYFUNCTION("""COMPUTED_VALUE"""),477136.0)</f>
        <v>477136</v>
      </c>
      <c r="C3381" s="14" t="str">
        <f>IFERROR(__xludf.DUMMYFUNCTION("""COMPUTED_VALUE"""),"嚴育樑")</f>
        <v>嚴育樑</v>
      </c>
      <c r="D3381" s="16" t="str">
        <f>IFERROR(__xludf.DUMMYFUNCTION("""COMPUTED_VALUE"""),"max*****mail.edu.tw")</f>
        <v>max*****mail.edu.tw</v>
      </c>
      <c r="E3381" s="17" t="str">
        <f>IFERROR(__xludf.DUMMYFUNCTION("""COMPUTED_VALUE"""),"嘉義縣溪口鄉柳溝國民小學")</f>
        <v>嘉義縣溪口鄉柳溝國民小學</v>
      </c>
      <c r="F3381" s="14" t="str">
        <f>IFERROR(__xludf.DUMMYFUNCTION("""COMPUTED_VALUE"""),"五年級")</f>
        <v>五年級</v>
      </c>
      <c r="G3381" s="14" t="str">
        <f>IFERROR(__xludf.DUMMYFUNCTION("""COMPUTED_VALUE"""),"●小禮物")</f>
        <v>●小禮物</v>
      </c>
      <c r="H3381" s="8"/>
    </row>
    <row r="3382">
      <c r="A3382" s="18"/>
      <c r="B3382" s="14">
        <f>IFERROR(__xludf.DUMMYFUNCTION("""COMPUTED_VALUE"""),477137.0)</f>
        <v>477137</v>
      </c>
      <c r="C3382" s="14" t="str">
        <f>IFERROR(__xludf.DUMMYFUNCTION("""COMPUTED_VALUE"""),"江秉紘")</f>
        <v>江秉紘</v>
      </c>
      <c r="D3382" s="16" t="str">
        <f>IFERROR(__xludf.DUMMYFUNCTION("""COMPUTED_VALUE"""),"han*****3@mail.edu.tw")</f>
        <v>han*****3@mail.edu.tw</v>
      </c>
      <c r="E3382" s="17" t="str">
        <f>IFERROR(__xludf.DUMMYFUNCTION("""COMPUTED_VALUE"""),"嘉義縣溪口鄉柳溝國民小學")</f>
        <v>嘉義縣溪口鄉柳溝國民小學</v>
      </c>
      <c r="F3382" s="14" t="str">
        <f>IFERROR(__xludf.DUMMYFUNCTION("""COMPUTED_VALUE"""),"五年級")</f>
        <v>五年級</v>
      </c>
      <c r="G3382" s="14" t="str">
        <f>IFERROR(__xludf.DUMMYFUNCTION("""COMPUTED_VALUE"""),"獎狀")</f>
        <v>獎狀</v>
      </c>
      <c r="H3382" s="8"/>
    </row>
    <row r="3383">
      <c r="A3383" s="18"/>
      <c r="B3383" s="14">
        <f>IFERROR(__xludf.DUMMYFUNCTION("""COMPUTED_VALUE"""),477155.0)</f>
        <v>477155</v>
      </c>
      <c r="C3383" s="14" t="str">
        <f>IFERROR(__xludf.DUMMYFUNCTION("""COMPUTED_VALUE"""),"楊雅舒")</f>
        <v>楊雅舒</v>
      </c>
      <c r="D3383" s="16" t="str">
        <f>IFERROR(__xludf.DUMMYFUNCTION("""COMPUTED_VALUE"""),"sue*****@mail.edu.tw")</f>
        <v>sue*****@mail.edu.tw</v>
      </c>
      <c r="E3383" s="17" t="str">
        <f>IFERROR(__xludf.DUMMYFUNCTION("""COMPUTED_VALUE"""),"嘉義縣溪口鄉柳溝國民小學")</f>
        <v>嘉義縣溪口鄉柳溝國民小學</v>
      </c>
      <c r="F3383" s="14" t="str">
        <f>IFERROR(__xludf.DUMMYFUNCTION("""COMPUTED_VALUE"""),"五年級")</f>
        <v>五年級</v>
      </c>
      <c r="G3383" s="14" t="str">
        <f>IFERROR(__xludf.DUMMYFUNCTION("""COMPUTED_VALUE"""),"獎狀")</f>
        <v>獎狀</v>
      </c>
      <c r="H3383" s="8"/>
    </row>
    <row r="3384">
      <c r="A3384" s="18"/>
      <c r="B3384" s="14">
        <f>IFERROR(__xludf.DUMMYFUNCTION("""COMPUTED_VALUE"""),534894.0)</f>
        <v>534894</v>
      </c>
      <c r="C3384" s="14" t="str">
        <f>IFERROR(__xludf.DUMMYFUNCTION("""COMPUTED_VALUE"""),"曾楷嘉")</f>
        <v>曾楷嘉</v>
      </c>
      <c r="D3384" s="16" t="str">
        <f>IFERROR(__xludf.DUMMYFUNCTION("""COMPUTED_VALUE"""),"kyl*****614@mail.edu.tw")</f>
        <v>kyl*****614@mail.edu.tw</v>
      </c>
      <c r="E3384" s="17" t="str">
        <f>IFERROR(__xludf.DUMMYFUNCTION("""COMPUTED_VALUE"""),"嘉義縣溪口鄉柳溝國民小學")</f>
        <v>嘉義縣溪口鄉柳溝國民小學</v>
      </c>
      <c r="F3384" s="14" t="str">
        <f>IFERROR(__xludf.DUMMYFUNCTION("""COMPUTED_VALUE"""),"五年級")</f>
        <v>五年級</v>
      </c>
      <c r="G3384" s="14" t="str">
        <f>IFERROR(__xludf.DUMMYFUNCTION("""COMPUTED_VALUE"""),"●小禮物")</f>
        <v>●小禮物</v>
      </c>
      <c r="H3384" s="8"/>
    </row>
    <row r="3385">
      <c r="A3385" s="18"/>
      <c r="B3385" s="14">
        <f>IFERROR(__xludf.DUMMYFUNCTION("""COMPUTED_VALUE"""),534873.0)</f>
        <v>534873</v>
      </c>
      <c r="C3385" s="14" t="str">
        <f>IFERROR(__xludf.DUMMYFUNCTION("""COMPUTED_VALUE"""),"劉子安")</f>
        <v>劉子安</v>
      </c>
      <c r="D3385" s="16" t="str">
        <f>IFERROR(__xludf.DUMMYFUNCTION("""COMPUTED_VALUE"""),"and*****430@mail.edu.tw")</f>
        <v>and*****430@mail.edu.tw</v>
      </c>
      <c r="E3385" s="17" t="str">
        <f>IFERROR(__xludf.DUMMYFUNCTION("""COMPUTED_VALUE"""),"嘉義縣溪口鄉柳溝國民小學")</f>
        <v>嘉義縣溪口鄉柳溝國民小學</v>
      </c>
      <c r="F3385" s="14" t="str">
        <f>IFERROR(__xludf.DUMMYFUNCTION("""COMPUTED_VALUE"""),"五年級")</f>
        <v>五年級</v>
      </c>
      <c r="G3385" s="14" t="str">
        <f>IFERROR(__xludf.DUMMYFUNCTION("""COMPUTED_VALUE"""),"●小禮物")</f>
        <v>●小禮物</v>
      </c>
      <c r="H3385" s="8"/>
    </row>
    <row r="3386">
      <c r="A3386" s="18"/>
      <c r="B3386" s="14">
        <f>IFERROR(__xludf.DUMMYFUNCTION("""COMPUTED_VALUE"""),534820.0)</f>
        <v>534820</v>
      </c>
      <c r="C3386" s="14" t="str">
        <f>IFERROR(__xludf.DUMMYFUNCTION("""COMPUTED_VALUE"""),"賴翊展")</f>
        <v>賴翊展</v>
      </c>
      <c r="D3386" s="16" t="str">
        <f>IFERROR(__xludf.DUMMYFUNCTION("""COMPUTED_VALUE"""),"rya*****905@mail.edu.tw")</f>
        <v>rya*****905@mail.edu.tw</v>
      </c>
      <c r="E3386" s="17" t="str">
        <f>IFERROR(__xludf.DUMMYFUNCTION("""COMPUTED_VALUE"""),"嘉義縣溪口鄉柳溝國民小學")</f>
        <v>嘉義縣溪口鄉柳溝國民小學</v>
      </c>
      <c r="F3386" s="14" t="str">
        <f>IFERROR(__xludf.DUMMYFUNCTION("""COMPUTED_VALUE"""),"五年級")</f>
        <v>五年級</v>
      </c>
      <c r="G3386" s="14" t="str">
        <f>IFERROR(__xludf.DUMMYFUNCTION("""COMPUTED_VALUE"""),"●小禮物")</f>
        <v>●小禮物</v>
      </c>
      <c r="H3386" s="8"/>
    </row>
    <row r="3387">
      <c r="A3387" s="18"/>
      <c r="B3387" s="14">
        <f>IFERROR(__xludf.DUMMYFUNCTION("""COMPUTED_VALUE"""),477138.0)</f>
        <v>477138</v>
      </c>
      <c r="C3387" s="14" t="str">
        <f>IFERROR(__xludf.DUMMYFUNCTION("""COMPUTED_VALUE"""),"林書佑")</f>
        <v>林書佑</v>
      </c>
      <c r="D3387" s="16" t="str">
        <f>IFERROR(__xludf.DUMMYFUNCTION("""COMPUTED_VALUE"""),"sea*****4@mail.edu.tw")</f>
        <v>sea*****4@mail.edu.tw</v>
      </c>
      <c r="E3387" s="17" t="str">
        <f>IFERROR(__xludf.DUMMYFUNCTION("""COMPUTED_VALUE"""),"嘉義縣溪口鄉柳溝國民小學")</f>
        <v>嘉義縣溪口鄉柳溝國民小學</v>
      </c>
      <c r="F3387" s="14" t="str">
        <f>IFERROR(__xludf.DUMMYFUNCTION("""COMPUTED_VALUE"""),"五年級")</f>
        <v>五年級</v>
      </c>
      <c r="G3387" s="14" t="str">
        <f>IFERROR(__xludf.DUMMYFUNCTION("""COMPUTED_VALUE"""),"獎狀")</f>
        <v>獎狀</v>
      </c>
      <c r="H3387" s="8"/>
    </row>
    <row r="3388">
      <c r="A3388" s="18"/>
      <c r="B3388" s="14">
        <f>IFERROR(__xludf.DUMMYFUNCTION("""COMPUTED_VALUE"""),534920.0)</f>
        <v>534920</v>
      </c>
      <c r="C3388" s="14" t="str">
        <f>IFERROR(__xludf.DUMMYFUNCTION("""COMPUTED_VALUE"""),"柯柔妘")</f>
        <v>柯柔妘</v>
      </c>
      <c r="D3388" s="16" t="str">
        <f>IFERROR(__xludf.DUMMYFUNCTION("""COMPUTED_VALUE"""),"zoe*****25@mail.edu.tw")</f>
        <v>zoe*****25@mail.edu.tw</v>
      </c>
      <c r="E3388" s="17" t="str">
        <f>IFERROR(__xludf.DUMMYFUNCTION("""COMPUTED_VALUE"""),"嘉義縣溪口鄉柳溝國民小學")</f>
        <v>嘉義縣溪口鄉柳溝國民小學</v>
      </c>
      <c r="F3388" s="14" t="str">
        <f>IFERROR(__xludf.DUMMYFUNCTION("""COMPUTED_VALUE"""),"五年級")</f>
        <v>五年級</v>
      </c>
      <c r="G3388" s="14" t="str">
        <f>IFERROR(__xludf.DUMMYFUNCTION("""COMPUTED_VALUE"""),"獎狀")</f>
        <v>獎狀</v>
      </c>
      <c r="H3388" s="8"/>
    </row>
    <row r="3389">
      <c r="A3389" s="18"/>
      <c r="B3389" s="14">
        <f>IFERROR(__xludf.DUMMYFUNCTION("""COMPUTED_VALUE"""),534944.0)</f>
        <v>534944</v>
      </c>
      <c r="C3389" s="14" t="str">
        <f>IFERROR(__xludf.DUMMYFUNCTION("""COMPUTED_VALUE"""),"陳玟吟")</f>
        <v>陳玟吟</v>
      </c>
      <c r="D3389" s="16" t="str">
        <f>IFERROR(__xludf.DUMMYFUNCTION("""COMPUTED_VALUE"""),"ivy*****24@mail.edu.tw")</f>
        <v>ivy*****24@mail.edu.tw</v>
      </c>
      <c r="E3389" s="17" t="str">
        <f>IFERROR(__xludf.DUMMYFUNCTION("""COMPUTED_VALUE"""),"嘉義縣溪口鄉柳溝國民小學")</f>
        <v>嘉義縣溪口鄉柳溝國民小學</v>
      </c>
      <c r="F3389" s="14" t="str">
        <f>IFERROR(__xludf.DUMMYFUNCTION("""COMPUTED_VALUE"""),"五年級")</f>
        <v>五年級</v>
      </c>
      <c r="G3389" s="14" t="str">
        <f>IFERROR(__xludf.DUMMYFUNCTION("""COMPUTED_VALUE"""),"獎狀")</f>
        <v>獎狀</v>
      </c>
      <c r="H3389" s="8"/>
    </row>
    <row r="3390">
      <c r="A3390" s="18"/>
      <c r="B3390" s="14">
        <f>IFERROR(__xludf.DUMMYFUNCTION("""COMPUTED_VALUE"""),534837.0)</f>
        <v>534837</v>
      </c>
      <c r="C3390" s="14" t="str">
        <f>IFERROR(__xludf.DUMMYFUNCTION("""COMPUTED_VALUE"""),"黃唯宬")</f>
        <v>黃唯宬</v>
      </c>
      <c r="D3390" s="16" t="str">
        <f>IFERROR(__xludf.DUMMYFUNCTION("""COMPUTED_VALUE"""),"wil*****01015@mail.edu.tw")</f>
        <v>wil*****01015@mail.edu.tw</v>
      </c>
      <c r="E3390" s="17" t="str">
        <f>IFERROR(__xludf.DUMMYFUNCTION("""COMPUTED_VALUE"""),"嘉義縣溪口鄉柳溝國民小學")</f>
        <v>嘉義縣溪口鄉柳溝國民小學</v>
      </c>
      <c r="F3390" s="14" t="str">
        <f>IFERROR(__xludf.DUMMYFUNCTION("""COMPUTED_VALUE"""),"五年級")</f>
        <v>五年級</v>
      </c>
      <c r="G3390" s="14" t="str">
        <f>IFERROR(__xludf.DUMMYFUNCTION("""COMPUTED_VALUE"""),"獎狀")</f>
        <v>獎狀</v>
      </c>
      <c r="H3390" s="8"/>
    </row>
    <row r="3391">
      <c r="A3391" s="18"/>
      <c r="B3391" s="14">
        <f>IFERROR(__xludf.DUMMYFUNCTION("""COMPUTED_VALUE"""),534858.0)</f>
        <v>534858</v>
      </c>
      <c r="C3391" s="14" t="str">
        <f>IFERROR(__xludf.DUMMYFUNCTION("""COMPUTED_VALUE"""),"劉子平")</f>
        <v>劉子平</v>
      </c>
      <c r="D3391" s="16" t="str">
        <f>IFERROR(__xludf.DUMMYFUNCTION("""COMPUTED_VALUE"""),"pet*****0430@mail.edu.tw")</f>
        <v>pet*****0430@mail.edu.tw</v>
      </c>
      <c r="E3391" s="17" t="str">
        <f>IFERROR(__xludf.DUMMYFUNCTION("""COMPUTED_VALUE"""),"嘉義縣溪口鄉柳溝國民小學")</f>
        <v>嘉義縣溪口鄉柳溝國民小學</v>
      </c>
      <c r="F3391" s="14" t="str">
        <f>IFERROR(__xludf.DUMMYFUNCTION("""COMPUTED_VALUE"""),"五年級")</f>
        <v>五年級</v>
      </c>
      <c r="G3391" s="14" t="str">
        <f>IFERROR(__xludf.DUMMYFUNCTION("""COMPUTED_VALUE"""),"獎狀")</f>
        <v>獎狀</v>
      </c>
      <c r="H3391" s="8"/>
    </row>
    <row r="3392">
      <c r="A3392" s="18"/>
      <c r="B3392" s="14">
        <f>IFERROR(__xludf.DUMMYFUNCTION("""COMPUTED_VALUE"""),494228.0)</f>
        <v>494228</v>
      </c>
      <c r="C3392" s="14" t="str">
        <f>IFERROR(__xludf.DUMMYFUNCTION("""COMPUTED_VALUE"""),"蔡依庭")</f>
        <v>蔡依庭</v>
      </c>
      <c r="D3392" s="16" t="str">
        <f>IFERROR(__xludf.DUMMYFUNCTION("""COMPUTED_VALUE"""),"tin*****8@mail.edu.tw")</f>
        <v>tin*****8@mail.edu.tw</v>
      </c>
      <c r="E3392" s="17" t="str">
        <f>IFERROR(__xludf.DUMMYFUNCTION("""COMPUTED_VALUE"""),"嘉義縣溪口鄉柳溝國民小學")</f>
        <v>嘉義縣溪口鄉柳溝國民小學</v>
      </c>
      <c r="F3392" s="14" t="str">
        <f>IFERROR(__xludf.DUMMYFUNCTION("""COMPUTED_VALUE"""),"五年級")</f>
        <v>五年級</v>
      </c>
      <c r="G3392" s="14" t="str">
        <f>IFERROR(__xludf.DUMMYFUNCTION("""COMPUTED_VALUE"""),"獎狀")</f>
        <v>獎狀</v>
      </c>
      <c r="H3392" s="8"/>
    </row>
    <row r="3393">
      <c r="A3393" s="18"/>
      <c r="B3393" s="14">
        <f>IFERROR(__xludf.DUMMYFUNCTION("""COMPUTED_VALUE"""),534957.0)</f>
        <v>534957</v>
      </c>
      <c r="C3393" s="14" t="str">
        <f>IFERROR(__xludf.DUMMYFUNCTION("""COMPUTED_VALUE"""),"鄭采紜")</f>
        <v>鄭采紜</v>
      </c>
      <c r="D3393" s="16" t="str">
        <f>IFERROR(__xludf.DUMMYFUNCTION("""COMPUTED_VALUE"""),"car*****0704@mail.edu.tw")</f>
        <v>car*****0704@mail.edu.tw</v>
      </c>
      <c r="E3393" s="17" t="str">
        <f>IFERROR(__xludf.DUMMYFUNCTION("""COMPUTED_VALUE"""),"嘉義縣溪口鄉柳溝國民小學")</f>
        <v>嘉義縣溪口鄉柳溝國民小學</v>
      </c>
      <c r="F3393" s="14" t="str">
        <f>IFERROR(__xludf.DUMMYFUNCTION("""COMPUTED_VALUE"""),"五年級")</f>
        <v>五年級</v>
      </c>
      <c r="G3393" s="14" t="str">
        <f>IFERROR(__xludf.DUMMYFUNCTION("""COMPUTED_VALUE"""),"獎狀")</f>
        <v>獎狀</v>
      </c>
      <c r="H3393" s="8"/>
    </row>
    <row r="3394">
      <c r="A3394" s="18"/>
      <c r="B3394" s="14">
        <f>IFERROR(__xludf.DUMMYFUNCTION("""COMPUTED_VALUE"""),534906.0)</f>
        <v>534906</v>
      </c>
      <c r="C3394" s="14" t="str">
        <f>IFERROR(__xludf.DUMMYFUNCTION("""COMPUTED_VALUE"""),"錢星曄")</f>
        <v>錢星曄</v>
      </c>
      <c r="D3394" s="16" t="str">
        <f>IFERROR(__xludf.DUMMYFUNCTION("""COMPUTED_VALUE"""),"jas*****0717@mail.edu.tw")</f>
        <v>jas*****0717@mail.edu.tw</v>
      </c>
      <c r="E3394" s="17" t="str">
        <f>IFERROR(__xludf.DUMMYFUNCTION("""COMPUTED_VALUE"""),"嘉義縣溪口鄉柳溝國民小學")</f>
        <v>嘉義縣溪口鄉柳溝國民小學</v>
      </c>
      <c r="F3394" s="14" t="str">
        <f>IFERROR(__xludf.DUMMYFUNCTION("""COMPUTED_VALUE"""),"五年級")</f>
        <v>五年級</v>
      </c>
      <c r="G3394" s="14" t="str">
        <f>IFERROR(__xludf.DUMMYFUNCTION("""COMPUTED_VALUE"""),"獎狀")</f>
        <v>獎狀</v>
      </c>
      <c r="H3394" s="8"/>
    </row>
    <row r="3395">
      <c r="A3395" s="18"/>
      <c r="B3395" s="14">
        <f>IFERROR(__xludf.DUMMYFUNCTION("""COMPUTED_VALUE"""),587517.0)</f>
        <v>587517</v>
      </c>
      <c r="C3395" s="14" t="str">
        <f>IFERROR(__xludf.DUMMYFUNCTION("""COMPUTED_VALUE"""),"何秉勳")</f>
        <v>何秉勳</v>
      </c>
      <c r="D3395" s="16" t="str">
        <f>IFERROR(__xludf.DUMMYFUNCTION("""COMPUTED_VALUE"""),"cyc*****96@mail.edu.tw")</f>
        <v>cyc*****96@mail.edu.tw</v>
      </c>
      <c r="E3395" s="17" t="str">
        <f>IFERROR(__xludf.DUMMYFUNCTION("""COMPUTED_VALUE"""),"嘉義縣溪口鄉柳溝國民小學")</f>
        <v>嘉義縣溪口鄉柳溝國民小學</v>
      </c>
      <c r="F3395" s="14" t="str">
        <f>IFERROR(__xludf.DUMMYFUNCTION("""COMPUTED_VALUE"""),"六年級")</f>
        <v>六年級</v>
      </c>
      <c r="G3395" s="14" t="str">
        <f>IFERROR(__xludf.DUMMYFUNCTION("""COMPUTED_VALUE"""),"●小禮物")</f>
        <v>●小禮物</v>
      </c>
      <c r="H3395" s="8"/>
    </row>
    <row r="3396">
      <c r="A3396" s="18"/>
      <c r="B3396" s="14">
        <f>IFERROR(__xludf.DUMMYFUNCTION("""COMPUTED_VALUE"""),356600.0)</f>
        <v>356600</v>
      </c>
      <c r="C3396" s="14" t="str">
        <f>IFERROR(__xludf.DUMMYFUNCTION("""COMPUTED_VALUE"""),"陳思敏")</f>
        <v>陳思敏</v>
      </c>
      <c r="D3396" s="16" t="str">
        <f>IFERROR(__xludf.DUMMYFUNCTION("""COMPUTED_VALUE"""),"min*****3@mail.edu.tw")</f>
        <v>min*****3@mail.edu.tw</v>
      </c>
      <c r="E3396" s="17" t="str">
        <f>IFERROR(__xludf.DUMMYFUNCTION("""COMPUTED_VALUE"""),"嘉義縣溪口鄉柳溝國民小學")</f>
        <v>嘉義縣溪口鄉柳溝國民小學</v>
      </c>
      <c r="F3396" s="14" t="str">
        <f>IFERROR(__xludf.DUMMYFUNCTION("""COMPUTED_VALUE"""),"六年級")</f>
        <v>六年級</v>
      </c>
      <c r="G3396" s="14" t="str">
        <f>IFERROR(__xludf.DUMMYFUNCTION("""COMPUTED_VALUE"""),"●小禮物")</f>
        <v>●小禮物</v>
      </c>
      <c r="H3396" s="8"/>
    </row>
    <row r="3397">
      <c r="A3397" s="18"/>
      <c r="B3397" s="14">
        <f>IFERROR(__xludf.DUMMYFUNCTION("""COMPUTED_VALUE"""),356606.0)</f>
        <v>356606</v>
      </c>
      <c r="C3397" s="14" t="str">
        <f>IFERROR(__xludf.DUMMYFUNCTION("""COMPUTED_VALUE"""),"楊程皓")</f>
        <v>楊程皓</v>
      </c>
      <c r="D3397" s="16" t="str">
        <f>IFERROR(__xludf.DUMMYFUNCTION("""COMPUTED_VALUE"""),"how*****05@mail.edu.tw")</f>
        <v>how*****05@mail.edu.tw</v>
      </c>
      <c r="E3397" s="17" t="str">
        <f>IFERROR(__xludf.DUMMYFUNCTION("""COMPUTED_VALUE"""),"嘉義縣溪口鄉柳溝國民小學")</f>
        <v>嘉義縣溪口鄉柳溝國民小學</v>
      </c>
      <c r="F3397" s="14" t="str">
        <f>IFERROR(__xludf.DUMMYFUNCTION("""COMPUTED_VALUE"""),"六年級")</f>
        <v>六年級</v>
      </c>
      <c r="G3397" s="14" t="str">
        <f>IFERROR(__xludf.DUMMYFUNCTION("""COMPUTED_VALUE"""),"●小禮物")</f>
        <v>●小禮物</v>
      </c>
      <c r="H3397" s="8"/>
    </row>
    <row r="3398">
      <c r="A3398" s="18"/>
      <c r="B3398" s="14">
        <f>IFERROR(__xludf.DUMMYFUNCTION("""COMPUTED_VALUE"""),356597.0)</f>
        <v>356597</v>
      </c>
      <c r="C3398" s="14" t="str">
        <f>IFERROR(__xludf.DUMMYFUNCTION("""COMPUTED_VALUE"""),"劉岑源")</f>
        <v>劉岑源</v>
      </c>
      <c r="D3398" s="16" t="str">
        <f>IFERROR(__xludf.DUMMYFUNCTION("""COMPUTED_VALUE"""),"nic*****@mail.edu.tw")</f>
        <v>nic*****@mail.edu.tw</v>
      </c>
      <c r="E3398" s="17" t="str">
        <f>IFERROR(__xludf.DUMMYFUNCTION("""COMPUTED_VALUE"""),"嘉義縣溪口鄉柳溝國民小學")</f>
        <v>嘉義縣溪口鄉柳溝國民小學</v>
      </c>
      <c r="F3398" s="14" t="str">
        <f>IFERROR(__xludf.DUMMYFUNCTION("""COMPUTED_VALUE"""),"六年級")</f>
        <v>六年級</v>
      </c>
      <c r="G3398" s="14" t="str">
        <f>IFERROR(__xludf.DUMMYFUNCTION("""COMPUTED_VALUE"""),"★禮券$200")</f>
        <v>★禮券$200</v>
      </c>
      <c r="H3398" s="8"/>
    </row>
    <row r="3399">
      <c r="A3399" s="18"/>
      <c r="B3399" s="14">
        <f>IFERROR(__xludf.DUMMYFUNCTION("""COMPUTED_VALUE"""),362760.0)</f>
        <v>362760</v>
      </c>
      <c r="C3399" s="14" t="str">
        <f>IFERROR(__xludf.DUMMYFUNCTION("""COMPUTED_VALUE"""),"許茗崴")</f>
        <v>許茗崴</v>
      </c>
      <c r="D3399" s="16" t="str">
        <f>IFERROR(__xludf.DUMMYFUNCTION("""COMPUTED_VALUE"""),"wen*****mail.edu.tw")</f>
        <v>wen*****mail.edu.tw</v>
      </c>
      <c r="E3399" s="17" t="str">
        <f>IFERROR(__xludf.DUMMYFUNCTION("""COMPUTED_VALUE"""),"嘉義縣溪口鄉柳溝國民小學")</f>
        <v>嘉義縣溪口鄉柳溝國民小學</v>
      </c>
      <c r="F3399" s="14" t="str">
        <f>IFERROR(__xludf.DUMMYFUNCTION("""COMPUTED_VALUE"""),"六年級")</f>
        <v>六年級</v>
      </c>
      <c r="G3399" s="14" t="str">
        <f>IFERROR(__xludf.DUMMYFUNCTION("""COMPUTED_VALUE"""),"獎狀")</f>
        <v>獎狀</v>
      </c>
      <c r="H3399" s="8"/>
    </row>
    <row r="3400">
      <c r="A3400" s="18"/>
      <c r="B3400" s="14">
        <f>IFERROR(__xludf.DUMMYFUNCTION("""COMPUTED_VALUE"""),356588.0)</f>
        <v>356588</v>
      </c>
      <c r="C3400" s="14" t="str">
        <f>IFERROR(__xludf.DUMMYFUNCTION("""COMPUTED_VALUE"""),"陳威志")</f>
        <v>陳威志</v>
      </c>
      <c r="D3400" s="16" t="str">
        <f>IFERROR(__xludf.DUMMYFUNCTION("""COMPUTED_VALUE"""),"jim*****mail.edu.tw")</f>
        <v>jim*****mail.edu.tw</v>
      </c>
      <c r="E3400" s="17" t="str">
        <f>IFERROR(__xludf.DUMMYFUNCTION("""COMPUTED_VALUE"""),"嘉義縣溪口鄉柳溝國民小學")</f>
        <v>嘉義縣溪口鄉柳溝國民小學</v>
      </c>
      <c r="F3400" s="14" t="str">
        <f>IFERROR(__xludf.DUMMYFUNCTION("""COMPUTED_VALUE"""),"六年級")</f>
        <v>六年級</v>
      </c>
      <c r="G3400" s="14" t="str">
        <f>IFERROR(__xludf.DUMMYFUNCTION("""COMPUTED_VALUE"""),"獎狀")</f>
        <v>獎狀</v>
      </c>
      <c r="H3400" s="8"/>
    </row>
    <row r="3401">
      <c r="A3401" s="18"/>
      <c r="B3401" s="14">
        <f>IFERROR(__xludf.DUMMYFUNCTION("""COMPUTED_VALUE"""),538074.0)</f>
        <v>538074</v>
      </c>
      <c r="C3401" s="14" t="str">
        <f>IFERROR(__xludf.DUMMYFUNCTION("""COMPUTED_VALUE"""),"蔡加慧")</f>
        <v>蔡加慧</v>
      </c>
      <c r="D3401" s="16" t="str">
        <f>IFERROR(__xludf.DUMMYFUNCTION("""COMPUTED_VALUE"""),"bel*****08@mail.edu.tw")</f>
        <v>bel*****08@mail.edu.tw</v>
      </c>
      <c r="E3401" s="17" t="str">
        <f>IFERROR(__xludf.DUMMYFUNCTION("""COMPUTED_VALUE"""),"嘉義縣溪口鄉柳溝國民小學")</f>
        <v>嘉義縣溪口鄉柳溝國民小學</v>
      </c>
      <c r="F3401" s="14" t="str">
        <f>IFERROR(__xludf.DUMMYFUNCTION("""COMPUTED_VALUE"""),"六年級")</f>
        <v>六年級</v>
      </c>
      <c r="G3401" s="14" t="str">
        <f>IFERROR(__xludf.DUMMYFUNCTION("""COMPUTED_VALUE"""),"●小禮物")</f>
        <v>●小禮物</v>
      </c>
      <c r="H3401" s="8"/>
    </row>
    <row r="3402">
      <c r="A3402" s="18"/>
      <c r="B3402" s="14">
        <f>IFERROR(__xludf.DUMMYFUNCTION("""COMPUTED_VALUE"""),538101.0)</f>
        <v>538101</v>
      </c>
      <c r="C3402" s="14" t="str">
        <f>IFERROR(__xludf.DUMMYFUNCTION("""COMPUTED_VALUE"""),"黃麒霖")</f>
        <v>黃麒霖</v>
      </c>
      <c r="D3402" s="16" t="str">
        <f>IFERROR(__xludf.DUMMYFUNCTION("""COMPUTED_VALUE"""),"jos*****4@mail.edu.tw")</f>
        <v>jos*****4@mail.edu.tw</v>
      </c>
      <c r="E3402" s="17" t="str">
        <f>IFERROR(__xludf.DUMMYFUNCTION("""COMPUTED_VALUE"""),"嘉義縣溪口鄉柳溝國民小學")</f>
        <v>嘉義縣溪口鄉柳溝國民小學</v>
      </c>
      <c r="F3402" s="14" t="str">
        <f>IFERROR(__xludf.DUMMYFUNCTION("""COMPUTED_VALUE"""),"六年級")</f>
        <v>六年級</v>
      </c>
      <c r="G3402" s="14" t="str">
        <f>IFERROR(__xludf.DUMMYFUNCTION("""COMPUTED_VALUE"""),"★禮券$200")</f>
        <v>★禮券$200</v>
      </c>
      <c r="H3402" s="8"/>
    </row>
    <row r="3403">
      <c r="A3403" s="18"/>
      <c r="B3403" s="14">
        <f>IFERROR(__xludf.DUMMYFUNCTION("""COMPUTED_VALUE"""),538047.0)</f>
        <v>538047</v>
      </c>
      <c r="C3403" s="14" t="str">
        <f>IFERROR(__xludf.DUMMYFUNCTION("""COMPUTED_VALUE"""),"朱意蓉")</f>
        <v>朱意蓉</v>
      </c>
      <c r="D3403" s="16" t="str">
        <f>IFERROR(__xludf.DUMMYFUNCTION("""COMPUTED_VALUE"""),"ros*****5@mail.edu.tw")</f>
        <v>ros*****5@mail.edu.tw</v>
      </c>
      <c r="E3403" s="17" t="str">
        <f>IFERROR(__xludf.DUMMYFUNCTION("""COMPUTED_VALUE"""),"嘉義縣溪口鄉柳溝國民小學")</f>
        <v>嘉義縣溪口鄉柳溝國民小學</v>
      </c>
      <c r="F3403" s="14" t="str">
        <f>IFERROR(__xludf.DUMMYFUNCTION("""COMPUTED_VALUE"""),"六年級")</f>
        <v>六年級</v>
      </c>
      <c r="G3403" s="14" t="str">
        <f>IFERROR(__xludf.DUMMYFUNCTION("""COMPUTED_VALUE"""),"獎狀")</f>
        <v>獎狀</v>
      </c>
      <c r="H3403" s="8"/>
    </row>
    <row r="3404">
      <c r="A3404" s="18"/>
      <c r="B3404" s="14">
        <f>IFERROR(__xludf.DUMMYFUNCTION("""COMPUTED_VALUE"""),537973.0)</f>
        <v>537973</v>
      </c>
      <c r="C3404" s="14" t="str">
        <f>IFERROR(__xludf.DUMMYFUNCTION("""COMPUTED_VALUE"""),"陳品鈞")</f>
        <v>陳品鈞</v>
      </c>
      <c r="D3404" s="16" t="str">
        <f>IFERROR(__xludf.DUMMYFUNCTION("""COMPUTED_VALUE"""),"gin*****06@mail.edu.tw")</f>
        <v>gin*****06@mail.edu.tw</v>
      </c>
      <c r="E3404" s="17" t="str">
        <f>IFERROR(__xludf.DUMMYFUNCTION("""COMPUTED_VALUE"""),"嘉義縣溪口鄉柳溝國民小學")</f>
        <v>嘉義縣溪口鄉柳溝國民小學</v>
      </c>
      <c r="F3404" s="14" t="str">
        <f>IFERROR(__xludf.DUMMYFUNCTION("""COMPUTED_VALUE"""),"六年級")</f>
        <v>六年級</v>
      </c>
      <c r="G3404" s="14" t="str">
        <f>IFERROR(__xludf.DUMMYFUNCTION("""COMPUTED_VALUE"""),"獎狀")</f>
        <v>獎狀</v>
      </c>
      <c r="H3404" s="8"/>
    </row>
    <row r="3405">
      <c r="A3405" s="18"/>
      <c r="B3405" s="14">
        <f>IFERROR(__xludf.DUMMYFUNCTION("""COMPUTED_VALUE"""),537727.0)</f>
        <v>537727</v>
      </c>
      <c r="C3405" s="14" t="str">
        <f>IFERROR(__xludf.DUMMYFUNCTION("""COMPUTED_VALUE"""),"曾柏勝")</f>
        <v>曾柏勝</v>
      </c>
      <c r="D3405" s="16" t="str">
        <f>IFERROR(__xludf.DUMMYFUNCTION("""COMPUTED_VALUE"""),"ben*****101@mail.edu.tw")</f>
        <v>ben*****101@mail.edu.tw</v>
      </c>
      <c r="E3405" s="17" t="str">
        <f>IFERROR(__xludf.DUMMYFUNCTION("""COMPUTED_VALUE"""),"嘉義縣溪口鄉柳溝國民小學")</f>
        <v>嘉義縣溪口鄉柳溝國民小學</v>
      </c>
      <c r="F3405" s="14" t="str">
        <f>IFERROR(__xludf.DUMMYFUNCTION("""COMPUTED_VALUE"""),"六年級")</f>
        <v>六年級</v>
      </c>
      <c r="G3405" s="14" t="str">
        <f>IFERROR(__xludf.DUMMYFUNCTION("""COMPUTED_VALUE"""),"獎狀")</f>
        <v>獎狀</v>
      </c>
      <c r="H3405" s="8"/>
    </row>
    <row r="3406">
      <c r="A3406" s="18"/>
      <c r="B3406" s="14">
        <f>IFERROR(__xludf.DUMMYFUNCTION("""COMPUTED_VALUE"""),537954.0)</f>
        <v>537954</v>
      </c>
      <c r="C3406" s="14" t="str">
        <f>IFERROR(__xludf.DUMMYFUNCTION("""COMPUTED_VALUE"""),"黃嘉容")</f>
        <v>黃嘉容</v>
      </c>
      <c r="D3406" s="16" t="str">
        <f>IFERROR(__xludf.DUMMYFUNCTION("""COMPUTED_VALUE"""),"zor*****9@mail.edu.tw")</f>
        <v>zor*****9@mail.edu.tw</v>
      </c>
      <c r="E3406" s="17" t="str">
        <f>IFERROR(__xludf.DUMMYFUNCTION("""COMPUTED_VALUE"""),"嘉義縣溪口鄉柳溝國民小學")</f>
        <v>嘉義縣溪口鄉柳溝國民小學</v>
      </c>
      <c r="F3406" s="14" t="str">
        <f>IFERROR(__xludf.DUMMYFUNCTION("""COMPUTED_VALUE"""),"六年級")</f>
        <v>六年級</v>
      </c>
      <c r="G3406" s="14" t="str">
        <f>IFERROR(__xludf.DUMMYFUNCTION("""COMPUTED_VALUE"""),"獎狀")</f>
        <v>獎狀</v>
      </c>
      <c r="H3406" s="8"/>
    </row>
    <row r="3407">
      <c r="A3407" s="18"/>
      <c r="B3407" s="14">
        <f>IFERROR(__xludf.DUMMYFUNCTION("""COMPUTED_VALUE"""),538120.0)</f>
        <v>538120</v>
      </c>
      <c r="C3407" s="14" t="str">
        <f>IFERROR(__xludf.DUMMYFUNCTION("""COMPUTED_VALUE"""),"劉翃睿")</f>
        <v>劉翃睿</v>
      </c>
      <c r="D3407" s="16" t="str">
        <f>IFERROR(__xludf.DUMMYFUNCTION("""COMPUTED_VALUE"""),"ray*****@mail.edu.tw")</f>
        <v>ray*****@mail.edu.tw</v>
      </c>
      <c r="E3407" s="17" t="str">
        <f>IFERROR(__xludf.DUMMYFUNCTION("""COMPUTED_VALUE"""),"嘉義縣溪口鄉柳溝國民小學")</f>
        <v>嘉義縣溪口鄉柳溝國民小學</v>
      </c>
      <c r="F3407" s="14" t="str">
        <f>IFERROR(__xludf.DUMMYFUNCTION("""COMPUTED_VALUE"""),"六年級")</f>
        <v>六年級</v>
      </c>
      <c r="G3407" s="14" t="str">
        <f>IFERROR(__xludf.DUMMYFUNCTION("""COMPUTED_VALUE"""),"獎狀")</f>
        <v>獎狀</v>
      </c>
      <c r="H3407" s="8"/>
    </row>
    <row r="3408">
      <c r="A3408" s="18"/>
      <c r="B3408" s="14">
        <f>IFERROR(__xludf.DUMMYFUNCTION("""COMPUTED_VALUE"""),998959.0)</f>
        <v>998959</v>
      </c>
      <c r="C3408" s="14" t="str">
        <f>IFERROR(__xludf.DUMMYFUNCTION("""COMPUTED_VALUE"""),"李星晴")</f>
        <v>李星晴</v>
      </c>
      <c r="D3408" s="16" t="str">
        <f>IFERROR(__xludf.DUMMYFUNCTION("""COMPUTED_VALUE"""),"chl*****012@mail.edu.tw")</f>
        <v>chl*****012@mail.edu.tw</v>
      </c>
      <c r="E3408" s="17" t="str">
        <f>IFERROR(__xludf.DUMMYFUNCTION("""COMPUTED_VALUE"""),"嘉義縣溪口鄉柴林國民小學")</f>
        <v>嘉義縣溪口鄉柴林國民小學</v>
      </c>
      <c r="F3408" s="14" t="str">
        <f>IFERROR(__xludf.DUMMYFUNCTION("""COMPUTED_VALUE"""),"三年級")</f>
        <v>三年級</v>
      </c>
      <c r="G3408" s="14" t="str">
        <f>IFERROR(__xludf.DUMMYFUNCTION("""COMPUTED_VALUE"""),"獎狀")</f>
        <v>獎狀</v>
      </c>
      <c r="H3408" s="8"/>
    </row>
    <row r="3409">
      <c r="A3409" s="18"/>
      <c r="B3409" s="14">
        <f>IFERROR(__xludf.DUMMYFUNCTION("""COMPUTED_VALUE"""),993859.0)</f>
        <v>993859</v>
      </c>
      <c r="C3409" s="14" t="str">
        <f>IFERROR(__xludf.DUMMYFUNCTION("""COMPUTED_VALUE"""),"游亞瑄")</f>
        <v>游亞瑄</v>
      </c>
      <c r="D3409" s="16" t="str">
        <f>IFERROR(__xludf.DUMMYFUNCTION("""COMPUTED_VALUE"""),"chl*****004@mail.edu.tw")</f>
        <v>chl*****004@mail.edu.tw</v>
      </c>
      <c r="E3409" s="17" t="str">
        <f>IFERROR(__xludf.DUMMYFUNCTION("""COMPUTED_VALUE"""),"嘉義縣溪口鄉柴林國民小學")</f>
        <v>嘉義縣溪口鄉柴林國民小學</v>
      </c>
      <c r="F3409" s="14" t="str">
        <f>IFERROR(__xludf.DUMMYFUNCTION("""COMPUTED_VALUE"""),"五年級")</f>
        <v>五年級</v>
      </c>
      <c r="G3409" s="14" t="str">
        <f>IFERROR(__xludf.DUMMYFUNCTION("""COMPUTED_VALUE"""),"●小禮物")</f>
        <v>●小禮物</v>
      </c>
      <c r="H3409" s="8"/>
    </row>
    <row r="3410">
      <c r="A3410" s="18"/>
      <c r="B3410" s="14">
        <f>IFERROR(__xludf.DUMMYFUNCTION("""COMPUTED_VALUE"""),377148.0)</f>
        <v>377148</v>
      </c>
      <c r="C3410" s="14" t="str">
        <f>IFERROR(__xludf.DUMMYFUNCTION("""COMPUTED_VALUE"""),"蕭以昀")</f>
        <v>蕭以昀</v>
      </c>
      <c r="D3410" s="16" t="str">
        <f>IFERROR(__xludf.DUMMYFUNCTION("""COMPUTED_VALUE"""),"ch1*****mail.cyc.edu.tw")</f>
        <v>ch1*****mail.cyc.edu.tw</v>
      </c>
      <c r="E3410" s="17" t="str">
        <f>IFERROR(__xludf.DUMMYFUNCTION("""COMPUTED_VALUE"""),"嘉義縣溪口鄉柴林國民小學")</f>
        <v>嘉義縣溪口鄉柴林國民小學</v>
      </c>
      <c r="F3410" s="14" t="str">
        <f>IFERROR(__xludf.DUMMYFUNCTION("""COMPUTED_VALUE"""),"五年級")</f>
        <v>五年級</v>
      </c>
      <c r="G3410" s="14" t="str">
        <f>IFERROR(__xludf.DUMMYFUNCTION("""COMPUTED_VALUE"""),"獎狀")</f>
        <v>獎狀</v>
      </c>
      <c r="H3410" s="8"/>
    </row>
    <row r="3411">
      <c r="A3411" s="18"/>
      <c r="B3411" s="14">
        <f>IFERROR(__xludf.DUMMYFUNCTION("""COMPUTED_VALUE"""),585244.0)</f>
        <v>585244</v>
      </c>
      <c r="C3411" s="14" t="str">
        <f>IFERROR(__xludf.DUMMYFUNCTION("""COMPUTED_VALUE"""),"李星樂")</f>
        <v>李星樂</v>
      </c>
      <c r="D3411" s="16" t="str">
        <f>IFERROR(__xludf.DUMMYFUNCTION("""COMPUTED_VALUE"""),"chl*****006@mail.edu.tw")</f>
        <v>chl*****006@mail.edu.tw</v>
      </c>
      <c r="E3411" s="17" t="str">
        <f>IFERROR(__xludf.DUMMYFUNCTION("""COMPUTED_VALUE"""),"嘉義縣溪口鄉柴林國民小學")</f>
        <v>嘉義縣溪口鄉柴林國民小學</v>
      </c>
      <c r="F3411" s="14" t="str">
        <f>IFERROR(__xludf.DUMMYFUNCTION("""COMPUTED_VALUE"""),"六年級")</f>
        <v>六年級</v>
      </c>
      <c r="G3411" s="14" t="str">
        <f>IFERROR(__xludf.DUMMYFUNCTION("""COMPUTED_VALUE"""),"●小禮物")</f>
        <v>●小禮物</v>
      </c>
      <c r="H3411" s="8"/>
    </row>
    <row r="3412">
      <c r="A3412" s="18"/>
      <c r="B3412" s="14">
        <f>IFERROR(__xludf.DUMMYFUNCTION("""COMPUTED_VALUE"""),1180558.0)</f>
        <v>1180558</v>
      </c>
      <c r="C3412" s="14" t="str">
        <f>IFERROR(__xludf.DUMMYFUNCTION("""COMPUTED_VALUE"""),"陳仕祥")</f>
        <v>陳仕祥</v>
      </c>
      <c r="D3412" s="16" t="str">
        <f>IFERROR(__xludf.DUMMYFUNCTION("""COMPUTED_VALUE"""),"pet*****21203@mail.edu.tw")</f>
        <v>pet*****21203@mail.edu.tw</v>
      </c>
      <c r="E3412" s="17" t="str">
        <f>IFERROR(__xludf.DUMMYFUNCTION("""COMPUTED_VALUE"""),"嘉義縣溪口鄉溪口國民小學")</f>
        <v>嘉義縣溪口鄉溪口國民小學</v>
      </c>
      <c r="F3412" s="14" t="str">
        <f>IFERROR(__xludf.DUMMYFUNCTION("""COMPUTED_VALUE"""),"四年級")</f>
        <v>四年級</v>
      </c>
      <c r="G3412" s="14" t="str">
        <f>IFERROR(__xludf.DUMMYFUNCTION("""COMPUTED_VALUE"""),"獎狀")</f>
        <v>獎狀</v>
      </c>
      <c r="H3412" s="8"/>
    </row>
    <row r="3413">
      <c r="A3413" s="18"/>
      <c r="B3413" s="14">
        <f>IFERROR(__xludf.DUMMYFUNCTION("""COMPUTED_VALUE"""),1135579.0)</f>
        <v>1135579</v>
      </c>
      <c r="C3413" s="14" t="str">
        <f>IFERROR(__xludf.DUMMYFUNCTION("""COMPUTED_VALUE"""),"蔡芳婷")</f>
        <v>蔡芳婷</v>
      </c>
      <c r="D3413" s="16" t="str">
        <f>IFERROR(__xludf.DUMMYFUNCTION("""COMPUTED_VALUE"""),"icp*****10@mail.edu.tw")</f>
        <v>icp*****10@mail.edu.tw</v>
      </c>
      <c r="E3413" s="17" t="str">
        <f>IFERROR(__xludf.DUMMYFUNCTION("""COMPUTED_VALUE"""),"嘉義縣義竹鄉義竹國民小學")</f>
        <v>嘉義縣義竹鄉義竹國民小學</v>
      </c>
      <c r="F3413" s="14" t="str">
        <f>IFERROR(__xludf.DUMMYFUNCTION("""COMPUTED_VALUE"""),"三年級")</f>
        <v>三年級</v>
      </c>
      <c r="G3413" s="14" t="str">
        <f>IFERROR(__xludf.DUMMYFUNCTION("""COMPUTED_VALUE"""),"獎狀")</f>
        <v>獎狀</v>
      </c>
      <c r="H3413" s="8"/>
    </row>
    <row r="3414">
      <c r="A3414" s="18"/>
      <c r="B3414" s="14">
        <f>IFERROR(__xludf.DUMMYFUNCTION("""COMPUTED_VALUE"""),866443.0)</f>
        <v>866443</v>
      </c>
      <c r="C3414" s="14" t="str">
        <f>IFERROR(__xludf.DUMMYFUNCTION("""COMPUTED_VALUE"""),"蔡沛華")</f>
        <v>蔡沛華</v>
      </c>
      <c r="D3414" s="16" t="str">
        <f>IFERROR(__xludf.DUMMYFUNCTION("""COMPUTED_VALUE"""),"cyc*****40@mail.edu.tw")</f>
        <v>cyc*****40@mail.edu.tw</v>
      </c>
      <c r="E3414" s="17" t="str">
        <f>IFERROR(__xludf.DUMMYFUNCTION("""COMPUTED_VALUE"""),"嘉義縣義竹鄉義竹國民小學")</f>
        <v>嘉義縣義竹鄉義竹國民小學</v>
      </c>
      <c r="F3414" s="14" t="str">
        <f>IFERROR(__xludf.DUMMYFUNCTION("""COMPUTED_VALUE"""),"五年級")</f>
        <v>五年級</v>
      </c>
      <c r="G3414" s="14" t="str">
        <f>IFERROR(__xludf.DUMMYFUNCTION("""COMPUTED_VALUE"""),"★禮券$200")</f>
        <v>★禮券$200</v>
      </c>
      <c r="H3414" s="8"/>
    </row>
    <row r="3415">
      <c r="A3415" s="18"/>
      <c r="B3415" s="14">
        <f>IFERROR(__xludf.DUMMYFUNCTION("""COMPUTED_VALUE"""),863814.0)</f>
        <v>863814</v>
      </c>
      <c r="C3415" s="14" t="str">
        <f>IFERROR(__xludf.DUMMYFUNCTION("""COMPUTED_VALUE"""),"蘇芊嬡")</f>
        <v>蘇芊嬡</v>
      </c>
      <c r="D3415" s="16" t="str">
        <f>IFERROR(__xludf.DUMMYFUNCTION("""COMPUTED_VALUE"""),"cyc*****27@mail.edu.tw")</f>
        <v>cyc*****27@mail.edu.tw</v>
      </c>
      <c r="E3415" s="17" t="str">
        <f>IFERROR(__xludf.DUMMYFUNCTION("""COMPUTED_VALUE"""),"嘉義縣義竹鄉義竹國民小學")</f>
        <v>嘉義縣義竹鄉義竹國民小學</v>
      </c>
      <c r="F3415" s="14" t="str">
        <f>IFERROR(__xludf.DUMMYFUNCTION("""COMPUTED_VALUE"""),"五年級")</f>
        <v>五年級</v>
      </c>
      <c r="G3415" s="14" t="str">
        <f>IFERROR(__xludf.DUMMYFUNCTION("""COMPUTED_VALUE"""),"●小禮物")</f>
        <v>●小禮物</v>
      </c>
      <c r="H3415" s="8"/>
    </row>
    <row r="3416">
      <c r="A3416" s="18"/>
      <c r="B3416" s="14">
        <f>IFERROR(__xludf.DUMMYFUNCTION("""COMPUTED_VALUE"""),868394.0)</f>
        <v>868394</v>
      </c>
      <c r="C3416" s="14" t="str">
        <f>IFERROR(__xludf.DUMMYFUNCTION("""COMPUTED_VALUE"""),"黃奕瑄")</f>
        <v>黃奕瑄</v>
      </c>
      <c r="D3416" s="16" t="str">
        <f>IFERROR(__xludf.DUMMYFUNCTION("""COMPUTED_VALUE"""),"scp*****006@mail.edu.tw")</f>
        <v>scp*****006@mail.edu.tw</v>
      </c>
      <c r="E3416" s="17" t="str">
        <f>IFERROR(__xludf.DUMMYFUNCTION("""COMPUTED_VALUE"""),"嘉義縣布袋鎮新岑國民小學")</f>
        <v>嘉義縣布袋鎮新岑國民小學</v>
      </c>
      <c r="F3416" s="14" t="str">
        <f>IFERROR(__xludf.DUMMYFUNCTION("""COMPUTED_VALUE"""),"四年級")</f>
        <v>四年級</v>
      </c>
      <c r="G3416" s="14" t="str">
        <f>IFERROR(__xludf.DUMMYFUNCTION("""COMPUTED_VALUE"""),"●小禮物")</f>
        <v>●小禮物</v>
      </c>
      <c r="H3416" s="8"/>
    </row>
    <row r="3417">
      <c r="A3417" s="18"/>
      <c r="B3417" s="14">
        <f>IFERROR(__xludf.DUMMYFUNCTION("""COMPUTED_VALUE"""),868386.0)</f>
        <v>868386</v>
      </c>
      <c r="C3417" s="14" t="str">
        <f>IFERROR(__xludf.DUMMYFUNCTION("""COMPUTED_VALUE"""),"邱泓毅")</f>
        <v>邱泓毅</v>
      </c>
      <c r="D3417" s="16" t="str">
        <f>IFERROR(__xludf.DUMMYFUNCTION("""COMPUTED_VALUE"""),"scp*****001@mail.edu.tw")</f>
        <v>scp*****001@mail.edu.tw</v>
      </c>
      <c r="E3417" s="17" t="str">
        <f>IFERROR(__xludf.DUMMYFUNCTION("""COMPUTED_VALUE"""),"嘉義縣布袋鎮新岑國民小學")</f>
        <v>嘉義縣布袋鎮新岑國民小學</v>
      </c>
      <c r="F3417" s="14" t="str">
        <f>IFERROR(__xludf.DUMMYFUNCTION("""COMPUTED_VALUE"""),"四年級")</f>
        <v>四年級</v>
      </c>
      <c r="G3417" s="14" t="str">
        <f>IFERROR(__xludf.DUMMYFUNCTION("""COMPUTED_VALUE"""),"獎狀")</f>
        <v>獎狀</v>
      </c>
      <c r="H3417" s="8"/>
    </row>
    <row r="3418">
      <c r="A3418" s="18"/>
      <c r="B3418" s="14">
        <f>IFERROR(__xludf.DUMMYFUNCTION("""COMPUTED_VALUE"""),914496.0)</f>
        <v>914496</v>
      </c>
      <c r="C3418" s="14" t="str">
        <f>IFERROR(__xludf.DUMMYFUNCTION("""COMPUTED_VALUE"""),"王婕瑜")</f>
        <v>王婕瑜</v>
      </c>
      <c r="D3418" s="16" t="str">
        <f>IFERROR(__xludf.DUMMYFUNCTION("""COMPUTED_VALUE"""),"jan*****il.edu.tw")</f>
        <v>jan*****il.edu.tw</v>
      </c>
      <c r="E3418" s="17" t="str">
        <f>IFERROR(__xludf.DUMMYFUNCTION("""COMPUTED_VALUE"""),"嘉義縣布袋鎮布袋國民小學")</f>
        <v>嘉義縣布袋鎮布袋國民小學</v>
      </c>
      <c r="F3418" s="14" t="str">
        <f>IFERROR(__xludf.DUMMYFUNCTION("""COMPUTED_VALUE"""),"六年級")</f>
        <v>六年級</v>
      </c>
      <c r="G3418" s="14" t="str">
        <f>IFERROR(__xludf.DUMMYFUNCTION("""COMPUTED_VALUE"""),"●小禮物")</f>
        <v>●小禮物</v>
      </c>
      <c r="H3418" s="8"/>
    </row>
    <row r="3419">
      <c r="A3419" s="18"/>
      <c r="B3419" s="14">
        <f>IFERROR(__xludf.DUMMYFUNCTION("""COMPUTED_VALUE"""),962423.0)</f>
        <v>962423</v>
      </c>
      <c r="C3419" s="14" t="str">
        <f>IFERROR(__xludf.DUMMYFUNCTION("""COMPUTED_VALUE"""),"蔡帛霖")</f>
        <v>蔡帛霖</v>
      </c>
      <c r="D3419" s="16" t="str">
        <f>IFERROR(__xludf.DUMMYFUNCTION("""COMPUTED_VALUE"""),"pet*****mail.edu.tw")</f>
        <v>pet*****mail.edu.tw</v>
      </c>
      <c r="E3419" s="17" t="str">
        <f>IFERROR(__xludf.DUMMYFUNCTION("""COMPUTED_VALUE"""),"嘉義縣布袋鎮布袋國民小學")</f>
        <v>嘉義縣布袋鎮布袋國民小學</v>
      </c>
      <c r="F3419" s="14" t="str">
        <f>IFERROR(__xludf.DUMMYFUNCTION("""COMPUTED_VALUE"""),"六年級")</f>
        <v>六年級</v>
      </c>
      <c r="G3419" s="14" t="str">
        <f>IFERROR(__xludf.DUMMYFUNCTION("""COMPUTED_VALUE"""),"●小禮物")</f>
        <v>●小禮物</v>
      </c>
      <c r="H3419" s="8"/>
    </row>
    <row r="3420">
      <c r="A3420" s="18"/>
      <c r="B3420" s="14">
        <f>IFERROR(__xludf.DUMMYFUNCTION("""COMPUTED_VALUE"""),962453.0)</f>
        <v>962453</v>
      </c>
      <c r="C3420" s="14" t="str">
        <f>IFERROR(__xludf.DUMMYFUNCTION("""COMPUTED_VALUE"""),"蕭子棋")</f>
        <v>蕭子棋</v>
      </c>
      <c r="D3420" s="16" t="str">
        <f>IFERROR(__xludf.DUMMYFUNCTION("""COMPUTED_VALUE"""),"kik*****mail.edu.tw")</f>
        <v>kik*****mail.edu.tw</v>
      </c>
      <c r="E3420" s="17" t="str">
        <f>IFERROR(__xludf.DUMMYFUNCTION("""COMPUTED_VALUE"""),"嘉義縣布袋鎮布袋國民小學")</f>
        <v>嘉義縣布袋鎮布袋國民小學</v>
      </c>
      <c r="F3420" s="14" t="str">
        <f>IFERROR(__xludf.DUMMYFUNCTION("""COMPUTED_VALUE"""),"六年級")</f>
        <v>六年級</v>
      </c>
      <c r="G3420" s="14" t="str">
        <f>IFERROR(__xludf.DUMMYFUNCTION("""COMPUTED_VALUE"""),"●小禮物")</f>
        <v>●小禮物</v>
      </c>
      <c r="H3420" s="8"/>
    </row>
    <row r="3421">
      <c r="A3421" s="18"/>
      <c r="B3421" s="14">
        <f>IFERROR(__xludf.DUMMYFUNCTION("""COMPUTED_VALUE"""),914540.0)</f>
        <v>914540</v>
      </c>
      <c r="C3421" s="14" t="str">
        <f>IFERROR(__xludf.DUMMYFUNCTION("""COMPUTED_VALUE"""),"王沛瑾")</f>
        <v>王沛瑾</v>
      </c>
      <c r="D3421" s="16" t="str">
        <f>IFERROR(__xludf.DUMMYFUNCTION("""COMPUTED_VALUE"""),"peg*****0@mail.edu.tw")</f>
        <v>peg*****0@mail.edu.tw</v>
      </c>
      <c r="E3421" s="17" t="str">
        <f>IFERROR(__xludf.DUMMYFUNCTION("""COMPUTED_VALUE"""),"嘉義縣布袋鎮布袋國民小學")</f>
        <v>嘉義縣布袋鎮布袋國民小學</v>
      </c>
      <c r="F3421" s="14" t="str">
        <f>IFERROR(__xludf.DUMMYFUNCTION("""COMPUTED_VALUE"""),"六年級")</f>
        <v>六年級</v>
      </c>
      <c r="G3421" s="14" t="str">
        <f>IFERROR(__xludf.DUMMYFUNCTION("""COMPUTED_VALUE"""),"獎狀")</f>
        <v>獎狀</v>
      </c>
      <c r="H3421" s="8"/>
    </row>
    <row r="3422">
      <c r="A3422" s="18"/>
      <c r="B3422" s="14">
        <f>IFERROR(__xludf.DUMMYFUNCTION("""COMPUTED_VALUE"""),737858.0)</f>
        <v>737858</v>
      </c>
      <c r="C3422" s="14" t="str">
        <f>IFERROR(__xludf.DUMMYFUNCTION("""COMPUTED_VALUE"""),"吳真緹")</f>
        <v>吳真緹</v>
      </c>
      <c r="D3422" s="16" t="str">
        <f>IFERROR(__xludf.DUMMYFUNCTION("""COMPUTED_VALUE"""),"mol*****ail.edu.tw")</f>
        <v>mol*****ail.edu.tw</v>
      </c>
      <c r="E3422" s="17" t="str">
        <f>IFERROR(__xludf.DUMMYFUNCTION("""COMPUTED_VALUE"""),"嘉義縣布袋鎮布袋國民小學")</f>
        <v>嘉義縣布袋鎮布袋國民小學</v>
      </c>
      <c r="F3422" s="14" t="str">
        <f>IFERROR(__xludf.DUMMYFUNCTION("""COMPUTED_VALUE"""),"六年級")</f>
        <v>六年級</v>
      </c>
      <c r="G3422" s="14" t="str">
        <f>IFERROR(__xludf.DUMMYFUNCTION("""COMPUTED_VALUE"""),"獎狀")</f>
        <v>獎狀</v>
      </c>
      <c r="H3422" s="8"/>
    </row>
    <row r="3423">
      <c r="A3423" s="18"/>
      <c r="B3423" s="14">
        <f>IFERROR(__xludf.DUMMYFUNCTION("""COMPUTED_VALUE"""),962425.0)</f>
        <v>962425</v>
      </c>
      <c r="C3423" s="14" t="str">
        <f>IFERROR(__xludf.DUMMYFUNCTION("""COMPUTED_VALUE"""),"姚禹字")</f>
        <v>姚禹字</v>
      </c>
      <c r="D3423" s="16" t="str">
        <f>IFERROR(__xludf.DUMMYFUNCTION("""COMPUTED_VALUE"""),"k.6*****6@mail.edu.tw")</f>
        <v>k.6*****6@mail.edu.tw</v>
      </c>
      <c r="E3423" s="17" t="str">
        <f>IFERROR(__xludf.DUMMYFUNCTION("""COMPUTED_VALUE"""),"嘉義縣布袋鎮布袋國民小學")</f>
        <v>嘉義縣布袋鎮布袋國民小學</v>
      </c>
      <c r="F3423" s="14" t="str">
        <f>IFERROR(__xludf.DUMMYFUNCTION("""COMPUTED_VALUE"""),"六年級")</f>
        <v>六年級</v>
      </c>
      <c r="G3423" s="14" t="str">
        <f>IFERROR(__xludf.DUMMYFUNCTION("""COMPUTED_VALUE"""),"獎狀")</f>
        <v>獎狀</v>
      </c>
      <c r="H3423" s="8"/>
    </row>
    <row r="3424">
      <c r="A3424" s="18"/>
      <c r="B3424" s="14">
        <f>IFERROR(__xludf.DUMMYFUNCTION("""COMPUTED_VALUE"""),412477.0)</f>
        <v>412477</v>
      </c>
      <c r="C3424" s="14" t="str">
        <f>IFERROR(__xludf.DUMMYFUNCTION("""COMPUTED_VALUE"""),"蔡宗穎")</f>
        <v>蔡宗穎</v>
      </c>
      <c r="D3424" s="16" t="str">
        <f>IFERROR(__xludf.DUMMYFUNCTION("""COMPUTED_VALUE"""),"jam*****il.edu.tw")</f>
        <v>jam*****il.edu.tw</v>
      </c>
      <c r="E3424" s="17" t="str">
        <f>IFERROR(__xludf.DUMMYFUNCTION("""COMPUTED_VALUE"""),"嘉義縣布袋鎮布袋國民小學")</f>
        <v>嘉義縣布袋鎮布袋國民小學</v>
      </c>
      <c r="F3424" s="14" t="str">
        <f>IFERROR(__xludf.DUMMYFUNCTION("""COMPUTED_VALUE"""),"六年級")</f>
        <v>六年級</v>
      </c>
      <c r="G3424" s="14" t="str">
        <f>IFERROR(__xludf.DUMMYFUNCTION("""COMPUTED_VALUE"""),"獎狀")</f>
        <v>獎狀</v>
      </c>
      <c r="H3424" s="8"/>
    </row>
    <row r="3425">
      <c r="A3425" s="18"/>
      <c r="B3425" s="14">
        <f>IFERROR(__xludf.DUMMYFUNCTION("""COMPUTED_VALUE"""),914442.0)</f>
        <v>914442</v>
      </c>
      <c r="C3425" s="14" t="str">
        <f>IFERROR(__xludf.DUMMYFUNCTION("""COMPUTED_VALUE"""),"蔡幸家")</f>
        <v>蔡幸家</v>
      </c>
      <c r="D3425" s="16" t="str">
        <f>IFERROR(__xludf.DUMMYFUNCTION("""COMPUTED_VALUE"""),"jen*****y@mail.edu.tw")</f>
        <v>jen*****y@mail.edu.tw</v>
      </c>
      <c r="E3425" s="17" t="str">
        <f>IFERROR(__xludf.DUMMYFUNCTION("""COMPUTED_VALUE"""),"嘉義縣布袋鎮布袋國民小學")</f>
        <v>嘉義縣布袋鎮布袋國民小學</v>
      </c>
      <c r="F3425" s="14" t="str">
        <f>IFERROR(__xludf.DUMMYFUNCTION("""COMPUTED_VALUE"""),"六年級")</f>
        <v>六年級</v>
      </c>
      <c r="G3425" s="14" t="str">
        <f>IFERROR(__xludf.DUMMYFUNCTION("""COMPUTED_VALUE"""),"獎狀")</f>
        <v>獎狀</v>
      </c>
      <c r="H3425" s="8"/>
    </row>
    <row r="3426">
      <c r="A3426" s="18"/>
      <c r="B3426" s="14">
        <f>IFERROR(__xludf.DUMMYFUNCTION("""COMPUTED_VALUE"""),1010239.0)</f>
        <v>1010239</v>
      </c>
      <c r="C3426" s="14" t="str">
        <f>IFERROR(__xludf.DUMMYFUNCTION("""COMPUTED_VALUE"""),"張軒齊")</f>
        <v>張軒齊</v>
      </c>
      <c r="D3426" s="16" t="str">
        <f>IFERROR(__xludf.DUMMYFUNCTION("""COMPUTED_VALUE"""),"s10*****mail.cjnes.ylc.edu.tw")</f>
        <v>s10*****mail.cjnes.ylc.edu.tw</v>
      </c>
      <c r="E3426" s="17" t="str">
        <f>IFERROR(__xludf.DUMMYFUNCTION("""COMPUTED_VALUE"""),"雲林縣斗南鎮僑真國民小學")</f>
        <v>雲林縣斗南鎮僑真國民小學</v>
      </c>
      <c r="F3426" s="14" t="str">
        <f>IFERROR(__xludf.DUMMYFUNCTION("""COMPUTED_VALUE"""),"三年級")</f>
        <v>三年級</v>
      </c>
      <c r="G3426" s="14" t="str">
        <f>IFERROR(__xludf.DUMMYFUNCTION("""COMPUTED_VALUE"""),"●小禮物")</f>
        <v>●小禮物</v>
      </c>
      <c r="H3426" s="8"/>
    </row>
    <row r="3427">
      <c r="A3427" s="18"/>
      <c r="B3427" s="14">
        <f>IFERROR(__xludf.DUMMYFUNCTION("""COMPUTED_VALUE"""),1179316.0)</f>
        <v>1179316</v>
      </c>
      <c r="C3427" s="14" t="str">
        <f>IFERROR(__xludf.DUMMYFUNCTION("""COMPUTED_VALUE"""),"王俞涵")</f>
        <v>王俞涵</v>
      </c>
      <c r="D3427" s="16" t="str">
        <f>IFERROR(__xludf.DUMMYFUNCTION("""COMPUTED_VALUE"""),"tte*****2@mail.edu.tw")</f>
        <v>tte*****2@mail.edu.tw</v>
      </c>
      <c r="E3427" s="17" t="str">
        <f>IFERROR(__xludf.DUMMYFUNCTION("""COMPUTED_VALUE"""),"雲林縣斗南鎮大東國民小學")</f>
        <v>雲林縣斗南鎮大東國民小學</v>
      </c>
      <c r="F3427" s="14" t="str">
        <f>IFERROR(__xludf.DUMMYFUNCTION("""COMPUTED_VALUE"""),"五年級")</f>
        <v>五年級</v>
      </c>
      <c r="G3427" s="14" t="str">
        <f>IFERROR(__xludf.DUMMYFUNCTION("""COMPUTED_VALUE"""),"獎狀")</f>
        <v>獎狀</v>
      </c>
      <c r="H3427" s="8"/>
    </row>
    <row r="3428">
      <c r="A3428" s="18"/>
      <c r="B3428" s="14">
        <f>IFERROR(__xludf.DUMMYFUNCTION("""COMPUTED_VALUE"""),1179297.0)</f>
        <v>1179297</v>
      </c>
      <c r="C3428" s="14" t="str">
        <f>IFERROR(__xludf.DUMMYFUNCTION("""COMPUTED_VALUE"""),"王昶傅")</f>
        <v>王昶傅</v>
      </c>
      <c r="D3428" s="16" t="str">
        <f>IFERROR(__xludf.DUMMYFUNCTION("""COMPUTED_VALUE"""),"tte*****4@mail.edu.tw")</f>
        <v>tte*****4@mail.edu.tw</v>
      </c>
      <c r="E3428" s="17" t="str">
        <f>IFERROR(__xludf.DUMMYFUNCTION("""COMPUTED_VALUE"""),"雲林縣斗南鎮大東國民小學")</f>
        <v>雲林縣斗南鎮大東國民小學</v>
      </c>
      <c r="F3428" s="14" t="str">
        <f>IFERROR(__xludf.DUMMYFUNCTION("""COMPUTED_VALUE"""),"五年級")</f>
        <v>五年級</v>
      </c>
      <c r="G3428" s="14" t="str">
        <f>IFERROR(__xludf.DUMMYFUNCTION("""COMPUTED_VALUE"""),"獎狀")</f>
        <v>獎狀</v>
      </c>
      <c r="H3428" s="8"/>
    </row>
    <row r="3429">
      <c r="A3429" s="18"/>
      <c r="B3429" s="14">
        <f>IFERROR(__xludf.DUMMYFUNCTION("""COMPUTED_VALUE"""),803769.0)</f>
        <v>803769</v>
      </c>
      <c r="C3429" s="14" t="str">
        <f>IFERROR(__xludf.DUMMYFUNCTION("""COMPUTED_VALUE"""),"詹芸萱")</f>
        <v>詹芸萱</v>
      </c>
      <c r="D3429" s="16" t="str">
        <f>IFERROR(__xludf.DUMMYFUNCTION("""COMPUTED_VALUE"""),"tte*****12@mail.edu.tw")</f>
        <v>tte*****12@mail.edu.tw</v>
      </c>
      <c r="E3429" s="17" t="str">
        <f>IFERROR(__xludf.DUMMYFUNCTION("""COMPUTED_VALUE"""),"雲林縣斗南鎮大東國民小學")</f>
        <v>雲林縣斗南鎮大東國民小學</v>
      </c>
      <c r="F3429" s="14" t="str">
        <f>IFERROR(__xludf.DUMMYFUNCTION("""COMPUTED_VALUE"""),"六年級")</f>
        <v>六年級</v>
      </c>
      <c r="G3429" s="14" t="str">
        <f>IFERROR(__xludf.DUMMYFUNCTION("""COMPUTED_VALUE"""),"獎狀")</f>
        <v>獎狀</v>
      </c>
      <c r="H3429" s="8"/>
    </row>
    <row r="3430">
      <c r="A3430" s="18"/>
      <c r="B3430" s="14">
        <f>IFERROR(__xludf.DUMMYFUNCTION("""COMPUTED_VALUE"""),803770.0)</f>
        <v>803770</v>
      </c>
      <c r="C3430" s="14" t="str">
        <f>IFERROR(__xludf.DUMMYFUNCTION("""COMPUTED_VALUE"""),"王彥博")</f>
        <v>王彥博</v>
      </c>
      <c r="D3430" s="16" t="str">
        <f>IFERROR(__xludf.DUMMYFUNCTION("""COMPUTED_VALUE"""),"tte*****03@mail.edu.tw")</f>
        <v>tte*****03@mail.edu.tw</v>
      </c>
      <c r="E3430" s="17" t="str">
        <f>IFERROR(__xludf.DUMMYFUNCTION("""COMPUTED_VALUE"""),"雲林縣斗南鎮大東國民小學")</f>
        <v>雲林縣斗南鎮大東國民小學</v>
      </c>
      <c r="F3430" s="14" t="str">
        <f>IFERROR(__xludf.DUMMYFUNCTION("""COMPUTED_VALUE"""),"六年級")</f>
        <v>六年級</v>
      </c>
      <c r="G3430" s="14" t="str">
        <f>IFERROR(__xludf.DUMMYFUNCTION("""COMPUTED_VALUE"""),"●小禮物")</f>
        <v>●小禮物</v>
      </c>
      <c r="H3430" s="8"/>
    </row>
    <row r="3431">
      <c r="A3431" s="18"/>
      <c r="B3431" s="14">
        <f>IFERROR(__xludf.DUMMYFUNCTION("""COMPUTED_VALUE"""),803778.0)</f>
        <v>803778</v>
      </c>
      <c r="C3431" s="14" t="str">
        <f>IFERROR(__xludf.DUMMYFUNCTION("""COMPUTED_VALUE"""),"沈茗豐")</f>
        <v>沈茗豐</v>
      </c>
      <c r="D3431" s="16" t="str">
        <f>IFERROR(__xludf.DUMMYFUNCTION("""COMPUTED_VALUE"""),"tte*****9@mail.edu.tw")</f>
        <v>tte*****9@mail.edu.tw</v>
      </c>
      <c r="E3431" s="17" t="str">
        <f>IFERROR(__xludf.DUMMYFUNCTION("""COMPUTED_VALUE"""),"雲林縣斗南鎮大東國民小學")</f>
        <v>雲林縣斗南鎮大東國民小學</v>
      </c>
      <c r="F3431" s="14" t="str">
        <f>IFERROR(__xludf.DUMMYFUNCTION("""COMPUTED_VALUE"""),"六年級")</f>
        <v>六年級</v>
      </c>
      <c r="G3431" s="14" t="str">
        <f>IFERROR(__xludf.DUMMYFUNCTION("""COMPUTED_VALUE"""),"●小禮物")</f>
        <v>●小禮物</v>
      </c>
      <c r="H3431" s="8"/>
    </row>
    <row r="3432">
      <c r="A3432" s="18"/>
      <c r="B3432" s="14">
        <f>IFERROR(__xludf.DUMMYFUNCTION("""COMPUTED_VALUE"""),803775.0)</f>
        <v>803775</v>
      </c>
      <c r="C3432" s="14" t="str">
        <f>IFERROR(__xludf.DUMMYFUNCTION("""COMPUTED_VALUE"""),"陳芷渝")</f>
        <v>陳芷渝</v>
      </c>
      <c r="D3432" s="16" t="str">
        <f>IFERROR(__xludf.DUMMYFUNCTION("""COMPUTED_VALUE"""),"tte*****11@mail.edu.tw")</f>
        <v>tte*****11@mail.edu.tw</v>
      </c>
      <c r="E3432" s="17" t="str">
        <f>IFERROR(__xludf.DUMMYFUNCTION("""COMPUTED_VALUE"""),"雲林縣斗南鎮大東國民小學")</f>
        <v>雲林縣斗南鎮大東國民小學</v>
      </c>
      <c r="F3432" s="14" t="str">
        <f>IFERROR(__xludf.DUMMYFUNCTION("""COMPUTED_VALUE"""),"六年級")</f>
        <v>六年級</v>
      </c>
      <c r="G3432" s="14" t="str">
        <f>IFERROR(__xludf.DUMMYFUNCTION("""COMPUTED_VALUE"""),"●小禮物")</f>
        <v>●小禮物</v>
      </c>
      <c r="H3432" s="8"/>
    </row>
    <row r="3433">
      <c r="A3433" s="18"/>
      <c r="B3433" s="14">
        <f>IFERROR(__xludf.DUMMYFUNCTION("""COMPUTED_VALUE"""),803774.0)</f>
        <v>803774</v>
      </c>
      <c r="C3433" s="14" t="str">
        <f>IFERROR(__xludf.DUMMYFUNCTION("""COMPUTED_VALUE"""),"簡宥荃")</f>
        <v>簡宥荃</v>
      </c>
      <c r="D3433" s="16" t="str">
        <f>IFERROR(__xludf.DUMMYFUNCTION("""COMPUTED_VALUE"""),"tte*****tes.ylc@mail.edu.tw")</f>
        <v>tte*****tes.ylc@mail.edu.tw</v>
      </c>
      <c r="E3433" s="17" t="str">
        <f>IFERROR(__xludf.DUMMYFUNCTION("""COMPUTED_VALUE"""),"雲林縣斗南鎮大東國民小學")</f>
        <v>雲林縣斗南鎮大東國民小學</v>
      </c>
      <c r="F3433" s="14" t="str">
        <f>IFERROR(__xludf.DUMMYFUNCTION("""COMPUTED_VALUE"""),"六年級")</f>
        <v>六年級</v>
      </c>
      <c r="G3433" s="14" t="str">
        <f>IFERROR(__xludf.DUMMYFUNCTION("""COMPUTED_VALUE"""),"●小禮物")</f>
        <v>●小禮物</v>
      </c>
      <c r="H3433" s="8"/>
    </row>
    <row r="3434">
      <c r="A3434" s="18"/>
      <c r="B3434" s="14">
        <f>IFERROR(__xludf.DUMMYFUNCTION("""COMPUTED_VALUE"""),803773.0)</f>
        <v>803773</v>
      </c>
      <c r="C3434" s="14" t="str">
        <f>IFERROR(__xludf.DUMMYFUNCTION("""COMPUTED_VALUE"""),"沈育琳")</f>
        <v>沈育琳</v>
      </c>
      <c r="D3434" s="16" t="str">
        <f>IFERROR(__xludf.DUMMYFUNCTION("""COMPUTED_VALUE"""),"tte*****10@mail.edu.tw")</f>
        <v>tte*****10@mail.edu.tw</v>
      </c>
      <c r="E3434" s="17" t="str">
        <f>IFERROR(__xludf.DUMMYFUNCTION("""COMPUTED_VALUE"""),"雲林縣斗南鎮大東國民小學")</f>
        <v>雲林縣斗南鎮大東國民小學</v>
      </c>
      <c r="F3434" s="14" t="str">
        <f>IFERROR(__xludf.DUMMYFUNCTION("""COMPUTED_VALUE"""),"六年級")</f>
        <v>六年級</v>
      </c>
      <c r="G3434" s="14" t="str">
        <f>IFERROR(__xludf.DUMMYFUNCTION("""COMPUTED_VALUE"""),"獎狀")</f>
        <v>獎狀</v>
      </c>
      <c r="H3434" s="8"/>
    </row>
    <row r="3435">
      <c r="A3435" s="18"/>
      <c r="B3435" s="14">
        <f>IFERROR(__xludf.DUMMYFUNCTION("""COMPUTED_VALUE"""),803768.0)</f>
        <v>803768</v>
      </c>
      <c r="C3435" s="14" t="str">
        <f>IFERROR(__xludf.DUMMYFUNCTION("""COMPUTED_VALUE"""),"沈鄅芯")</f>
        <v>沈鄅芯</v>
      </c>
      <c r="D3435" s="16" t="str">
        <f>IFERROR(__xludf.DUMMYFUNCTION("""COMPUTED_VALUE"""),"bet*****tybetty@mail.edu.tw")</f>
        <v>bet*****tybetty@mail.edu.tw</v>
      </c>
      <c r="E3435" s="17" t="str">
        <f>IFERROR(__xludf.DUMMYFUNCTION("""COMPUTED_VALUE"""),"雲林縣斗南鎮大東國民小學")</f>
        <v>雲林縣斗南鎮大東國民小學</v>
      </c>
      <c r="F3435" s="14" t="str">
        <f>IFERROR(__xludf.DUMMYFUNCTION("""COMPUTED_VALUE"""),"六年級")</f>
        <v>六年級</v>
      </c>
      <c r="G3435" s="14" t="str">
        <f>IFERROR(__xludf.DUMMYFUNCTION("""COMPUTED_VALUE"""),"獎狀")</f>
        <v>獎狀</v>
      </c>
      <c r="H3435" s="8"/>
    </row>
    <row r="3436">
      <c r="A3436" s="18"/>
      <c r="B3436" s="14">
        <f>IFERROR(__xludf.DUMMYFUNCTION("""COMPUTED_VALUE"""),803767.0)</f>
        <v>803767</v>
      </c>
      <c r="C3436" s="14" t="str">
        <f>IFERROR(__xludf.DUMMYFUNCTION("""COMPUTED_VALUE"""),"林德修")</f>
        <v>林德修</v>
      </c>
      <c r="D3436" s="16" t="str">
        <f>IFERROR(__xludf.DUMMYFUNCTION("""COMPUTED_VALUE"""),"tte*****02@mail.edu.tw")</f>
        <v>tte*****02@mail.edu.tw</v>
      </c>
      <c r="E3436" s="17" t="str">
        <f>IFERROR(__xludf.DUMMYFUNCTION("""COMPUTED_VALUE"""),"雲林縣斗南鎮大東國民小學")</f>
        <v>雲林縣斗南鎮大東國民小學</v>
      </c>
      <c r="F3436" s="14" t="str">
        <f>IFERROR(__xludf.DUMMYFUNCTION("""COMPUTED_VALUE"""),"六年級")</f>
        <v>六年級</v>
      </c>
      <c r="G3436" s="14" t="str">
        <f>IFERROR(__xludf.DUMMYFUNCTION("""COMPUTED_VALUE"""),"獎狀")</f>
        <v>獎狀</v>
      </c>
      <c r="H3436" s="8"/>
    </row>
    <row r="3437">
      <c r="A3437" s="18"/>
      <c r="B3437" s="14">
        <f>IFERROR(__xludf.DUMMYFUNCTION("""COMPUTED_VALUE"""),234565.0)</f>
        <v>234565</v>
      </c>
      <c r="C3437" s="14" t="str">
        <f>IFERROR(__xludf.DUMMYFUNCTION("""COMPUTED_VALUE"""),"呂晨妤")</f>
        <v>呂晨妤</v>
      </c>
      <c r="D3437" s="16" t="str">
        <f>IFERROR(__xludf.DUMMYFUNCTION("""COMPUTED_VALUE"""),"rhe*****6@mail.edu.tw")</f>
        <v>rhe*****6@mail.edu.tw</v>
      </c>
      <c r="E3437" s="17" t="str">
        <f>IFERROR(__xludf.DUMMYFUNCTION("""COMPUTED_VALUE"""),"雲林縣大埤鄉仁和國民小學")</f>
        <v>雲林縣大埤鄉仁和國民小學</v>
      </c>
      <c r="F3437" s="14" t="str">
        <f>IFERROR(__xludf.DUMMYFUNCTION("""COMPUTED_VALUE"""),"六年級")</f>
        <v>六年級</v>
      </c>
      <c r="G3437" s="14" t="str">
        <f>IFERROR(__xludf.DUMMYFUNCTION("""COMPUTED_VALUE"""),"●小禮物")</f>
        <v>●小禮物</v>
      </c>
      <c r="H3437" s="8"/>
    </row>
    <row r="3438">
      <c r="A3438" s="18"/>
      <c r="B3438" s="14">
        <f>IFERROR(__xludf.DUMMYFUNCTION("""COMPUTED_VALUE"""),289975.0)</f>
        <v>289975</v>
      </c>
      <c r="C3438" s="14" t="str">
        <f>IFERROR(__xludf.DUMMYFUNCTION("""COMPUTED_VALUE"""),"廖珮君")</f>
        <v>廖珮君</v>
      </c>
      <c r="D3438" s="16" t="str">
        <f>IFERROR(__xludf.DUMMYFUNCTION("""COMPUTED_VALUE"""),"rhe*****8@mail.edu.tw")</f>
        <v>rhe*****8@mail.edu.tw</v>
      </c>
      <c r="E3438" s="17" t="str">
        <f>IFERROR(__xludf.DUMMYFUNCTION("""COMPUTED_VALUE"""),"雲林縣大埤鄉仁和國民小學")</f>
        <v>雲林縣大埤鄉仁和國民小學</v>
      </c>
      <c r="F3438" s="14" t="str">
        <f>IFERROR(__xludf.DUMMYFUNCTION("""COMPUTED_VALUE"""),"六年級")</f>
        <v>六年級</v>
      </c>
      <c r="G3438" s="14" t="str">
        <f>IFERROR(__xludf.DUMMYFUNCTION("""COMPUTED_VALUE"""),"●小禮物")</f>
        <v>●小禮物</v>
      </c>
      <c r="H3438" s="8"/>
    </row>
    <row r="3439">
      <c r="A3439" s="18"/>
      <c r="B3439" s="14">
        <f>IFERROR(__xludf.DUMMYFUNCTION("""COMPUTED_VALUE"""),269208.0)</f>
        <v>269208</v>
      </c>
      <c r="C3439" s="14" t="str">
        <f>IFERROR(__xludf.DUMMYFUNCTION("""COMPUTED_VALUE"""),"謝秉諺")</f>
        <v>謝秉諺</v>
      </c>
      <c r="D3439" s="16" t="str">
        <f>IFERROR(__xludf.DUMMYFUNCTION("""COMPUTED_VALUE"""),"rhe*****1@mail.edu.tw")</f>
        <v>rhe*****1@mail.edu.tw</v>
      </c>
      <c r="E3439" s="17" t="str">
        <f>IFERROR(__xludf.DUMMYFUNCTION("""COMPUTED_VALUE"""),"雲林縣大埤鄉仁和國民小學")</f>
        <v>雲林縣大埤鄉仁和國民小學</v>
      </c>
      <c r="F3439" s="14" t="str">
        <f>IFERROR(__xludf.DUMMYFUNCTION("""COMPUTED_VALUE"""),"六年級")</f>
        <v>六年級</v>
      </c>
      <c r="G3439" s="14" t="str">
        <f>IFERROR(__xludf.DUMMYFUNCTION("""COMPUTED_VALUE"""),"●小禮物")</f>
        <v>●小禮物</v>
      </c>
      <c r="H3439" s="8"/>
    </row>
    <row r="3440">
      <c r="A3440" s="18"/>
      <c r="B3440" s="14">
        <f>IFERROR(__xludf.DUMMYFUNCTION("""COMPUTED_VALUE"""),159250.0)</f>
        <v>159250</v>
      </c>
      <c r="C3440" s="14" t="str">
        <f>IFERROR(__xludf.DUMMYFUNCTION("""COMPUTED_VALUE"""),"黃柏淋")</f>
        <v>黃柏淋</v>
      </c>
      <c r="D3440" s="16" t="str">
        <f>IFERROR(__xludf.DUMMYFUNCTION("""COMPUTED_VALUE"""),"rhe*****2@mail.edu.tw")</f>
        <v>rhe*****2@mail.edu.tw</v>
      </c>
      <c r="E3440" s="17" t="str">
        <f>IFERROR(__xludf.DUMMYFUNCTION("""COMPUTED_VALUE"""),"雲林縣大埤鄉仁和國民小學")</f>
        <v>雲林縣大埤鄉仁和國民小學</v>
      </c>
      <c r="F3440" s="14" t="str">
        <f>IFERROR(__xludf.DUMMYFUNCTION("""COMPUTED_VALUE"""),"六年級")</f>
        <v>六年級</v>
      </c>
      <c r="G3440" s="14" t="str">
        <f>IFERROR(__xludf.DUMMYFUNCTION("""COMPUTED_VALUE"""),"★禮券$200")</f>
        <v>★禮券$200</v>
      </c>
      <c r="H3440" s="8"/>
    </row>
    <row r="3441">
      <c r="A3441" s="18"/>
      <c r="B3441" s="14">
        <f>IFERROR(__xludf.DUMMYFUNCTION("""COMPUTED_VALUE"""),159248.0)</f>
        <v>159248</v>
      </c>
      <c r="C3441" s="14" t="str">
        <f>IFERROR(__xludf.DUMMYFUNCTION("""COMPUTED_VALUE"""),"劉丹青")</f>
        <v>劉丹青</v>
      </c>
      <c r="D3441" s="16" t="str">
        <f>IFERROR(__xludf.DUMMYFUNCTION("""COMPUTED_VALUE"""),"rhe*****4@mail.edu.tw")</f>
        <v>rhe*****4@mail.edu.tw</v>
      </c>
      <c r="E3441" s="17" t="str">
        <f>IFERROR(__xludf.DUMMYFUNCTION("""COMPUTED_VALUE"""),"雲林縣大埤鄉仁和國民小學")</f>
        <v>雲林縣大埤鄉仁和國民小學</v>
      </c>
      <c r="F3441" s="14" t="str">
        <f>IFERROR(__xludf.DUMMYFUNCTION("""COMPUTED_VALUE"""),"六年級")</f>
        <v>六年級</v>
      </c>
      <c r="G3441" s="14" t="str">
        <f>IFERROR(__xludf.DUMMYFUNCTION("""COMPUTED_VALUE"""),"★禮券$200")</f>
        <v>★禮券$200</v>
      </c>
      <c r="H3441" s="8"/>
    </row>
    <row r="3442">
      <c r="A3442" s="18"/>
      <c r="B3442" s="14">
        <f>IFERROR(__xludf.DUMMYFUNCTION("""COMPUTED_VALUE"""),554299.0)</f>
        <v>554299</v>
      </c>
      <c r="C3442" s="14" t="str">
        <f>IFERROR(__xludf.DUMMYFUNCTION("""COMPUTED_VALUE"""),"楊盛傑")</f>
        <v>楊盛傑</v>
      </c>
      <c r="D3442" s="16" t="str">
        <f>IFERROR(__xludf.DUMMYFUNCTION("""COMPUTED_VALUE"""),"ace*****08@mail.edu.tw")</f>
        <v>ace*****08@mail.edu.tw</v>
      </c>
      <c r="E3442" s="17" t="str">
        <f>IFERROR(__xludf.DUMMYFUNCTION("""COMPUTED_VALUE"""),"雲林縣虎尾鎮安慶國民小學")</f>
        <v>雲林縣虎尾鎮安慶國民小學</v>
      </c>
      <c r="F3442" s="14" t="str">
        <f>IFERROR(__xludf.DUMMYFUNCTION("""COMPUTED_VALUE"""),"五年級")</f>
        <v>五年級</v>
      </c>
      <c r="G3442" s="14" t="str">
        <f>IFERROR(__xludf.DUMMYFUNCTION("""COMPUTED_VALUE"""),"獎狀")</f>
        <v>獎狀</v>
      </c>
      <c r="H3442" s="8"/>
    </row>
    <row r="3443">
      <c r="A3443" s="18"/>
      <c r="B3443" s="14">
        <f>IFERROR(__xludf.DUMMYFUNCTION("""COMPUTED_VALUE"""),851661.0)</f>
        <v>851661</v>
      </c>
      <c r="C3443" s="14" t="str">
        <f>IFERROR(__xludf.DUMMYFUNCTION("""COMPUTED_VALUE"""),"林振東")</f>
        <v>林振東</v>
      </c>
      <c r="D3443" s="16" t="str">
        <f>IFERROR(__xludf.DUMMYFUNCTION("""COMPUTED_VALUE"""),"s10*****mail.ljes.ylc.edu.tw")</f>
        <v>s10*****mail.ljes.ylc.edu.tw</v>
      </c>
      <c r="E3443" s="17" t="str">
        <f>IFERROR(__xludf.DUMMYFUNCTION("""COMPUTED_VALUE"""),"雲林縣虎尾鎮立仁國民小學")</f>
        <v>雲林縣虎尾鎮立仁國民小學</v>
      </c>
      <c r="F3443" s="14" t="str">
        <f>IFERROR(__xludf.DUMMYFUNCTION("""COMPUTED_VALUE"""),"四年級")</f>
        <v>四年級</v>
      </c>
      <c r="G3443" s="14" t="str">
        <f>IFERROR(__xludf.DUMMYFUNCTION("""COMPUTED_VALUE"""),"●小禮物")</f>
        <v>●小禮物</v>
      </c>
      <c r="H3443" s="8"/>
    </row>
    <row r="3444">
      <c r="A3444" s="18"/>
      <c r="B3444" s="14">
        <f>IFERROR(__xludf.DUMMYFUNCTION("""COMPUTED_VALUE"""),1127314.0)</f>
        <v>1127314</v>
      </c>
      <c r="C3444" s="14" t="str">
        <f>IFERROR(__xludf.DUMMYFUNCTION("""COMPUTED_VALUE"""),"黃智瑀")</f>
        <v>黃智瑀</v>
      </c>
      <c r="D3444" s="16" t="str">
        <f>IFERROR(__xludf.DUMMYFUNCTION("""COMPUTED_VALUE"""),"car*****a.carrot@mail.edu.tw")</f>
        <v>car*****a.carrot@mail.edu.tw</v>
      </c>
      <c r="E3444" s="17" t="str">
        <f>IFERROR(__xludf.DUMMYFUNCTION("""COMPUTED_VALUE"""),"雲林縣虎尾鎮中正國民小學")</f>
        <v>雲林縣虎尾鎮中正國民小學</v>
      </c>
      <c r="F3444" s="14" t="str">
        <f>IFERROR(__xludf.DUMMYFUNCTION("""COMPUTED_VALUE"""),"三年級")</f>
        <v>三年級</v>
      </c>
      <c r="G3444" s="14" t="str">
        <f>IFERROR(__xludf.DUMMYFUNCTION("""COMPUTED_VALUE"""),"●小禮物")</f>
        <v>●小禮物</v>
      </c>
      <c r="H3444" s="8"/>
    </row>
    <row r="3445">
      <c r="A3445" s="18"/>
      <c r="B3445" s="14">
        <f>IFERROR(__xludf.DUMMYFUNCTION("""COMPUTED_VALUE"""),1121660.0)</f>
        <v>1121660</v>
      </c>
      <c r="C3445" s="14" t="str">
        <f>IFERROR(__xludf.DUMMYFUNCTION("""COMPUTED_VALUE"""),"黃智筠")</f>
        <v>黃智筠</v>
      </c>
      <c r="D3445" s="16" t="str">
        <f>IFERROR(__xludf.DUMMYFUNCTION("""COMPUTED_VALUE"""),"meg*****3@mail.edu.tw")</f>
        <v>meg*****3@mail.edu.tw</v>
      </c>
      <c r="E3445" s="17" t="str">
        <f>IFERROR(__xludf.DUMMYFUNCTION("""COMPUTED_VALUE"""),"雲林縣虎尾鎮中正國民小學")</f>
        <v>雲林縣虎尾鎮中正國民小學</v>
      </c>
      <c r="F3445" s="14" t="str">
        <f>IFERROR(__xludf.DUMMYFUNCTION("""COMPUTED_VALUE"""),"六年級")</f>
        <v>六年級</v>
      </c>
      <c r="G3445" s="14" t="str">
        <f>IFERROR(__xludf.DUMMYFUNCTION("""COMPUTED_VALUE"""),"獎狀")</f>
        <v>獎狀</v>
      </c>
      <c r="H3445" s="8"/>
    </row>
    <row r="3446">
      <c r="A3446" s="18"/>
      <c r="B3446" s="14">
        <f>IFERROR(__xludf.DUMMYFUNCTION("""COMPUTED_VALUE"""),1083248.0)</f>
        <v>1083248</v>
      </c>
      <c r="C3446" s="14" t="str">
        <f>IFERROR(__xludf.DUMMYFUNCTION("""COMPUTED_VALUE"""),"林佑安")</f>
        <v>林佑安</v>
      </c>
      <c r="D3446" s="16" t="str">
        <f>IFERROR(__xludf.DUMMYFUNCTION("""COMPUTED_VALUE"""),"109*****les.ylc.edu.tw")</f>
        <v>109*****les.ylc.edu.tw</v>
      </c>
      <c r="E3446" s="17" t="str">
        <f>IFERROR(__xludf.DUMMYFUNCTION("""COMPUTED_VALUE"""),"雲林縣東勢鄉明倫國民小學")</f>
        <v>雲林縣東勢鄉明倫國民小學</v>
      </c>
      <c r="F3446" s="14" t="str">
        <f>IFERROR(__xludf.DUMMYFUNCTION("""COMPUTED_VALUE"""),"三年級")</f>
        <v>三年級</v>
      </c>
      <c r="G3446" s="14" t="str">
        <f>IFERROR(__xludf.DUMMYFUNCTION("""COMPUTED_VALUE"""),"●小禮物")</f>
        <v>●小禮物</v>
      </c>
      <c r="H3446" s="8"/>
    </row>
    <row r="3447">
      <c r="A3447" s="18"/>
      <c r="B3447" s="14">
        <f>IFERROR(__xludf.DUMMYFUNCTION("""COMPUTED_VALUE"""),1165450.0)</f>
        <v>1165450</v>
      </c>
      <c r="C3447" s="14" t="str">
        <f>IFERROR(__xludf.DUMMYFUNCTION("""COMPUTED_VALUE"""),"謝如微")</f>
        <v>謝如微</v>
      </c>
      <c r="D3447" s="16" t="str">
        <f>IFERROR(__xludf.DUMMYFUNCTION("""COMPUTED_VALUE"""),"mil*****09@mail.edu.tw")</f>
        <v>mil*****09@mail.edu.tw</v>
      </c>
      <c r="E3447" s="17" t="str">
        <f>IFERROR(__xludf.DUMMYFUNCTION("""COMPUTED_VALUE"""),"雲林縣東勢鄉明倫國民小學")</f>
        <v>雲林縣東勢鄉明倫國民小學</v>
      </c>
      <c r="F3447" s="14" t="str">
        <f>IFERROR(__xludf.DUMMYFUNCTION("""COMPUTED_VALUE"""),"三年級")</f>
        <v>三年級</v>
      </c>
      <c r="G3447" s="14" t="str">
        <f>IFERROR(__xludf.DUMMYFUNCTION("""COMPUTED_VALUE"""),"●小禮物")</f>
        <v>●小禮物</v>
      </c>
      <c r="H3447" s="8"/>
    </row>
    <row r="3448">
      <c r="A3448" s="18"/>
      <c r="B3448" s="14">
        <f>IFERROR(__xludf.DUMMYFUNCTION("""COMPUTED_VALUE"""),1089367.0)</f>
        <v>1089367</v>
      </c>
      <c r="C3448" s="14" t="str">
        <f>IFERROR(__xludf.DUMMYFUNCTION("""COMPUTED_VALUE"""),"謝宜郡")</f>
        <v>謝宜郡</v>
      </c>
      <c r="D3448" s="16" t="str">
        <f>IFERROR(__xludf.DUMMYFUNCTION("""COMPUTED_VALUE"""),"109*****les.ylc.edu.tw")</f>
        <v>109*****les.ylc.edu.tw</v>
      </c>
      <c r="E3448" s="17" t="str">
        <f>IFERROR(__xludf.DUMMYFUNCTION("""COMPUTED_VALUE"""),"雲林縣東勢鄉明倫國民小學")</f>
        <v>雲林縣東勢鄉明倫國民小學</v>
      </c>
      <c r="F3448" s="14" t="str">
        <f>IFERROR(__xludf.DUMMYFUNCTION("""COMPUTED_VALUE"""),"三年級")</f>
        <v>三年級</v>
      </c>
      <c r="G3448" s="14" t="str">
        <f>IFERROR(__xludf.DUMMYFUNCTION("""COMPUTED_VALUE"""),"●小禮物")</f>
        <v>●小禮物</v>
      </c>
      <c r="H3448" s="8"/>
    </row>
    <row r="3449">
      <c r="A3449" s="18"/>
      <c r="B3449" s="14">
        <f>IFERROR(__xludf.DUMMYFUNCTION("""COMPUTED_VALUE"""),685350.0)</f>
        <v>685350</v>
      </c>
      <c r="C3449" s="14" t="str">
        <f>IFERROR(__xludf.DUMMYFUNCTION("""COMPUTED_VALUE"""),"張愷軒")</f>
        <v>張愷軒</v>
      </c>
      <c r="D3449" s="16" t="str">
        <f>IFERROR(__xludf.DUMMYFUNCTION("""COMPUTED_VALUE"""),"109*****les.ylc.edu.tw")</f>
        <v>109*****les.ylc.edu.tw</v>
      </c>
      <c r="E3449" s="17" t="str">
        <f>IFERROR(__xludf.DUMMYFUNCTION("""COMPUTED_VALUE"""),"雲林縣東勢鄉明倫國民小學")</f>
        <v>雲林縣東勢鄉明倫國民小學</v>
      </c>
      <c r="F3449" s="14" t="str">
        <f>IFERROR(__xludf.DUMMYFUNCTION("""COMPUTED_VALUE"""),"三年級")</f>
        <v>三年級</v>
      </c>
      <c r="G3449" s="14" t="str">
        <f>IFERROR(__xludf.DUMMYFUNCTION("""COMPUTED_VALUE"""),"★禮券$500")</f>
        <v>★禮券$500</v>
      </c>
      <c r="H3449" s="8"/>
    </row>
    <row r="3450">
      <c r="A3450" s="18"/>
      <c r="B3450" s="14">
        <f>IFERROR(__xludf.DUMMYFUNCTION("""COMPUTED_VALUE"""),1165456.0)</f>
        <v>1165456</v>
      </c>
      <c r="C3450" s="14" t="str">
        <f>IFERROR(__xludf.DUMMYFUNCTION("""COMPUTED_VALUE"""),"吳語蕎")</f>
        <v>吳語蕎</v>
      </c>
      <c r="D3450" s="16" t="str">
        <f>IFERROR(__xludf.DUMMYFUNCTION("""COMPUTED_VALUE"""),"109*****les.ylc.edu.tw")</f>
        <v>109*****les.ylc.edu.tw</v>
      </c>
      <c r="E3450" s="17" t="str">
        <f>IFERROR(__xludf.DUMMYFUNCTION("""COMPUTED_VALUE"""),"雲林縣東勢鄉明倫國民小學")</f>
        <v>雲林縣東勢鄉明倫國民小學</v>
      </c>
      <c r="F3450" s="14" t="str">
        <f>IFERROR(__xludf.DUMMYFUNCTION("""COMPUTED_VALUE"""),"三年級")</f>
        <v>三年級</v>
      </c>
      <c r="G3450" s="14" t="str">
        <f>IFERROR(__xludf.DUMMYFUNCTION("""COMPUTED_VALUE"""),"獎狀")</f>
        <v>獎狀</v>
      </c>
      <c r="H3450" s="8"/>
    </row>
    <row r="3451">
      <c r="A3451" s="18"/>
      <c r="B3451" s="14">
        <f>IFERROR(__xludf.DUMMYFUNCTION("""COMPUTED_VALUE"""),1017528.0)</f>
        <v>1017528</v>
      </c>
      <c r="C3451" s="14" t="str">
        <f>IFERROR(__xludf.DUMMYFUNCTION("""COMPUTED_VALUE"""),"侯偉晟")</f>
        <v>侯偉晟</v>
      </c>
      <c r="D3451" s="16" t="str">
        <f>IFERROR(__xludf.DUMMYFUNCTION("""COMPUTED_VALUE"""),"109*****les.ylc.edu.tw")</f>
        <v>109*****les.ylc.edu.tw</v>
      </c>
      <c r="E3451" s="17" t="str">
        <f>IFERROR(__xludf.DUMMYFUNCTION("""COMPUTED_VALUE"""),"雲林縣東勢鄉明倫國民小學")</f>
        <v>雲林縣東勢鄉明倫國民小學</v>
      </c>
      <c r="F3451" s="14" t="str">
        <f>IFERROR(__xludf.DUMMYFUNCTION("""COMPUTED_VALUE"""),"三年級")</f>
        <v>三年級</v>
      </c>
      <c r="G3451" s="14" t="str">
        <f>IFERROR(__xludf.DUMMYFUNCTION("""COMPUTED_VALUE"""),"獎狀")</f>
        <v>獎狀</v>
      </c>
      <c r="H3451" s="8"/>
    </row>
    <row r="3452">
      <c r="A3452" s="18"/>
      <c r="B3452" s="14">
        <f>IFERROR(__xludf.DUMMYFUNCTION("""COMPUTED_VALUE"""),1019347.0)</f>
        <v>1019347</v>
      </c>
      <c r="C3452" s="14" t="str">
        <f>IFERROR(__xludf.DUMMYFUNCTION("""COMPUTED_VALUE"""),"張哲綸")</f>
        <v>張哲綸</v>
      </c>
      <c r="D3452" s="16" t="str">
        <f>IFERROR(__xludf.DUMMYFUNCTION("""COMPUTED_VALUE"""),"109*****les.ylc.edu.tw")</f>
        <v>109*****les.ylc.edu.tw</v>
      </c>
      <c r="E3452" s="17" t="str">
        <f>IFERROR(__xludf.DUMMYFUNCTION("""COMPUTED_VALUE"""),"雲林縣東勢鄉明倫國民小學")</f>
        <v>雲林縣東勢鄉明倫國民小學</v>
      </c>
      <c r="F3452" s="14" t="str">
        <f>IFERROR(__xludf.DUMMYFUNCTION("""COMPUTED_VALUE"""),"三年級")</f>
        <v>三年級</v>
      </c>
      <c r="G3452" s="14" t="str">
        <f>IFERROR(__xludf.DUMMYFUNCTION("""COMPUTED_VALUE"""),"獎狀")</f>
        <v>獎狀</v>
      </c>
      <c r="H3452" s="8"/>
    </row>
    <row r="3453">
      <c r="A3453" s="18"/>
      <c r="B3453" s="14">
        <f>IFERROR(__xludf.DUMMYFUNCTION("""COMPUTED_VALUE"""),1015736.0)</f>
        <v>1015736</v>
      </c>
      <c r="C3453" s="14" t="str">
        <f>IFERROR(__xludf.DUMMYFUNCTION("""COMPUTED_VALUE"""),"陳致睿")</f>
        <v>陳致睿</v>
      </c>
      <c r="D3453" s="16" t="str">
        <f>IFERROR(__xludf.DUMMYFUNCTION("""COMPUTED_VALUE"""),"109*****les.ylc.edu.tw")</f>
        <v>109*****les.ylc.edu.tw</v>
      </c>
      <c r="E3453" s="17" t="str">
        <f>IFERROR(__xludf.DUMMYFUNCTION("""COMPUTED_VALUE"""),"雲林縣東勢鄉明倫國民小學")</f>
        <v>雲林縣東勢鄉明倫國民小學</v>
      </c>
      <c r="F3453" s="14" t="str">
        <f>IFERROR(__xludf.DUMMYFUNCTION("""COMPUTED_VALUE"""),"三年級")</f>
        <v>三年級</v>
      </c>
      <c r="G3453" s="14" t="str">
        <f>IFERROR(__xludf.DUMMYFUNCTION("""COMPUTED_VALUE"""),"獎狀")</f>
        <v>獎狀</v>
      </c>
      <c r="H3453" s="8"/>
    </row>
    <row r="3454">
      <c r="A3454" s="18"/>
      <c r="B3454" s="14">
        <f>IFERROR(__xludf.DUMMYFUNCTION("""COMPUTED_VALUE"""),1017705.0)</f>
        <v>1017705</v>
      </c>
      <c r="C3454" s="14" t="str">
        <f>IFERROR(__xludf.DUMMYFUNCTION("""COMPUTED_VALUE"""),"蔡尚言")</f>
        <v>蔡尚言</v>
      </c>
      <c r="D3454" s="16" t="str">
        <f>IFERROR(__xludf.DUMMYFUNCTION("""COMPUTED_VALUE"""),"109*****les.ylc.edu.tw")</f>
        <v>109*****les.ylc.edu.tw</v>
      </c>
      <c r="E3454" s="17" t="str">
        <f>IFERROR(__xludf.DUMMYFUNCTION("""COMPUTED_VALUE"""),"雲林縣東勢鄉明倫國民小學")</f>
        <v>雲林縣東勢鄉明倫國民小學</v>
      </c>
      <c r="F3454" s="14" t="str">
        <f>IFERROR(__xludf.DUMMYFUNCTION("""COMPUTED_VALUE"""),"三年級")</f>
        <v>三年級</v>
      </c>
      <c r="G3454" s="14" t="str">
        <f>IFERROR(__xludf.DUMMYFUNCTION("""COMPUTED_VALUE"""),"獎狀")</f>
        <v>獎狀</v>
      </c>
      <c r="H3454" s="8"/>
    </row>
    <row r="3455">
      <c r="A3455" s="18"/>
      <c r="B3455" s="14">
        <f>IFERROR(__xludf.DUMMYFUNCTION("""COMPUTED_VALUE"""),1165430.0)</f>
        <v>1165430</v>
      </c>
      <c r="C3455" s="14" t="str">
        <f>IFERROR(__xludf.DUMMYFUNCTION("""COMPUTED_VALUE"""),"蔡美珍")</f>
        <v>蔡美珍</v>
      </c>
      <c r="D3455" s="16" t="str">
        <f>IFERROR(__xludf.DUMMYFUNCTION("""COMPUTED_VALUE"""),"109*****les.ylc.edu.tw")</f>
        <v>109*****les.ylc.edu.tw</v>
      </c>
      <c r="E3455" s="17" t="str">
        <f>IFERROR(__xludf.DUMMYFUNCTION("""COMPUTED_VALUE"""),"雲林縣東勢鄉明倫國民小學")</f>
        <v>雲林縣東勢鄉明倫國民小學</v>
      </c>
      <c r="F3455" s="14" t="str">
        <f>IFERROR(__xludf.DUMMYFUNCTION("""COMPUTED_VALUE"""),"三年級")</f>
        <v>三年級</v>
      </c>
      <c r="G3455" s="14" t="str">
        <f>IFERROR(__xludf.DUMMYFUNCTION("""COMPUTED_VALUE"""),"獎狀")</f>
        <v>獎狀</v>
      </c>
      <c r="H3455" s="8"/>
    </row>
    <row r="3456">
      <c r="A3456" s="18"/>
      <c r="B3456" s="14">
        <f>IFERROR(__xludf.DUMMYFUNCTION("""COMPUTED_VALUE"""),1015742.0)</f>
        <v>1015742</v>
      </c>
      <c r="C3456" s="14" t="str">
        <f>IFERROR(__xludf.DUMMYFUNCTION("""COMPUTED_VALUE"""),"謝穎萱")</f>
        <v>謝穎萱</v>
      </c>
      <c r="D3456" s="16" t="str">
        <f>IFERROR(__xludf.DUMMYFUNCTION("""COMPUTED_VALUE"""),"109*****les.ylc.edu.tw")</f>
        <v>109*****les.ylc.edu.tw</v>
      </c>
      <c r="E3456" s="17" t="str">
        <f>IFERROR(__xludf.DUMMYFUNCTION("""COMPUTED_VALUE"""),"雲林縣東勢鄉明倫國民小學")</f>
        <v>雲林縣東勢鄉明倫國民小學</v>
      </c>
      <c r="F3456" s="14" t="str">
        <f>IFERROR(__xludf.DUMMYFUNCTION("""COMPUTED_VALUE"""),"三年級")</f>
        <v>三年級</v>
      </c>
      <c r="G3456" s="14" t="str">
        <f>IFERROR(__xludf.DUMMYFUNCTION("""COMPUTED_VALUE"""),"獎狀")</f>
        <v>獎狀</v>
      </c>
      <c r="H3456" s="8"/>
    </row>
    <row r="3457">
      <c r="A3457" s="18"/>
      <c r="B3457" s="14">
        <f>IFERROR(__xludf.DUMMYFUNCTION("""COMPUTED_VALUE"""),845351.0)</f>
        <v>845351</v>
      </c>
      <c r="C3457" s="14" t="str">
        <f>IFERROR(__xludf.DUMMYFUNCTION("""COMPUTED_VALUE"""),"吳瑋澄")</f>
        <v>吳瑋澄</v>
      </c>
      <c r="D3457" s="16" t="str">
        <f>IFERROR(__xludf.DUMMYFUNCTION("""COMPUTED_VALUE"""),"wud*****603@gmail.com")</f>
        <v>wud*****603@gmail.com</v>
      </c>
      <c r="E3457" s="17" t="str">
        <f>IFERROR(__xludf.DUMMYFUNCTION("""COMPUTED_VALUE"""),"雲林縣東勢鄉明倫國民小學")</f>
        <v>雲林縣東勢鄉明倫國民小學</v>
      </c>
      <c r="F3457" s="14" t="str">
        <f>IFERROR(__xludf.DUMMYFUNCTION("""COMPUTED_VALUE"""),"四年級")</f>
        <v>四年級</v>
      </c>
      <c r="G3457" s="14" t="str">
        <f>IFERROR(__xludf.DUMMYFUNCTION("""COMPUTED_VALUE"""),"●小禮物")</f>
        <v>●小禮物</v>
      </c>
      <c r="H3457" s="8"/>
    </row>
    <row r="3458">
      <c r="A3458" s="18"/>
      <c r="B3458" s="14">
        <f>IFERROR(__xludf.DUMMYFUNCTION("""COMPUTED_VALUE"""),812566.0)</f>
        <v>812566</v>
      </c>
      <c r="C3458" s="14" t="str">
        <f>IFERROR(__xludf.DUMMYFUNCTION("""COMPUTED_VALUE"""),"郭育翔")</f>
        <v>郭育翔</v>
      </c>
      <c r="D3458" s="16" t="str">
        <f>IFERROR(__xludf.DUMMYFUNCTION("""COMPUTED_VALUE"""),"108*****les.ylc.edu.tw")</f>
        <v>108*****les.ylc.edu.tw</v>
      </c>
      <c r="E3458" s="17" t="str">
        <f>IFERROR(__xludf.DUMMYFUNCTION("""COMPUTED_VALUE"""),"雲林縣東勢鄉明倫國民小學")</f>
        <v>雲林縣東勢鄉明倫國民小學</v>
      </c>
      <c r="F3458" s="14" t="str">
        <f>IFERROR(__xludf.DUMMYFUNCTION("""COMPUTED_VALUE"""),"四年級")</f>
        <v>四年級</v>
      </c>
      <c r="G3458" s="14" t="str">
        <f>IFERROR(__xludf.DUMMYFUNCTION("""COMPUTED_VALUE"""),"●小禮物")</f>
        <v>●小禮物</v>
      </c>
      <c r="H3458" s="8"/>
    </row>
    <row r="3459">
      <c r="A3459" s="18"/>
      <c r="B3459" s="14">
        <f>IFERROR(__xludf.DUMMYFUNCTION("""COMPUTED_VALUE"""),812571.0)</f>
        <v>812571</v>
      </c>
      <c r="C3459" s="14" t="str">
        <f>IFERROR(__xludf.DUMMYFUNCTION("""COMPUTED_VALUE"""),"陳致語")</f>
        <v>陳致語</v>
      </c>
      <c r="D3459" s="16" t="str">
        <f>IFERROR(__xludf.DUMMYFUNCTION("""COMPUTED_VALUE"""),"108*****les.ylc.edu.tw")</f>
        <v>108*****les.ylc.edu.tw</v>
      </c>
      <c r="E3459" s="17" t="str">
        <f>IFERROR(__xludf.DUMMYFUNCTION("""COMPUTED_VALUE"""),"雲林縣東勢鄉明倫國民小學")</f>
        <v>雲林縣東勢鄉明倫國民小學</v>
      </c>
      <c r="F3459" s="14" t="str">
        <f>IFERROR(__xludf.DUMMYFUNCTION("""COMPUTED_VALUE"""),"四年級")</f>
        <v>四年級</v>
      </c>
      <c r="G3459" s="14" t="str">
        <f>IFERROR(__xludf.DUMMYFUNCTION("""COMPUTED_VALUE"""),"●小禮物")</f>
        <v>●小禮物</v>
      </c>
      <c r="H3459" s="8"/>
    </row>
    <row r="3460">
      <c r="A3460" s="18"/>
      <c r="B3460" s="14">
        <f>IFERROR(__xludf.DUMMYFUNCTION("""COMPUTED_VALUE"""),812570.0)</f>
        <v>812570</v>
      </c>
      <c r="C3460" s="14" t="str">
        <f>IFERROR(__xludf.DUMMYFUNCTION("""COMPUTED_VALUE"""),"林怡蓮")</f>
        <v>林怡蓮</v>
      </c>
      <c r="D3460" s="16" t="str">
        <f>IFERROR(__xludf.DUMMYFUNCTION("""COMPUTED_VALUE"""),"108*****les.ylc.edu.tw")</f>
        <v>108*****les.ylc.edu.tw</v>
      </c>
      <c r="E3460" s="17" t="str">
        <f>IFERROR(__xludf.DUMMYFUNCTION("""COMPUTED_VALUE"""),"雲林縣東勢鄉明倫國民小學")</f>
        <v>雲林縣東勢鄉明倫國民小學</v>
      </c>
      <c r="F3460" s="14" t="str">
        <f>IFERROR(__xludf.DUMMYFUNCTION("""COMPUTED_VALUE"""),"四年級")</f>
        <v>四年級</v>
      </c>
      <c r="G3460" s="14" t="str">
        <f>IFERROR(__xludf.DUMMYFUNCTION("""COMPUTED_VALUE"""),"獎狀")</f>
        <v>獎狀</v>
      </c>
      <c r="H3460" s="8"/>
    </row>
    <row r="3461">
      <c r="A3461" s="18"/>
      <c r="B3461" s="14">
        <f>IFERROR(__xludf.DUMMYFUNCTION("""COMPUTED_VALUE"""),808692.0)</f>
        <v>808692</v>
      </c>
      <c r="C3461" s="14" t="str">
        <f>IFERROR(__xludf.DUMMYFUNCTION("""COMPUTED_VALUE"""),"劉泓溢")</f>
        <v>劉泓溢</v>
      </c>
      <c r="D3461" s="16" t="str">
        <f>IFERROR(__xludf.DUMMYFUNCTION("""COMPUTED_VALUE"""),"108*****les.ylc.edu.tw")</f>
        <v>108*****les.ylc.edu.tw</v>
      </c>
      <c r="E3461" s="17" t="str">
        <f>IFERROR(__xludf.DUMMYFUNCTION("""COMPUTED_VALUE"""),"雲林縣東勢鄉明倫國民小學")</f>
        <v>雲林縣東勢鄉明倫國民小學</v>
      </c>
      <c r="F3461" s="14" t="str">
        <f>IFERROR(__xludf.DUMMYFUNCTION("""COMPUTED_VALUE"""),"四年級")</f>
        <v>四年級</v>
      </c>
      <c r="G3461" s="14" t="str">
        <f>IFERROR(__xludf.DUMMYFUNCTION("""COMPUTED_VALUE"""),"獎狀")</f>
        <v>獎狀</v>
      </c>
      <c r="H3461" s="8"/>
    </row>
    <row r="3462">
      <c r="A3462" s="18"/>
      <c r="B3462" s="14">
        <f>IFERROR(__xludf.DUMMYFUNCTION("""COMPUTED_VALUE"""),1115662.0)</f>
        <v>1115662</v>
      </c>
      <c r="C3462" s="14" t="str">
        <f>IFERROR(__xludf.DUMMYFUNCTION("""COMPUTED_VALUE"""),"蔡立晨")</f>
        <v>蔡立晨</v>
      </c>
      <c r="D3462" s="16" t="str">
        <f>IFERROR(__xludf.DUMMYFUNCTION("""COMPUTED_VALUE"""),"108*****les.ylc.edu.tw")</f>
        <v>108*****les.ylc.edu.tw</v>
      </c>
      <c r="E3462" s="17" t="str">
        <f>IFERROR(__xludf.DUMMYFUNCTION("""COMPUTED_VALUE"""),"雲林縣東勢鄉明倫國民小學")</f>
        <v>雲林縣東勢鄉明倫國民小學</v>
      </c>
      <c r="F3462" s="14" t="str">
        <f>IFERROR(__xludf.DUMMYFUNCTION("""COMPUTED_VALUE"""),"四年級")</f>
        <v>四年級</v>
      </c>
      <c r="G3462" s="14" t="str">
        <f>IFERROR(__xludf.DUMMYFUNCTION("""COMPUTED_VALUE"""),"獎狀")</f>
        <v>獎狀</v>
      </c>
      <c r="H3462" s="8"/>
    </row>
    <row r="3463">
      <c r="A3463" s="18"/>
      <c r="B3463" s="14">
        <f>IFERROR(__xludf.DUMMYFUNCTION("""COMPUTED_VALUE"""),808693.0)</f>
        <v>808693</v>
      </c>
      <c r="C3463" s="14" t="str">
        <f>IFERROR(__xludf.DUMMYFUNCTION("""COMPUTED_VALUE"""),"蔡金靜")</f>
        <v>蔡金靜</v>
      </c>
      <c r="D3463" s="16" t="str">
        <f>IFERROR(__xludf.DUMMYFUNCTION("""COMPUTED_VALUE"""),"108*****les.ylc.edu.tw")</f>
        <v>108*****les.ylc.edu.tw</v>
      </c>
      <c r="E3463" s="17" t="str">
        <f>IFERROR(__xludf.DUMMYFUNCTION("""COMPUTED_VALUE"""),"雲林縣東勢鄉明倫國民小學")</f>
        <v>雲林縣東勢鄉明倫國民小學</v>
      </c>
      <c r="F3463" s="14" t="str">
        <f>IFERROR(__xludf.DUMMYFUNCTION("""COMPUTED_VALUE"""),"四年級")</f>
        <v>四年級</v>
      </c>
      <c r="G3463" s="14" t="str">
        <f>IFERROR(__xludf.DUMMYFUNCTION("""COMPUTED_VALUE"""),"獎狀")</f>
        <v>獎狀</v>
      </c>
      <c r="H3463" s="8"/>
    </row>
    <row r="3464">
      <c r="A3464" s="18"/>
      <c r="B3464" s="14">
        <f>IFERROR(__xludf.DUMMYFUNCTION("""COMPUTED_VALUE"""),852341.0)</f>
        <v>852341</v>
      </c>
      <c r="C3464" s="14" t="str">
        <f>IFERROR(__xludf.DUMMYFUNCTION("""COMPUTED_VALUE"""),"吳姿蒨")</f>
        <v>吳姿蒨</v>
      </c>
      <c r="D3464" s="16" t="str">
        <f>IFERROR(__xludf.DUMMYFUNCTION("""COMPUTED_VALUE"""),"107*****les.ylc.edu.tw")</f>
        <v>107*****les.ylc.edu.tw</v>
      </c>
      <c r="E3464" s="17" t="str">
        <f>IFERROR(__xludf.DUMMYFUNCTION("""COMPUTED_VALUE"""),"雲林縣東勢鄉明倫國民小學")</f>
        <v>雲林縣東勢鄉明倫國民小學</v>
      </c>
      <c r="F3464" s="14" t="str">
        <f>IFERROR(__xludf.DUMMYFUNCTION("""COMPUTED_VALUE"""),"五年級")</f>
        <v>五年級</v>
      </c>
      <c r="G3464" s="14" t="str">
        <f>IFERROR(__xludf.DUMMYFUNCTION("""COMPUTED_VALUE"""),"●小禮物")</f>
        <v>●小禮物</v>
      </c>
      <c r="H3464" s="8"/>
    </row>
    <row r="3465">
      <c r="A3465" s="18"/>
      <c r="B3465" s="14">
        <f>IFERROR(__xludf.DUMMYFUNCTION("""COMPUTED_VALUE"""),704773.0)</f>
        <v>704773</v>
      </c>
      <c r="C3465" s="14" t="str">
        <f>IFERROR(__xludf.DUMMYFUNCTION("""COMPUTED_VALUE"""),"邱家晉")</f>
        <v>邱家晉</v>
      </c>
      <c r="D3465" s="16" t="str">
        <f>IFERROR(__xludf.DUMMYFUNCTION("""COMPUTED_VALUE"""),"107*****les.ylc.edu.tw")</f>
        <v>107*****les.ylc.edu.tw</v>
      </c>
      <c r="E3465" s="17" t="str">
        <f>IFERROR(__xludf.DUMMYFUNCTION("""COMPUTED_VALUE"""),"雲林縣東勢鄉明倫國民小學")</f>
        <v>雲林縣東勢鄉明倫國民小學</v>
      </c>
      <c r="F3465" s="14" t="str">
        <f>IFERROR(__xludf.DUMMYFUNCTION("""COMPUTED_VALUE"""),"五年級")</f>
        <v>五年級</v>
      </c>
      <c r="G3465" s="14" t="str">
        <f>IFERROR(__xludf.DUMMYFUNCTION("""COMPUTED_VALUE"""),"●小禮物")</f>
        <v>●小禮物</v>
      </c>
      <c r="H3465" s="8"/>
    </row>
    <row r="3466">
      <c r="A3466" s="18"/>
      <c r="B3466" s="14">
        <f>IFERROR(__xludf.DUMMYFUNCTION("""COMPUTED_VALUE"""),852342.0)</f>
        <v>852342</v>
      </c>
      <c r="C3466" s="14" t="str">
        <f>IFERROR(__xludf.DUMMYFUNCTION("""COMPUTED_VALUE"""),"陳致齊")</f>
        <v>陳致齊</v>
      </c>
      <c r="D3466" s="16" t="str">
        <f>IFERROR(__xludf.DUMMYFUNCTION("""COMPUTED_VALUE"""),"107*****les.ylc.edu.tw")</f>
        <v>107*****les.ylc.edu.tw</v>
      </c>
      <c r="E3466" s="17" t="str">
        <f>IFERROR(__xludf.DUMMYFUNCTION("""COMPUTED_VALUE"""),"雲林縣東勢鄉明倫國民小學")</f>
        <v>雲林縣東勢鄉明倫國民小學</v>
      </c>
      <c r="F3466" s="14" t="str">
        <f>IFERROR(__xludf.DUMMYFUNCTION("""COMPUTED_VALUE"""),"五年級")</f>
        <v>五年級</v>
      </c>
      <c r="G3466" s="14" t="str">
        <f>IFERROR(__xludf.DUMMYFUNCTION("""COMPUTED_VALUE"""),"●小禮物")</f>
        <v>●小禮物</v>
      </c>
      <c r="H3466" s="8"/>
    </row>
    <row r="3467">
      <c r="A3467" s="18"/>
      <c r="B3467" s="14">
        <f>IFERROR(__xludf.DUMMYFUNCTION("""COMPUTED_VALUE"""),852349.0)</f>
        <v>852349</v>
      </c>
      <c r="C3467" s="14" t="str">
        <f>IFERROR(__xludf.DUMMYFUNCTION("""COMPUTED_VALUE"""),"曾子芸")</f>
        <v>曾子芸</v>
      </c>
      <c r="D3467" s="16" t="str">
        <f>IFERROR(__xludf.DUMMYFUNCTION("""COMPUTED_VALUE"""),"107*****les.ylc.edu.tw")</f>
        <v>107*****les.ylc.edu.tw</v>
      </c>
      <c r="E3467" s="17" t="str">
        <f>IFERROR(__xludf.DUMMYFUNCTION("""COMPUTED_VALUE"""),"雲林縣東勢鄉明倫國民小學")</f>
        <v>雲林縣東勢鄉明倫國民小學</v>
      </c>
      <c r="F3467" s="14" t="str">
        <f>IFERROR(__xludf.DUMMYFUNCTION("""COMPUTED_VALUE"""),"五年級")</f>
        <v>五年級</v>
      </c>
      <c r="G3467" s="14" t="str">
        <f>IFERROR(__xludf.DUMMYFUNCTION("""COMPUTED_VALUE"""),"●小禮物")</f>
        <v>●小禮物</v>
      </c>
      <c r="H3467" s="8"/>
    </row>
    <row r="3468">
      <c r="A3468" s="18"/>
      <c r="B3468" s="14">
        <f>IFERROR(__xludf.DUMMYFUNCTION("""COMPUTED_VALUE"""),668937.0)</f>
        <v>668937</v>
      </c>
      <c r="C3468" s="14" t="str">
        <f>IFERROR(__xludf.DUMMYFUNCTION("""COMPUTED_VALUE"""),"邱書禹")</f>
        <v>邱書禹</v>
      </c>
      <c r="D3468" s="16" t="str">
        <f>IFERROR(__xludf.DUMMYFUNCTION("""COMPUTED_VALUE"""),"107*****les.ylc.edu.tw")</f>
        <v>107*****les.ylc.edu.tw</v>
      </c>
      <c r="E3468" s="17" t="str">
        <f>IFERROR(__xludf.DUMMYFUNCTION("""COMPUTED_VALUE"""),"雲林縣東勢鄉明倫國民小學")</f>
        <v>雲林縣東勢鄉明倫國民小學</v>
      </c>
      <c r="F3468" s="14" t="str">
        <f>IFERROR(__xludf.DUMMYFUNCTION("""COMPUTED_VALUE"""),"五年級")</f>
        <v>五年級</v>
      </c>
      <c r="G3468" s="14" t="str">
        <f>IFERROR(__xludf.DUMMYFUNCTION("""COMPUTED_VALUE"""),"獎狀")</f>
        <v>獎狀</v>
      </c>
      <c r="H3468" s="8"/>
    </row>
    <row r="3469">
      <c r="A3469" s="18"/>
      <c r="B3469" s="14">
        <f>IFERROR(__xludf.DUMMYFUNCTION("""COMPUTED_VALUE"""),852337.0)</f>
        <v>852337</v>
      </c>
      <c r="C3469" s="14" t="str">
        <f>IFERROR(__xludf.DUMMYFUNCTION("""COMPUTED_VALUE"""),"留柏陽")</f>
        <v>留柏陽</v>
      </c>
      <c r="D3469" s="16" t="str">
        <f>IFERROR(__xludf.DUMMYFUNCTION("""COMPUTED_VALUE"""),"107*****les.ylc.edu.tw")</f>
        <v>107*****les.ylc.edu.tw</v>
      </c>
      <c r="E3469" s="17" t="str">
        <f>IFERROR(__xludf.DUMMYFUNCTION("""COMPUTED_VALUE"""),"雲林縣東勢鄉明倫國民小學")</f>
        <v>雲林縣東勢鄉明倫國民小學</v>
      </c>
      <c r="F3469" s="14" t="str">
        <f>IFERROR(__xludf.DUMMYFUNCTION("""COMPUTED_VALUE"""),"五年級")</f>
        <v>五年級</v>
      </c>
      <c r="G3469" s="14" t="str">
        <f>IFERROR(__xludf.DUMMYFUNCTION("""COMPUTED_VALUE"""),"獎狀")</f>
        <v>獎狀</v>
      </c>
      <c r="H3469" s="8"/>
    </row>
    <row r="3470">
      <c r="A3470" s="18"/>
      <c r="B3470" s="14">
        <f>IFERROR(__xludf.DUMMYFUNCTION("""COMPUTED_VALUE"""),852340.0)</f>
        <v>852340</v>
      </c>
      <c r="C3470" s="14" t="str">
        <f>IFERROR(__xludf.DUMMYFUNCTION("""COMPUTED_VALUE"""),"張乃文")</f>
        <v>張乃文</v>
      </c>
      <c r="D3470" s="16" t="str">
        <f>IFERROR(__xludf.DUMMYFUNCTION("""COMPUTED_VALUE"""),"107*****les.ylc.edu.tw")</f>
        <v>107*****les.ylc.edu.tw</v>
      </c>
      <c r="E3470" s="17" t="str">
        <f>IFERROR(__xludf.DUMMYFUNCTION("""COMPUTED_VALUE"""),"雲林縣東勢鄉明倫國民小學")</f>
        <v>雲林縣東勢鄉明倫國民小學</v>
      </c>
      <c r="F3470" s="14" t="str">
        <f>IFERROR(__xludf.DUMMYFUNCTION("""COMPUTED_VALUE"""),"五年級")</f>
        <v>五年級</v>
      </c>
      <c r="G3470" s="14" t="str">
        <f>IFERROR(__xludf.DUMMYFUNCTION("""COMPUTED_VALUE"""),"獎狀")</f>
        <v>獎狀</v>
      </c>
      <c r="H3470" s="8"/>
    </row>
    <row r="3471">
      <c r="A3471" s="18"/>
      <c r="B3471" s="14">
        <f>IFERROR(__xludf.DUMMYFUNCTION("""COMPUTED_VALUE"""),644457.0)</f>
        <v>644457</v>
      </c>
      <c r="C3471" s="14" t="str">
        <f>IFERROR(__xludf.DUMMYFUNCTION("""COMPUTED_VALUE"""),"張睿浤")</f>
        <v>張睿浤</v>
      </c>
      <c r="D3471" s="16" t="str">
        <f>IFERROR(__xludf.DUMMYFUNCTION("""COMPUTED_VALUE"""),"107*****les.ylc.edu.tw")</f>
        <v>107*****les.ylc.edu.tw</v>
      </c>
      <c r="E3471" s="17" t="str">
        <f>IFERROR(__xludf.DUMMYFUNCTION("""COMPUTED_VALUE"""),"雲林縣東勢鄉明倫國民小學")</f>
        <v>雲林縣東勢鄉明倫國民小學</v>
      </c>
      <c r="F3471" s="14" t="str">
        <f>IFERROR(__xludf.DUMMYFUNCTION("""COMPUTED_VALUE"""),"五年級")</f>
        <v>五年級</v>
      </c>
      <c r="G3471" s="14" t="str">
        <f>IFERROR(__xludf.DUMMYFUNCTION("""COMPUTED_VALUE"""),"獎狀")</f>
        <v>獎狀</v>
      </c>
      <c r="H3471" s="8"/>
    </row>
    <row r="3472">
      <c r="A3472" s="18"/>
      <c r="B3472" s="14">
        <f>IFERROR(__xludf.DUMMYFUNCTION("""COMPUTED_VALUE"""),852338.0)</f>
        <v>852338</v>
      </c>
      <c r="C3472" s="14" t="str">
        <f>IFERROR(__xludf.DUMMYFUNCTION("""COMPUTED_VALUE"""),"黃帷勝")</f>
        <v>黃帷勝</v>
      </c>
      <c r="D3472" s="16" t="str">
        <f>IFERROR(__xludf.DUMMYFUNCTION("""COMPUTED_VALUE"""),"107*****les.ylc.edu.tw")</f>
        <v>107*****les.ylc.edu.tw</v>
      </c>
      <c r="E3472" s="17" t="str">
        <f>IFERROR(__xludf.DUMMYFUNCTION("""COMPUTED_VALUE"""),"雲林縣東勢鄉明倫國民小學")</f>
        <v>雲林縣東勢鄉明倫國民小學</v>
      </c>
      <c r="F3472" s="14" t="str">
        <f>IFERROR(__xludf.DUMMYFUNCTION("""COMPUTED_VALUE"""),"五年級")</f>
        <v>五年級</v>
      </c>
      <c r="G3472" s="14" t="str">
        <f>IFERROR(__xludf.DUMMYFUNCTION("""COMPUTED_VALUE"""),"獎狀")</f>
        <v>獎狀</v>
      </c>
      <c r="H3472" s="8"/>
    </row>
    <row r="3473">
      <c r="A3473" s="18"/>
      <c r="B3473" s="14">
        <f>IFERROR(__xludf.DUMMYFUNCTION("""COMPUTED_VALUE"""),1115674.0)</f>
        <v>1115674</v>
      </c>
      <c r="C3473" s="14" t="str">
        <f>IFERROR(__xludf.DUMMYFUNCTION("""COMPUTED_VALUE"""),"蔡家淇")</f>
        <v>蔡家淇</v>
      </c>
      <c r="D3473" s="16" t="str">
        <f>IFERROR(__xludf.DUMMYFUNCTION("""COMPUTED_VALUE"""),"107*****les.ylc.edu.tw")</f>
        <v>107*****les.ylc.edu.tw</v>
      </c>
      <c r="E3473" s="17" t="str">
        <f>IFERROR(__xludf.DUMMYFUNCTION("""COMPUTED_VALUE"""),"雲林縣東勢鄉明倫國民小學")</f>
        <v>雲林縣東勢鄉明倫國民小學</v>
      </c>
      <c r="F3473" s="14" t="str">
        <f>IFERROR(__xludf.DUMMYFUNCTION("""COMPUTED_VALUE"""),"五年級")</f>
        <v>五年級</v>
      </c>
      <c r="G3473" s="14" t="str">
        <f>IFERROR(__xludf.DUMMYFUNCTION("""COMPUTED_VALUE"""),"獎狀")</f>
        <v>獎狀</v>
      </c>
      <c r="H3473" s="8"/>
    </row>
    <row r="3474">
      <c r="A3474" s="18"/>
      <c r="B3474" s="14">
        <f>IFERROR(__xludf.DUMMYFUNCTION("""COMPUTED_VALUE"""),585965.0)</f>
        <v>585965</v>
      </c>
      <c r="C3474" s="14" t="str">
        <f>IFERROR(__xludf.DUMMYFUNCTION("""COMPUTED_VALUE"""),"邱詩庭")</f>
        <v>邱詩庭</v>
      </c>
      <c r="D3474" s="16" t="str">
        <f>IFERROR(__xludf.DUMMYFUNCTION("""COMPUTED_VALUE"""),"106*****les.ylc.edu.tw")</f>
        <v>106*****les.ylc.edu.tw</v>
      </c>
      <c r="E3474" s="17" t="str">
        <f>IFERROR(__xludf.DUMMYFUNCTION("""COMPUTED_VALUE"""),"雲林縣東勢鄉明倫國民小學")</f>
        <v>雲林縣東勢鄉明倫國民小學</v>
      </c>
      <c r="F3474" s="14" t="str">
        <f>IFERROR(__xludf.DUMMYFUNCTION("""COMPUTED_VALUE"""),"六年級")</f>
        <v>六年級</v>
      </c>
      <c r="G3474" s="14" t="str">
        <f>IFERROR(__xludf.DUMMYFUNCTION("""COMPUTED_VALUE"""),"●小禮物")</f>
        <v>●小禮物</v>
      </c>
      <c r="H3474" s="8"/>
    </row>
    <row r="3475">
      <c r="A3475" s="18"/>
      <c r="B3475" s="14">
        <f>IFERROR(__xludf.DUMMYFUNCTION("""COMPUTED_VALUE"""),585860.0)</f>
        <v>585860</v>
      </c>
      <c r="C3475" s="14" t="str">
        <f>IFERROR(__xludf.DUMMYFUNCTION("""COMPUTED_VALUE"""),"陳志杰")</f>
        <v>陳志杰</v>
      </c>
      <c r="D3475" s="16" t="str">
        <f>IFERROR(__xludf.DUMMYFUNCTION("""COMPUTED_VALUE"""),"106*****les.ylc.edu.tw")</f>
        <v>106*****les.ylc.edu.tw</v>
      </c>
      <c r="E3475" s="17" t="str">
        <f>IFERROR(__xludf.DUMMYFUNCTION("""COMPUTED_VALUE"""),"雲林縣東勢鄉明倫國民小學")</f>
        <v>雲林縣東勢鄉明倫國民小學</v>
      </c>
      <c r="F3475" s="14" t="str">
        <f>IFERROR(__xludf.DUMMYFUNCTION("""COMPUTED_VALUE"""),"六年級")</f>
        <v>六年級</v>
      </c>
      <c r="G3475" s="14" t="str">
        <f>IFERROR(__xludf.DUMMYFUNCTION("""COMPUTED_VALUE"""),"●小禮物")</f>
        <v>●小禮物</v>
      </c>
      <c r="H3475" s="8"/>
    </row>
    <row r="3476">
      <c r="A3476" s="18"/>
      <c r="B3476" s="14">
        <f>IFERROR(__xludf.DUMMYFUNCTION("""COMPUTED_VALUE"""),585960.0)</f>
        <v>585960</v>
      </c>
      <c r="C3476" s="14" t="str">
        <f>IFERROR(__xludf.DUMMYFUNCTION("""COMPUTED_VALUE"""),"蔡雅淳")</f>
        <v>蔡雅淳</v>
      </c>
      <c r="D3476" s="16" t="str">
        <f>IFERROR(__xludf.DUMMYFUNCTION("""COMPUTED_VALUE"""),"106*****les.ylc.edu.tw")</f>
        <v>106*****les.ylc.edu.tw</v>
      </c>
      <c r="E3476" s="17" t="str">
        <f>IFERROR(__xludf.DUMMYFUNCTION("""COMPUTED_VALUE"""),"雲林縣東勢鄉明倫國民小學")</f>
        <v>雲林縣東勢鄉明倫國民小學</v>
      </c>
      <c r="F3476" s="14" t="str">
        <f>IFERROR(__xludf.DUMMYFUNCTION("""COMPUTED_VALUE"""),"六年級")</f>
        <v>六年級</v>
      </c>
      <c r="G3476" s="14" t="str">
        <f>IFERROR(__xludf.DUMMYFUNCTION("""COMPUTED_VALUE"""),"★禮券$200")</f>
        <v>★禮券$200</v>
      </c>
      <c r="H3476" s="8"/>
    </row>
    <row r="3477">
      <c r="A3477" s="18"/>
      <c r="B3477" s="14">
        <f>IFERROR(__xludf.DUMMYFUNCTION("""COMPUTED_VALUE"""),585871.0)</f>
        <v>585871</v>
      </c>
      <c r="C3477" s="14" t="str">
        <f>IFERROR(__xludf.DUMMYFUNCTION("""COMPUTED_VALUE"""),"江定曄")</f>
        <v>江定曄</v>
      </c>
      <c r="D3477" s="16" t="str">
        <f>IFERROR(__xludf.DUMMYFUNCTION("""COMPUTED_VALUE"""),"106*****les.ylc.edu.tw")</f>
        <v>106*****les.ylc.edu.tw</v>
      </c>
      <c r="E3477" s="17" t="str">
        <f>IFERROR(__xludf.DUMMYFUNCTION("""COMPUTED_VALUE"""),"雲林縣東勢鄉明倫國民小學")</f>
        <v>雲林縣東勢鄉明倫國民小學</v>
      </c>
      <c r="F3477" s="14" t="str">
        <f>IFERROR(__xludf.DUMMYFUNCTION("""COMPUTED_VALUE"""),"六年級")</f>
        <v>六年級</v>
      </c>
      <c r="G3477" s="14" t="str">
        <f>IFERROR(__xludf.DUMMYFUNCTION("""COMPUTED_VALUE"""),"獎狀")</f>
        <v>獎狀</v>
      </c>
      <c r="H3477" s="8"/>
    </row>
    <row r="3478">
      <c r="A3478" s="18"/>
      <c r="B3478" s="14">
        <f>IFERROR(__xludf.DUMMYFUNCTION("""COMPUTED_VALUE"""),653904.0)</f>
        <v>653904</v>
      </c>
      <c r="C3478" s="14" t="str">
        <f>IFERROR(__xludf.DUMMYFUNCTION("""COMPUTED_VALUE"""),"吳祐丞")</f>
        <v>吳祐丞</v>
      </c>
      <c r="D3478" s="16" t="str">
        <f>IFERROR(__xludf.DUMMYFUNCTION("""COMPUTED_VALUE"""),"106*****les.ylc.edu.tw")</f>
        <v>106*****les.ylc.edu.tw</v>
      </c>
      <c r="E3478" s="17" t="str">
        <f>IFERROR(__xludf.DUMMYFUNCTION("""COMPUTED_VALUE"""),"雲林縣東勢鄉明倫國民小學")</f>
        <v>雲林縣東勢鄉明倫國民小學</v>
      </c>
      <c r="F3478" s="14" t="str">
        <f>IFERROR(__xludf.DUMMYFUNCTION("""COMPUTED_VALUE"""),"六年級")</f>
        <v>六年級</v>
      </c>
      <c r="G3478" s="14" t="str">
        <f>IFERROR(__xludf.DUMMYFUNCTION("""COMPUTED_VALUE"""),"獎狀")</f>
        <v>獎狀</v>
      </c>
      <c r="H3478" s="8"/>
    </row>
    <row r="3479">
      <c r="A3479" s="18"/>
      <c r="B3479" s="14">
        <f>IFERROR(__xludf.DUMMYFUNCTION("""COMPUTED_VALUE"""),286945.0)</f>
        <v>286945</v>
      </c>
      <c r="C3479" s="14" t="str">
        <f>IFERROR(__xludf.DUMMYFUNCTION("""COMPUTED_VALUE"""),"周逸峰")</f>
        <v>周逸峰</v>
      </c>
      <c r="D3479" s="16" t="str">
        <f>IFERROR(__xludf.DUMMYFUNCTION("""COMPUTED_VALUE"""),"mil*****06@mail.edu.tw")</f>
        <v>mil*****06@mail.edu.tw</v>
      </c>
      <c r="E3479" s="17" t="str">
        <f>IFERROR(__xludf.DUMMYFUNCTION("""COMPUTED_VALUE"""),"雲林縣東勢鄉明倫國民小學")</f>
        <v>雲林縣東勢鄉明倫國民小學</v>
      </c>
      <c r="F3479" s="14" t="str">
        <f>IFERROR(__xludf.DUMMYFUNCTION("""COMPUTED_VALUE"""),"六年級")</f>
        <v>六年級</v>
      </c>
      <c r="G3479" s="14" t="str">
        <f>IFERROR(__xludf.DUMMYFUNCTION("""COMPUTED_VALUE"""),"獎狀")</f>
        <v>獎狀</v>
      </c>
      <c r="H3479" s="8"/>
    </row>
    <row r="3480">
      <c r="A3480" s="18"/>
      <c r="B3480" s="14">
        <f>IFERROR(__xludf.DUMMYFUNCTION("""COMPUTED_VALUE"""),585969.0)</f>
        <v>585969</v>
      </c>
      <c r="C3480" s="14" t="str">
        <f>IFERROR(__xludf.DUMMYFUNCTION("""COMPUTED_VALUE"""),"邱姿雅")</f>
        <v>邱姿雅</v>
      </c>
      <c r="D3480" s="16" t="str">
        <f>IFERROR(__xludf.DUMMYFUNCTION("""COMPUTED_VALUE"""),"106*****les.ylc.edu.tw")</f>
        <v>106*****les.ylc.edu.tw</v>
      </c>
      <c r="E3480" s="17" t="str">
        <f>IFERROR(__xludf.DUMMYFUNCTION("""COMPUTED_VALUE"""),"雲林縣東勢鄉明倫國民小學")</f>
        <v>雲林縣東勢鄉明倫國民小學</v>
      </c>
      <c r="F3480" s="14" t="str">
        <f>IFERROR(__xludf.DUMMYFUNCTION("""COMPUTED_VALUE"""),"六年級")</f>
        <v>六年級</v>
      </c>
      <c r="G3480" s="14" t="str">
        <f>IFERROR(__xludf.DUMMYFUNCTION("""COMPUTED_VALUE"""),"獎狀")</f>
        <v>獎狀</v>
      </c>
      <c r="H3480" s="8"/>
    </row>
    <row r="3481">
      <c r="A3481" s="18"/>
      <c r="B3481" s="14">
        <f>IFERROR(__xludf.DUMMYFUNCTION("""COMPUTED_VALUE"""),585968.0)</f>
        <v>585968</v>
      </c>
      <c r="C3481" s="14" t="str">
        <f>IFERROR(__xludf.DUMMYFUNCTION("""COMPUTED_VALUE"""),"侯依帆")</f>
        <v>侯依帆</v>
      </c>
      <c r="D3481" s="16" t="str">
        <f>IFERROR(__xludf.DUMMYFUNCTION("""COMPUTED_VALUE"""),"106*****les.ylc.edu.tw")</f>
        <v>106*****les.ylc.edu.tw</v>
      </c>
      <c r="E3481" s="17" t="str">
        <f>IFERROR(__xludf.DUMMYFUNCTION("""COMPUTED_VALUE"""),"雲林縣東勢鄉明倫國民小學")</f>
        <v>雲林縣東勢鄉明倫國民小學</v>
      </c>
      <c r="F3481" s="14" t="str">
        <f>IFERROR(__xludf.DUMMYFUNCTION("""COMPUTED_VALUE"""),"六年級")</f>
        <v>六年級</v>
      </c>
      <c r="G3481" s="14" t="str">
        <f>IFERROR(__xludf.DUMMYFUNCTION("""COMPUTED_VALUE"""),"獎狀")</f>
        <v>獎狀</v>
      </c>
      <c r="H3481" s="8"/>
    </row>
    <row r="3482">
      <c r="A3482" s="18"/>
      <c r="B3482" s="14">
        <f>IFERROR(__xludf.DUMMYFUNCTION("""COMPUTED_VALUE"""),585853.0)</f>
        <v>585853</v>
      </c>
      <c r="C3482" s="14" t="str">
        <f>IFERROR(__xludf.DUMMYFUNCTION("""COMPUTED_VALUE"""),"留元凱")</f>
        <v>留元凱</v>
      </c>
      <c r="D3482" s="16" t="str">
        <f>IFERROR(__xludf.DUMMYFUNCTION("""COMPUTED_VALUE"""),"106*****les.ylc.edu.tw")</f>
        <v>106*****les.ylc.edu.tw</v>
      </c>
      <c r="E3482" s="17" t="str">
        <f>IFERROR(__xludf.DUMMYFUNCTION("""COMPUTED_VALUE"""),"雲林縣東勢鄉明倫國民小學")</f>
        <v>雲林縣東勢鄉明倫國民小學</v>
      </c>
      <c r="F3482" s="14" t="str">
        <f>IFERROR(__xludf.DUMMYFUNCTION("""COMPUTED_VALUE"""),"六年級")</f>
        <v>六年級</v>
      </c>
      <c r="G3482" s="14" t="str">
        <f>IFERROR(__xludf.DUMMYFUNCTION("""COMPUTED_VALUE"""),"獎狀")</f>
        <v>獎狀</v>
      </c>
      <c r="H3482" s="8"/>
    </row>
    <row r="3483">
      <c r="A3483" s="18"/>
      <c r="B3483" s="14">
        <f>IFERROR(__xludf.DUMMYFUNCTION("""COMPUTED_VALUE"""),585873.0)</f>
        <v>585873</v>
      </c>
      <c r="C3483" s="14" t="str">
        <f>IFERROR(__xludf.DUMMYFUNCTION("""COMPUTED_VALUE"""),"留宇成")</f>
        <v>留宇成</v>
      </c>
      <c r="D3483" s="16" t="str">
        <f>IFERROR(__xludf.DUMMYFUNCTION("""COMPUTED_VALUE"""),"106*****les.ylc.edu.tw")</f>
        <v>106*****les.ylc.edu.tw</v>
      </c>
      <c r="E3483" s="17" t="str">
        <f>IFERROR(__xludf.DUMMYFUNCTION("""COMPUTED_VALUE"""),"雲林縣東勢鄉明倫國民小學")</f>
        <v>雲林縣東勢鄉明倫國民小學</v>
      </c>
      <c r="F3483" s="14" t="str">
        <f>IFERROR(__xludf.DUMMYFUNCTION("""COMPUTED_VALUE"""),"六年級")</f>
        <v>六年級</v>
      </c>
      <c r="G3483" s="14" t="str">
        <f>IFERROR(__xludf.DUMMYFUNCTION("""COMPUTED_VALUE"""),"獎狀")</f>
        <v>獎狀</v>
      </c>
      <c r="H3483" s="8"/>
    </row>
    <row r="3484">
      <c r="A3484" s="18"/>
      <c r="B3484" s="14">
        <f>IFERROR(__xludf.DUMMYFUNCTION("""COMPUTED_VALUE"""),585963.0)</f>
        <v>585963</v>
      </c>
      <c r="C3484" s="14" t="str">
        <f>IFERROR(__xludf.DUMMYFUNCTION("""COMPUTED_VALUE"""),"許喬茵")</f>
        <v>許喬茵</v>
      </c>
      <c r="D3484" s="16" t="str">
        <f>IFERROR(__xludf.DUMMYFUNCTION("""COMPUTED_VALUE"""),"106*****les.ylc.edu.tw")</f>
        <v>106*****les.ylc.edu.tw</v>
      </c>
      <c r="E3484" s="17" t="str">
        <f>IFERROR(__xludf.DUMMYFUNCTION("""COMPUTED_VALUE"""),"雲林縣東勢鄉明倫國民小學")</f>
        <v>雲林縣東勢鄉明倫國民小學</v>
      </c>
      <c r="F3484" s="14" t="str">
        <f>IFERROR(__xludf.DUMMYFUNCTION("""COMPUTED_VALUE"""),"六年級")</f>
        <v>六年級</v>
      </c>
      <c r="G3484" s="14" t="str">
        <f>IFERROR(__xludf.DUMMYFUNCTION("""COMPUTED_VALUE"""),"獎狀")</f>
        <v>獎狀</v>
      </c>
      <c r="H3484" s="8"/>
    </row>
    <row r="3485">
      <c r="A3485" s="18"/>
      <c r="B3485" s="14">
        <f>IFERROR(__xludf.DUMMYFUNCTION("""COMPUTED_VALUE"""),585958.0)</f>
        <v>585958</v>
      </c>
      <c r="C3485" s="14" t="str">
        <f>IFERROR(__xludf.DUMMYFUNCTION("""COMPUTED_VALUE"""),"蔡秉岳")</f>
        <v>蔡秉岳</v>
      </c>
      <c r="D3485" s="16" t="str">
        <f>IFERROR(__xludf.DUMMYFUNCTION("""COMPUTED_VALUE"""),"106*****les.ylc.edu.tw")</f>
        <v>106*****les.ylc.edu.tw</v>
      </c>
      <c r="E3485" s="17" t="str">
        <f>IFERROR(__xludf.DUMMYFUNCTION("""COMPUTED_VALUE"""),"雲林縣東勢鄉明倫國民小學")</f>
        <v>雲林縣東勢鄉明倫國民小學</v>
      </c>
      <c r="F3485" s="14" t="str">
        <f>IFERROR(__xludf.DUMMYFUNCTION("""COMPUTED_VALUE"""),"六年級")</f>
        <v>六年級</v>
      </c>
      <c r="G3485" s="14" t="str">
        <f>IFERROR(__xludf.DUMMYFUNCTION("""COMPUTED_VALUE"""),"獎狀")</f>
        <v>獎狀</v>
      </c>
      <c r="H3485" s="8"/>
    </row>
    <row r="3486">
      <c r="A3486" s="18"/>
      <c r="B3486" s="14">
        <f>IFERROR(__xludf.DUMMYFUNCTION("""COMPUTED_VALUE"""),589328.0)</f>
        <v>589328</v>
      </c>
      <c r="C3486" s="14" t="str">
        <f>IFERROR(__xludf.DUMMYFUNCTION("""COMPUTED_VALUE"""),"李沚紜")</f>
        <v>李沚紜</v>
      </c>
      <c r="D3486" s="16" t="str">
        <f>IFERROR(__xludf.DUMMYFUNCTION("""COMPUTED_VALUE"""),"art*****5@hotmail.com")</f>
        <v>art*****5@hotmail.com</v>
      </c>
      <c r="E3486" s="17" t="str">
        <f>IFERROR(__xludf.DUMMYFUNCTION("""COMPUTED_VALUE"""),"雲林縣崙背鄉崙背國民小學")</f>
        <v>雲林縣崙背鄉崙背國民小學</v>
      </c>
      <c r="F3486" s="14" t="str">
        <f>IFERROR(__xludf.DUMMYFUNCTION("""COMPUTED_VALUE"""),"六年級")</f>
        <v>六年級</v>
      </c>
      <c r="G3486" s="14" t="str">
        <f>IFERROR(__xludf.DUMMYFUNCTION("""COMPUTED_VALUE"""),"獎狀")</f>
        <v>獎狀</v>
      </c>
      <c r="H3486" s="8"/>
    </row>
    <row r="3487">
      <c r="A3487" s="18"/>
      <c r="B3487" s="14">
        <f>IFERROR(__xludf.DUMMYFUNCTION("""COMPUTED_VALUE"""),128511.0)</f>
        <v>128511</v>
      </c>
      <c r="C3487" s="14" t="str">
        <f>IFERROR(__xludf.DUMMYFUNCTION("""COMPUTED_VALUE"""),"廖國旆")</f>
        <v>廖國旆</v>
      </c>
      <c r="D3487" s="16" t="str">
        <f>IFERROR(__xludf.DUMMYFUNCTION("""COMPUTED_VALUE"""),"qqd*****ei@mail.edu.tw")</f>
        <v>qqd*****ei@mail.edu.tw</v>
      </c>
      <c r="E3487" s="17" t="str">
        <f>IFERROR(__xludf.DUMMYFUNCTION("""COMPUTED_VALUE"""),"雲林縣崙背鄉中和國民小學")</f>
        <v>雲林縣崙背鄉中和國民小學</v>
      </c>
      <c r="F3487" s="14" t="str">
        <f>IFERROR(__xludf.DUMMYFUNCTION("""COMPUTED_VALUE"""),"四年級")</f>
        <v>四年級</v>
      </c>
      <c r="G3487" s="14" t="str">
        <f>IFERROR(__xludf.DUMMYFUNCTION("""COMPUTED_VALUE"""),"●小禮物")</f>
        <v>●小禮物</v>
      </c>
      <c r="H3487" s="8"/>
    </row>
    <row r="3488">
      <c r="A3488" s="18"/>
      <c r="B3488" s="14">
        <f>IFERROR(__xludf.DUMMYFUNCTION("""COMPUTED_VALUE"""),976471.0)</f>
        <v>976471</v>
      </c>
      <c r="C3488" s="14" t="str">
        <f>IFERROR(__xludf.DUMMYFUNCTION("""COMPUTED_VALUE"""),"林芯羽")</f>
        <v>林芯羽</v>
      </c>
      <c r="D3488" s="16" t="str">
        <f>IFERROR(__xludf.DUMMYFUNCTION("""COMPUTED_VALUE"""),"jhe*****12@mail.edu.tw")</f>
        <v>jhe*****12@mail.edu.tw</v>
      </c>
      <c r="E3488" s="17" t="str">
        <f>IFERROR(__xludf.DUMMYFUNCTION("""COMPUTED_VALUE"""),"雲林縣崙背鄉中和國民小學")</f>
        <v>雲林縣崙背鄉中和國民小學</v>
      </c>
      <c r="F3488" s="14" t="str">
        <f>IFERROR(__xludf.DUMMYFUNCTION("""COMPUTED_VALUE"""),"四年級")</f>
        <v>四年級</v>
      </c>
      <c r="G3488" s="14" t="str">
        <f>IFERROR(__xludf.DUMMYFUNCTION("""COMPUTED_VALUE"""),"獎狀")</f>
        <v>獎狀</v>
      </c>
      <c r="H3488" s="8"/>
    </row>
    <row r="3489">
      <c r="A3489" s="18"/>
      <c r="B3489" s="14">
        <f>IFERROR(__xludf.DUMMYFUNCTION("""COMPUTED_VALUE"""),976474.0)</f>
        <v>976474</v>
      </c>
      <c r="C3489" s="14" t="str">
        <f>IFERROR(__xludf.DUMMYFUNCTION("""COMPUTED_VALUE"""),"林恩宇")</f>
        <v>林恩宇</v>
      </c>
      <c r="D3489" s="16" t="str">
        <f>IFERROR(__xludf.DUMMYFUNCTION("""COMPUTED_VALUE"""),"jhe*****03@mail.edu.tw")</f>
        <v>jhe*****03@mail.edu.tw</v>
      </c>
      <c r="E3489" s="17" t="str">
        <f>IFERROR(__xludf.DUMMYFUNCTION("""COMPUTED_VALUE"""),"雲林縣崙背鄉中和國民小學")</f>
        <v>雲林縣崙背鄉中和國民小學</v>
      </c>
      <c r="F3489" s="14" t="str">
        <f>IFERROR(__xludf.DUMMYFUNCTION("""COMPUTED_VALUE"""),"四年級")</f>
        <v>四年級</v>
      </c>
      <c r="G3489" s="14" t="str">
        <f>IFERROR(__xludf.DUMMYFUNCTION("""COMPUTED_VALUE"""),"獎狀")</f>
        <v>獎狀</v>
      </c>
      <c r="H3489" s="8"/>
    </row>
    <row r="3490">
      <c r="A3490" s="18"/>
      <c r="B3490" s="14">
        <f>IFERROR(__xludf.DUMMYFUNCTION("""COMPUTED_VALUE"""),976472.0)</f>
        <v>976472</v>
      </c>
      <c r="C3490" s="14" t="str">
        <f>IFERROR(__xludf.DUMMYFUNCTION("""COMPUTED_VALUE"""),"施凱仁")</f>
        <v>施凱仁</v>
      </c>
      <c r="D3490" s="16" t="str">
        <f>IFERROR(__xludf.DUMMYFUNCTION("""COMPUTED_VALUE"""),"jhe*****04@mail.edu.tw")</f>
        <v>jhe*****04@mail.edu.tw</v>
      </c>
      <c r="E3490" s="17" t="str">
        <f>IFERROR(__xludf.DUMMYFUNCTION("""COMPUTED_VALUE"""),"雲林縣崙背鄉中和國民小學")</f>
        <v>雲林縣崙背鄉中和國民小學</v>
      </c>
      <c r="F3490" s="14" t="str">
        <f>IFERROR(__xludf.DUMMYFUNCTION("""COMPUTED_VALUE"""),"四年級")</f>
        <v>四年級</v>
      </c>
      <c r="G3490" s="14" t="str">
        <f>IFERROR(__xludf.DUMMYFUNCTION("""COMPUTED_VALUE"""),"獎狀")</f>
        <v>獎狀</v>
      </c>
      <c r="H3490" s="8"/>
    </row>
    <row r="3491">
      <c r="A3491" s="18"/>
      <c r="B3491" s="14">
        <f>IFERROR(__xludf.DUMMYFUNCTION("""COMPUTED_VALUE"""),714395.0)</f>
        <v>714395</v>
      </c>
      <c r="C3491" s="14" t="str">
        <f>IFERROR(__xludf.DUMMYFUNCTION("""COMPUTED_VALUE"""),"林寓閎")</f>
        <v>林寓閎</v>
      </c>
      <c r="D3491" s="16" t="str">
        <f>IFERROR(__xludf.DUMMYFUNCTION("""COMPUTED_VALUE"""),"jhe*****3@mail.edu.tw")</f>
        <v>jhe*****3@mail.edu.tw</v>
      </c>
      <c r="E3491" s="17" t="str">
        <f>IFERROR(__xludf.DUMMYFUNCTION("""COMPUTED_VALUE"""),"雲林縣崙背鄉中和國民小學")</f>
        <v>雲林縣崙背鄉中和國民小學</v>
      </c>
      <c r="F3491" s="14" t="str">
        <f>IFERROR(__xludf.DUMMYFUNCTION("""COMPUTED_VALUE"""),"五年級")</f>
        <v>五年級</v>
      </c>
      <c r="G3491" s="14" t="str">
        <f>IFERROR(__xludf.DUMMYFUNCTION("""COMPUTED_VALUE"""),"●小禮物")</f>
        <v>●小禮物</v>
      </c>
      <c r="H3491" s="8"/>
    </row>
    <row r="3492">
      <c r="A3492" s="18"/>
      <c r="B3492" s="14">
        <f>IFERROR(__xludf.DUMMYFUNCTION("""COMPUTED_VALUE"""),714397.0)</f>
        <v>714397</v>
      </c>
      <c r="C3492" s="14" t="str">
        <f>IFERROR(__xludf.DUMMYFUNCTION("""COMPUTED_VALUE"""),"林韋旭")</f>
        <v>林韋旭</v>
      </c>
      <c r="D3492" s="16" t="str">
        <f>IFERROR(__xludf.DUMMYFUNCTION("""COMPUTED_VALUE"""),"jhe*****5@mail.edu.tw")</f>
        <v>jhe*****5@mail.edu.tw</v>
      </c>
      <c r="E3492" s="17" t="str">
        <f>IFERROR(__xludf.DUMMYFUNCTION("""COMPUTED_VALUE"""),"雲林縣崙背鄉中和國民小學")</f>
        <v>雲林縣崙背鄉中和國民小學</v>
      </c>
      <c r="F3492" s="14" t="str">
        <f>IFERROR(__xludf.DUMMYFUNCTION("""COMPUTED_VALUE"""),"五年級")</f>
        <v>五年級</v>
      </c>
      <c r="G3492" s="14" t="str">
        <f>IFERROR(__xludf.DUMMYFUNCTION("""COMPUTED_VALUE"""),"獎狀")</f>
        <v>獎狀</v>
      </c>
      <c r="H3492" s="8"/>
    </row>
    <row r="3493">
      <c r="A3493" s="18"/>
      <c r="B3493" s="14">
        <f>IFERROR(__xludf.DUMMYFUNCTION("""COMPUTED_VALUE"""),714403.0)</f>
        <v>714403</v>
      </c>
      <c r="C3493" s="14" t="str">
        <f>IFERROR(__xludf.DUMMYFUNCTION("""COMPUTED_VALUE"""),"施育函")</f>
        <v>施育函</v>
      </c>
      <c r="D3493" s="16" t="str">
        <f>IFERROR(__xludf.DUMMYFUNCTION("""COMPUTED_VALUE"""),"jhe*****8@mail.edu.tw")</f>
        <v>jhe*****8@mail.edu.tw</v>
      </c>
      <c r="E3493" s="17" t="str">
        <f>IFERROR(__xludf.DUMMYFUNCTION("""COMPUTED_VALUE"""),"雲林縣崙背鄉中和國民小學")</f>
        <v>雲林縣崙背鄉中和國民小學</v>
      </c>
      <c r="F3493" s="14" t="str">
        <f>IFERROR(__xludf.DUMMYFUNCTION("""COMPUTED_VALUE"""),"五年級")</f>
        <v>五年級</v>
      </c>
      <c r="G3493" s="14" t="str">
        <f>IFERROR(__xludf.DUMMYFUNCTION("""COMPUTED_VALUE"""),"獎狀")</f>
        <v>獎狀</v>
      </c>
      <c r="H3493" s="8"/>
    </row>
    <row r="3494">
      <c r="A3494" s="18"/>
      <c r="B3494" s="14">
        <f>IFERROR(__xludf.DUMMYFUNCTION("""COMPUTED_VALUE"""),714402.0)</f>
        <v>714402</v>
      </c>
      <c r="C3494" s="14" t="str">
        <f>IFERROR(__xludf.DUMMYFUNCTION("""COMPUTED_VALUE"""),"陳阡瑜")</f>
        <v>陳阡瑜</v>
      </c>
      <c r="D3494" s="16" t="str">
        <f>IFERROR(__xludf.DUMMYFUNCTION("""COMPUTED_VALUE"""),"jhe*****07@mail.edu.tw")</f>
        <v>jhe*****07@mail.edu.tw</v>
      </c>
      <c r="E3494" s="17" t="str">
        <f>IFERROR(__xludf.DUMMYFUNCTION("""COMPUTED_VALUE"""),"雲林縣崙背鄉中和國民小學")</f>
        <v>雲林縣崙背鄉中和國民小學</v>
      </c>
      <c r="F3494" s="14" t="str">
        <f>IFERROR(__xludf.DUMMYFUNCTION("""COMPUTED_VALUE"""),"五年級")</f>
        <v>五年級</v>
      </c>
      <c r="G3494" s="14" t="str">
        <f>IFERROR(__xludf.DUMMYFUNCTION("""COMPUTED_VALUE"""),"獎狀")</f>
        <v>獎狀</v>
      </c>
      <c r="H3494" s="8"/>
    </row>
    <row r="3495">
      <c r="A3495" s="18"/>
      <c r="B3495" s="14">
        <f>IFERROR(__xludf.DUMMYFUNCTION("""COMPUTED_VALUE"""),528075.0)</f>
        <v>528075</v>
      </c>
      <c r="C3495" s="14" t="str">
        <f>IFERROR(__xludf.DUMMYFUNCTION("""COMPUTED_VALUE"""),"林琮崴")</f>
        <v>林琮崴</v>
      </c>
      <c r="D3495" s="16" t="str">
        <f>IFERROR(__xludf.DUMMYFUNCTION("""COMPUTED_VALUE"""),"ylc*****7ed3.ylc@mail.edu.tw")</f>
        <v>ylc*****7ed3.ylc@mail.edu.tw</v>
      </c>
      <c r="E3495" s="17" t="str">
        <f>IFERROR(__xludf.DUMMYFUNCTION("""COMPUTED_VALUE"""),"雲林縣崙背鄉中和國民小學")</f>
        <v>雲林縣崙背鄉中和國民小學</v>
      </c>
      <c r="F3495" s="14" t="str">
        <f>IFERROR(__xludf.DUMMYFUNCTION("""COMPUTED_VALUE"""),"六年級")</f>
        <v>六年級</v>
      </c>
      <c r="G3495" s="14" t="str">
        <f>IFERROR(__xludf.DUMMYFUNCTION("""COMPUTED_VALUE"""),"獎狀")</f>
        <v>獎狀</v>
      </c>
      <c r="H3495" s="8"/>
    </row>
    <row r="3496">
      <c r="A3496" s="18"/>
      <c r="B3496" s="14">
        <f>IFERROR(__xludf.DUMMYFUNCTION("""COMPUTED_VALUE"""),1205287.0)</f>
        <v>1205287</v>
      </c>
      <c r="C3496" s="14" t="str">
        <f>IFERROR(__xludf.DUMMYFUNCTION("""COMPUTED_VALUE"""),"王啟睿")</f>
        <v>王啟睿</v>
      </c>
      <c r="D3496" s="16" t="str">
        <f>IFERROR(__xludf.DUMMYFUNCTION("""COMPUTED_VALUE"""),"a39*****ff2e.ylc@mail.edu.tw")</f>
        <v>a39*****ff2e.ylc@mail.edu.tw</v>
      </c>
      <c r="E3496" s="17" t="str">
        <f>IFERROR(__xludf.DUMMYFUNCTION("""COMPUTED_VALUE"""),"雲林縣斗六市鎮西國民小學")</f>
        <v>雲林縣斗六市鎮西國民小學</v>
      </c>
      <c r="F3496" s="14" t="str">
        <f>IFERROR(__xludf.DUMMYFUNCTION("""COMPUTED_VALUE"""),"三年級")</f>
        <v>三年級</v>
      </c>
      <c r="G3496" s="14" t="str">
        <f>IFERROR(__xludf.DUMMYFUNCTION("""COMPUTED_VALUE"""),"●小禮物")</f>
        <v>●小禮物</v>
      </c>
      <c r="H3496" s="8"/>
    </row>
    <row r="3497">
      <c r="A3497" s="18"/>
      <c r="B3497" s="14">
        <f>IFERROR(__xludf.DUMMYFUNCTION("""COMPUTED_VALUE"""),1186047.0)</f>
        <v>1186047</v>
      </c>
      <c r="C3497" s="14" t="str">
        <f>IFERROR(__xludf.DUMMYFUNCTION("""COMPUTED_VALUE"""),"朱沛姮")</f>
        <v>朱沛姮</v>
      </c>
      <c r="D3497" s="16" t="str">
        <f>IFERROR(__xludf.DUMMYFUNCTION("""COMPUTED_VALUE"""),"108*****ail.yles.ylc.edu.tw")</f>
        <v>108*****ail.yles.ylc.edu.tw</v>
      </c>
      <c r="E3497" s="17" t="str">
        <f>IFERROR(__xludf.DUMMYFUNCTION("""COMPUTED_VALUE"""),"雲林縣斗六市雲林國民小學")</f>
        <v>雲林縣斗六市雲林國民小學</v>
      </c>
      <c r="F3497" s="14" t="str">
        <f>IFERROR(__xludf.DUMMYFUNCTION("""COMPUTED_VALUE"""),"四年級")</f>
        <v>四年級</v>
      </c>
      <c r="G3497" s="14" t="str">
        <f>IFERROR(__xludf.DUMMYFUNCTION("""COMPUTED_VALUE"""),"●小禮物")</f>
        <v>●小禮物</v>
      </c>
      <c r="H3497" s="8"/>
    </row>
    <row r="3498">
      <c r="A3498" s="18"/>
      <c r="B3498" s="14">
        <f>IFERROR(__xludf.DUMMYFUNCTION("""COMPUTED_VALUE"""),935453.0)</f>
        <v>935453</v>
      </c>
      <c r="C3498" s="14" t="str">
        <f>IFERROR(__xludf.DUMMYFUNCTION("""COMPUTED_VALUE"""),"陳榆恩")</f>
        <v>陳榆恩</v>
      </c>
      <c r="D3498" s="16" t="str">
        <f>IFERROR(__xludf.DUMMYFUNCTION("""COMPUTED_VALUE"""),"kim*****@mail.edu.tw")</f>
        <v>kim*****@mail.edu.tw</v>
      </c>
      <c r="E3498" s="17" t="str">
        <f>IFERROR(__xludf.DUMMYFUNCTION("""COMPUTED_VALUE"""),"雲林縣斗六市雲林國民小學")</f>
        <v>雲林縣斗六市雲林國民小學</v>
      </c>
      <c r="F3498" s="14" t="str">
        <f>IFERROR(__xludf.DUMMYFUNCTION("""COMPUTED_VALUE"""),"四年級")</f>
        <v>四年級</v>
      </c>
      <c r="G3498" s="14" t="str">
        <f>IFERROR(__xludf.DUMMYFUNCTION("""COMPUTED_VALUE"""),"獎狀")</f>
        <v>獎狀</v>
      </c>
      <c r="H3498" s="8"/>
    </row>
    <row r="3499">
      <c r="A3499" s="18"/>
      <c r="B3499" s="14">
        <f>IFERROR(__xludf.DUMMYFUNCTION("""COMPUTED_VALUE"""),851162.0)</f>
        <v>851162</v>
      </c>
      <c r="C3499" s="14" t="str">
        <f>IFERROR(__xludf.DUMMYFUNCTION("""COMPUTED_VALUE"""),"陳奕柔")</f>
        <v>陳奕柔</v>
      </c>
      <c r="D3499" s="16" t="str">
        <f>IFERROR(__xludf.DUMMYFUNCTION("""COMPUTED_VALUE"""),"106*****ail.yles.ylc.edu.tw")</f>
        <v>106*****ail.yles.ylc.edu.tw</v>
      </c>
      <c r="E3499" s="17" t="str">
        <f>IFERROR(__xludf.DUMMYFUNCTION("""COMPUTED_VALUE"""),"雲林縣斗六市雲林國民小學")</f>
        <v>雲林縣斗六市雲林國民小學</v>
      </c>
      <c r="F3499" s="14" t="str">
        <f>IFERROR(__xludf.DUMMYFUNCTION("""COMPUTED_VALUE"""),"六年級")</f>
        <v>六年級</v>
      </c>
      <c r="G3499" s="14" t="str">
        <f>IFERROR(__xludf.DUMMYFUNCTION("""COMPUTED_VALUE"""),"獎狀")</f>
        <v>獎狀</v>
      </c>
      <c r="H3499" s="8"/>
    </row>
    <row r="3500">
      <c r="A3500" s="18"/>
      <c r="B3500" s="14">
        <f>IFERROR(__xludf.DUMMYFUNCTION("""COMPUTED_VALUE"""),924166.0)</f>
        <v>924166</v>
      </c>
      <c r="C3500" s="14" t="str">
        <f>IFERROR(__xludf.DUMMYFUNCTION("""COMPUTED_VALUE"""),"許瑛玳")</f>
        <v>許瑛玳</v>
      </c>
      <c r="D3500" s="16" t="str">
        <f>IFERROR(__xludf.DUMMYFUNCTION("""COMPUTED_VALUE"""),"108*****lps.ylc.edu.tw")</f>
        <v>108*****lps.ylc.edu.tw</v>
      </c>
      <c r="E3500" s="17" t="str">
        <f>IFERROR(__xludf.DUMMYFUNCTION("""COMPUTED_VALUE"""),"雲林縣斗六市斗六國民小學")</f>
        <v>雲林縣斗六市斗六國民小學</v>
      </c>
      <c r="F3500" s="14" t="str">
        <f>IFERROR(__xludf.DUMMYFUNCTION("""COMPUTED_VALUE"""),"四年級")</f>
        <v>四年級</v>
      </c>
      <c r="G3500" s="14" t="str">
        <f>IFERROR(__xludf.DUMMYFUNCTION("""COMPUTED_VALUE"""),"獎狀")</f>
        <v>獎狀</v>
      </c>
      <c r="H3500" s="8"/>
    </row>
    <row r="3501">
      <c r="A3501" s="18"/>
      <c r="B3501" s="14">
        <f>IFERROR(__xludf.DUMMYFUNCTION("""COMPUTED_VALUE"""),1011537.0)</f>
        <v>1011537</v>
      </c>
      <c r="C3501" s="14" t="str">
        <f>IFERROR(__xludf.DUMMYFUNCTION("""COMPUTED_VALUE"""),"張祤宸")</f>
        <v>張祤宸</v>
      </c>
      <c r="D3501" s="16" t="str">
        <f>IFERROR(__xludf.DUMMYFUNCTION("""COMPUTED_VALUE"""),"h09*****968@gmail.com")</f>
        <v>h09*****968@gmail.com</v>
      </c>
      <c r="E3501" s="17" t="str">
        <f>IFERROR(__xludf.DUMMYFUNCTION("""COMPUTED_VALUE"""),"雲林縣斗六市斗六國民小學")</f>
        <v>雲林縣斗六市斗六國民小學</v>
      </c>
      <c r="F3501" s="14" t="str">
        <f>IFERROR(__xludf.DUMMYFUNCTION("""COMPUTED_VALUE"""),"五年級")</f>
        <v>五年級</v>
      </c>
      <c r="G3501" s="14" t="str">
        <f>IFERROR(__xludf.DUMMYFUNCTION("""COMPUTED_VALUE"""),"獎狀")</f>
        <v>獎狀</v>
      </c>
      <c r="H3501" s="8"/>
    </row>
    <row r="3502">
      <c r="A3502" s="18"/>
      <c r="B3502" s="14">
        <f>IFERROR(__xludf.DUMMYFUNCTION("""COMPUTED_VALUE"""),519637.0)</f>
        <v>519637</v>
      </c>
      <c r="C3502" s="14" t="str">
        <f>IFERROR(__xludf.DUMMYFUNCTION("""COMPUTED_VALUE"""),"林凱惠")</f>
        <v>林凱惠</v>
      </c>
      <c r="D3502" s="16" t="str">
        <f>IFERROR(__xludf.DUMMYFUNCTION("""COMPUTED_VALUE"""),"107*****nes.ylc.edu.tw")</f>
        <v>107*****nes.ylc.edu.tw</v>
      </c>
      <c r="E3502" s="17" t="str">
        <f>IFERROR(__xludf.DUMMYFUNCTION("""COMPUTED_VALUE"""),"雲林縣古坑鄉華南國民小學")</f>
        <v>雲林縣古坑鄉華南國民小學</v>
      </c>
      <c r="F3502" s="14" t="str">
        <f>IFERROR(__xludf.DUMMYFUNCTION("""COMPUTED_VALUE"""),"五年級")</f>
        <v>五年級</v>
      </c>
      <c r="G3502" s="14" t="str">
        <f>IFERROR(__xludf.DUMMYFUNCTION("""COMPUTED_VALUE"""),"獎狀")</f>
        <v>獎狀</v>
      </c>
      <c r="H3502" s="8"/>
    </row>
    <row r="3503">
      <c r="A3503" s="18"/>
      <c r="B3503" s="14">
        <f>IFERROR(__xludf.DUMMYFUNCTION("""COMPUTED_VALUE"""),885708.0)</f>
        <v>885708</v>
      </c>
      <c r="C3503" s="14" t="str">
        <f>IFERROR(__xludf.DUMMYFUNCTION("""COMPUTED_VALUE"""),"廖婕希")</f>
        <v>廖婕希</v>
      </c>
      <c r="D3503" s="16" t="str">
        <f>IFERROR(__xludf.DUMMYFUNCTION("""COMPUTED_VALUE"""),"jc0*****ail.edu.tw")</f>
        <v>jc0*****ail.edu.tw</v>
      </c>
      <c r="E3503" s="17" t="str">
        <f>IFERROR(__xludf.DUMMYFUNCTION("""COMPUTED_VALUE"""),"雲林縣西螺鎮中山國民小學")</f>
        <v>雲林縣西螺鎮中山國民小學</v>
      </c>
      <c r="F3503" s="14" t="str">
        <f>IFERROR(__xludf.DUMMYFUNCTION("""COMPUTED_VALUE"""),"五年級")</f>
        <v>五年級</v>
      </c>
      <c r="G3503" s="14" t="str">
        <f>IFERROR(__xludf.DUMMYFUNCTION("""COMPUTED_VALUE"""),"●小禮物")</f>
        <v>●小禮物</v>
      </c>
      <c r="H3503" s="8"/>
    </row>
    <row r="3504">
      <c r="A3504" s="18"/>
      <c r="B3504" s="14">
        <f>IFERROR(__xludf.DUMMYFUNCTION("""COMPUTED_VALUE"""),545943.0)</f>
        <v>545943</v>
      </c>
      <c r="C3504" s="14" t="str">
        <f>IFERROR(__xludf.DUMMYFUNCTION("""COMPUTED_VALUE"""),"廖文匯")</f>
        <v>廖文匯</v>
      </c>
      <c r="D3504" s="16" t="str">
        <f>IFERROR(__xludf.DUMMYFUNCTION("""COMPUTED_VALUE"""),"csp*****10@mail.edu.tw")</f>
        <v>csp*****10@mail.edu.tw</v>
      </c>
      <c r="E3504" s="17" t="str">
        <f>IFERROR(__xludf.DUMMYFUNCTION("""COMPUTED_VALUE"""),"雲林縣西螺鎮中山國民小學")</f>
        <v>雲林縣西螺鎮中山國民小學</v>
      </c>
      <c r="F3504" s="14" t="str">
        <f>IFERROR(__xludf.DUMMYFUNCTION("""COMPUTED_VALUE"""),"六年級")</f>
        <v>六年級</v>
      </c>
      <c r="G3504" s="14" t="str">
        <f>IFERROR(__xludf.DUMMYFUNCTION("""COMPUTED_VALUE"""),"獎狀")</f>
        <v>獎狀</v>
      </c>
      <c r="H3504" s="8"/>
    </row>
    <row r="3505">
      <c r="A3505" s="18"/>
      <c r="B3505" s="14">
        <f>IFERROR(__xludf.DUMMYFUNCTION("""COMPUTED_VALUE"""),1089576.0)</f>
        <v>1089576</v>
      </c>
      <c r="C3505" s="14" t="str">
        <f>IFERROR(__xludf.DUMMYFUNCTION("""COMPUTED_VALUE"""),"黃竑鈞")</f>
        <v>黃竑鈞</v>
      </c>
      <c r="D3505" s="16" t="str">
        <f>IFERROR(__xludf.DUMMYFUNCTION("""COMPUTED_VALUE"""),"joe*****02@mail.edu.tw")</f>
        <v>joe*****02@mail.edu.tw</v>
      </c>
      <c r="E3505" s="17" t="str">
        <f>IFERROR(__xludf.DUMMYFUNCTION("""COMPUTED_VALUE"""),"雲林縣二崙鄉旭光國民小學")</f>
        <v>雲林縣二崙鄉旭光國民小學</v>
      </c>
      <c r="F3505" s="14" t="str">
        <f>IFERROR(__xludf.DUMMYFUNCTION("""COMPUTED_VALUE"""),"三年級")</f>
        <v>三年級</v>
      </c>
      <c r="G3505" s="14" t="str">
        <f>IFERROR(__xludf.DUMMYFUNCTION("""COMPUTED_VALUE"""),"●小禮物")</f>
        <v>●小禮物</v>
      </c>
      <c r="H3505" s="8"/>
    </row>
    <row r="3506">
      <c r="A3506" s="18"/>
      <c r="B3506" s="14">
        <f>IFERROR(__xludf.DUMMYFUNCTION("""COMPUTED_VALUE"""),852252.0)</f>
        <v>852252</v>
      </c>
      <c r="C3506" s="14" t="str">
        <f>IFERROR(__xludf.DUMMYFUNCTION("""COMPUTED_VALUE"""),"鍾承均")</f>
        <v>鍾承均</v>
      </c>
      <c r="D3506" s="16" t="str">
        <f>IFERROR(__xludf.DUMMYFUNCTION("""COMPUTED_VALUE"""),"sg1*****@mail.edu.tw")</f>
        <v>sg1*****@mail.edu.tw</v>
      </c>
      <c r="E3506" s="17" t="str">
        <f>IFERROR(__xludf.DUMMYFUNCTION("""COMPUTED_VALUE"""),"雲林縣二崙鄉旭光國民小學")</f>
        <v>雲林縣二崙鄉旭光國民小學</v>
      </c>
      <c r="F3506" s="14" t="str">
        <f>IFERROR(__xludf.DUMMYFUNCTION("""COMPUTED_VALUE"""),"三年級")</f>
        <v>三年級</v>
      </c>
      <c r="G3506" s="14" t="str">
        <f>IFERROR(__xludf.DUMMYFUNCTION("""COMPUTED_VALUE"""),"●小禮物")</f>
        <v>●小禮物</v>
      </c>
      <c r="H3506" s="8"/>
    </row>
    <row r="3507">
      <c r="A3507" s="18"/>
      <c r="B3507" s="14">
        <f>IFERROR(__xludf.DUMMYFUNCTION("""COMPUTED_VALUE"""),1089597.0)</f>
        <v>1089597</v>
      </c>
      <c r="C3507" s="14" t="str">
        <f>IFERROR(__xludf.DUMMYFUNCTION("""COMPUTED_VALUE"""),"陳芊辰")</f>
        <v>陳芊辰</v>
      </c>
      <c r="D3507" s="16" t="str">
        <f>IFERROR(__xludf.DUMMYFUNCTION("""COMPUTED_VALUE"""),"sg1*****@mail.edu.tw")</f>
        <v>sg1*****@mail.edu.tw</v>
      </c>
      <c r="E3507" s="17" t="str">
        <f>IFERROR(__xludf.DUMMYFUNCTION("""COMPUTED_VALUE"""),"雲林縣二崙鄉旭光國民小學")</f>
        <v>雲林縣二崙鄉旭光國民小學</v>
      </c>
      <c r="F3507" s="14" t="str">
        <f>IFERROR(__xludf.DUMMYFUNCTION("""COMPUTED_VALUE"""),"三年級")</f>
        <v>三年級</v>
      </c>
      <c r="G3507" s="14" t="str">
        <f>IFERROR(__xludf.DUMMYFUNCTION("""COMPUTED_VALUE"""),"獎狀")</f>
        <v>獎狀</v>
      </c>
      <c r="H3507" s="8"/>
    </row>
    <row r="3508">
      <c r="A3508" s="18"/>
      <c r="B3508" s="14">
        <f>IFERROR(__xludf.DUMMYFUNCTION("""COMPUTED_VALUE"""),1089570.0)</f>
        <v>1089570</v>
      </c>
      <c r="C3508" s="14" t="str">
        <f>IFERROR(__xludf.DUMMYFUNCTION("""COMPUTED_VALUE"""),"鄭丞皓")</f>
        <v>鄭丞皓</v>
      </c>
      <c r="D3508" s="16" t="str">
        <f>IFERROR(__xludf.DUMMYFUNCTION("""COMPUTED_VALUE"""),"sg1*****@mail.edu.tw")</f>
        <v>sg1*****@mail.edu.tw</v>
      </c>
      <c r="E3508" s="17" t="str">
        <f>IFERROR(__xludf.DUMMYFUNCTION("""COMPUTED_VALUE"""),"雲林縣二崙鄉旭光國民小學")</f>
        <v>雲林縣二崙鄉旭光國民小學</v>
      </c>
      <c r="F3508" s="14" t="str">
        <f>IFERROR(__xludf.DUMMYFUNCTION("""COMPUTED_VALUE"""),"三年級")</f>
        <v>三年級</v>
      </c>
      <c r="G3508" s="14" t="str">
        <f>IFERROR(__xludf.DUMMYFUNCTION("""COMPUTED_VALUE"""),"獎狀")</f>
        <v>獎狀</v>
      </c>
      <c r="H3508" s="8"/>
    </row>
    <row r="3509">
      <c r="A3509" s="18"/>
      <c r="B3509" s="14">
        <f>IFERROR(__xludf.DUMMYFUNCTION("""COMPUTED_VALUE"""),855920.0)</f>
        <v>855920</v>
      </c>
      <c r="C3509" s="14" t="str">
        <f>IFERROR(__xludf.DUMMYFUNCTION("""COMPUTED_VALUE"""),"王柏棖")</f>
        <v>王柏棖</v>
      </c>
      <c r="D3509" s="16" t="str">
        <f>IFERROR(__xludf.DUMMYFUNCTION("""COMPUTED_VALUE"""),"sc1*****@mail.edu.tw")</f>
        <v>sc1*****@mail.edu.tw</v>
      </c>
      <c r="E3509" s="17" t="str">
        <f>IFERROR(__xludf.DUMMYFUNCTION("""COMPUTED_VALUE"""),"雲林縣二崙鄉旭光國民小學")</f>
        <v>雲林縣二崙鄉旭光國民小學</v>
      </c>
      <c r="F3509" s="14" t="str">
        <f>IFERROR(__xludf.DUMMYFUNCTION("""COMPUTED_VALUE"""),"四年級")</f>
        <v>四年級</v>
      </c>
      <c r="G3509" s="14" t="str">
        <f>IFERROR(__xludf.DUMMYFUNCTION("""COMPUTED_VALUE"""),"●小禮物")</f>
        <v>●小禮物</v>
      </c>
      <c r="H3509" s="8"/>
    </row>
    <row r="3510">
      <c r="A3510" s="18"/>
      <c r="B3510" s="14">
        <f>IFERROR(__xludf.DUMMYFUNCTION("""COMPUTED_VALUE"""),855926.0)</f>
        <v>855926</v>
      </c>
      <c r="C3510" s="14" t="str">
        <f>IFERROR(__xludf.DUMMYFUNCTION("""COMPUTED_VALUE"""),"林昱樺")</f>
        <v>林昱樺</v>
      </c>
      <c r="D3510" s="16" t="str">
        <f>IFERROR(__xludf.DUMMYFUNCTION("""COMPUTED_VALUE"""),"sc1*****@mail.edu.tw")</f>
        <v>sc1*****@mail.edu.tw</v>
      </c>
      <c r="E3510" s="17" t="str">
        <f>IFERROR(__xludf.DUMMYFUNCTION("""COMPUTED_VALUE"""),"雲林縣二崙鄉旭光國民小學")</f>
        <v>雲林縣二崙鄉旭光國民小學</v>
      </c>
      <c r="F3510" s="14" t="str">
        <f>IFERROR(__xludf.DUMMYFUNCTION("""COMPUTED_VALUE"""),"四年級")</f>
        <v>四年級</v>
      </c>
      <c r="G3510" s="14" t="str">
        <f>IFERROR(__xludf.DUMMYFUNCTION("""COMPUTED_VALUE"""),"●小禮物")</f>
        <v>●小禮物</v>
      </c>
      <c r="H3510" s="8"/>
    </row>
    <row r="3511">
      <c r="A3511" s="18"/>
      <c r="B3511" s="14">
        <f>IFERROR(__xludf.DUMMYFUNCTION("""COMPUTED_VALUE"""),855925.0)</f>
        <v>855925</v>
      </c>
      <c r="C3511" s="14" t="str">
        <f>IFERROR(__xludf.DUMMYFUNCTION("""COMPUTED_VALUE"""),"林昱橦")</f>
        <v>林昱橦</v>
      </c>
      <c r="D3511" s="16" t="str">
        <f>IFERROR(__xludf.DUMMYFUNCTION("""COMPUTED_VALUE"""),"sc1*****@mail.edu.tw")</f>
        <v>sc1*****@mail.edu.tw</v>
      </c>
      <c r="E3511" s="17" t="str">
        <f>IFERROR(__xludf.DUMMYFUNCTION("""COMPUTED_VALUE"""),"雲林縣二崙鄉旭光國民小學")</f>
        <v>雲林縣二崙鄉旭光國民小學</v>
      </c>
      <c r="F3511" s="14" t="str">
        <f>IFERROR(__xludf.DUMMYFUNCTION("""COMPUTED_VALUE"""),"四年級")</f>
        <v>四年級</v>
      </c>
      <c r="G3511" s="14" t="str">
        <f>IFERROR(__xludf.DUMMYFUNCTION("""COMPUTED_VALUE"""),"●小禮物")</f>
        <v>●小禮物</v>
      </c>
      <c r="H3511" s="8"/>
    </row>
    <row r="3512">
      <c r="A3512" s="18"/>
      <c r="B3512" s="14">
        <f>IFERROR(__xludf.DUMMYFUNCTION("""COMPUTED_VALUE"""),855924.0)</f>
        <v>855924</v>
      </c>
      <c r="C3512" s="14" t="str">
        <f>IFERROR(__xludf.DUMMYFUNCTION("""COMPUTED_VALUE"""),"孫萱瑜")</f>
        <v>孫萱瑜</v>
      </c>
      <c r="D3512" s="16" t="str">
        <f>IFERROR(__xludf.DUMMYFUNCTION("""COMPUTED_VALUE"""),"sc1*****@mail.edu.tw")</f>
        <v>sc1*****@mail.edu.tw</v>
      </c>
      <c r="E3512" s="17" t="str">
        <f>IFERROR(__xludf.DUMMYFUNCTION("""COMPUTED_VALUE"""),"雲林縣二崙鄉旭光國民小學")</f>
        <v>雲林縣二崙鄉旭光國民小學</v>
      </c>
      <c r="F3512" s="14" t="str">
        <f>IFERROR(__xludf.DUMMYFUNCTION("""COMPUTED_VALUE"""),"四年級")</f>
        <v>四年級</v>
      </c>
      <c r="G3512" s="14" t="str">
        <f>IFERROR(__xludf.DUMMYFUNCTION("""COMPUTED_VALUE"""),"●小禮物")</f>
        <v>●小禮物</v>
      </c>
      <c r="H3512" s="8"/>
    </row>
    <row r="3513">
      <c r="A3513" s="18"/>
      <c r="B3513" s="14">
        <f>IFERROR(__xludf.DUMMYFUNCTION("""COMPUTED_VALUE"""),853400.0)</f>
        <v>853400</v>
      </c>
      <c r="C3513" s="14" t="str">
        <f>IFERROR(__xludf.DUMMYFUNCTION("""COMPUTED_VALUE"""),"王昱勝")</f>
        <v>王昱勝</v>
      </c>
      <c r="D3513" s="16" t="str">
        <f>IFERROR(__xludf.DUMMYFUNCTION("""COMPUTED_VALUE"""),"sc1*****@mail.edu.tw")</f>
        <v>sc1*****@mail.edu.tw</v>
      </c>
      <c r="E3513" s="17" t="str">
        <f>IFERROR(__xludf.DUMMYFUNCTION("""COMPUTED_VALUE"""),"雲林縣二崙鄉旭光國民小學")</f>
        <v>雲林縣二崙鄉旭光國民小學</v>
      </c>
      <c r="F3513" s="14" t="str">
        <f>IFERROR(__xludf.DUMMYFUNCTION("""COMPUTED_VALUE"""),"四年級")</f>
        <v>四年級</v>
      </c>
      <c r="G3513" s="14" t="str">
        <f>IFERROR(__xludf.DUMMYFUNCTION("""COMPUTED_VALUE"""),"★禮券$200")</f>
        <v>★禮券$200</v>
      </c>
      <c r="H3513" s="8"/>
    </row>
    <row r="3514">
      <c r="A3514" s="18"/>
      <c r="B3514" s="14">
        <f>IFERROR(__xludf.DUMMYFUNCTION("""COMPUTED_VALUE"""),855927.0)</f>
        <v>855927</v>
      </c>
      <c r="C3514" s="14" t="str">
        <f>IFERROR(__xludf.DUMMYFUNCTION("""COMPUTED_VALUE"""),"林恩鋐")</f>
        <v>林恩鋐</v>
      </c>
      <c r="D3514" s="16" t="str">
        <f>IFERROR(__xludf.DUMMYFUNCTION("""COMPUTED_VALUE"""),"sc1*****mail.edu.tw")</f>
        <v>sc1*****mail.edu.tw</v>
      </c>
      <c r="E3514" s="17" t="str">
        <f>IFERROR(__xludf.DUMMYFUNCTION("""COMPUTED_VALUE"""),"雲林縣二崙鄉旭光國民小學")</f>
        <v>雲林縣二崙鄉旭光國民小學</v>
      </c>
      <c r="F3514" s="14" t="str">
        <f>IFERROR(__xludf.DUMMYFUNCTION("""COMPUTED_VALUE"""),"四年級")</f>
        <v>四年級</v>
      </c>
      <c r="G3514" s="14" t="str">
        <f>IFERROR(__xludf.DUMMYFUNCTION("""COMPUTED_VALUE"""),"獎狀")</f>
        <v>獎狀</v>
      </c>
      <c r="H3514" s="8"/>
    </row>
    <row r="3515">
      <c r="A3515" s="18"/>
      <c r="B3515" s="14">
        <f>IFERROR(__xludf.DUMMYFUNCTION("""COMPUTED_VALUE"""),601550.0)</f>
        <v>601550</v>
      </c>
      <c r="C3515" s="14" t="str">
        <f>IFERROR(__xludf.DUMMYFUNCTION("""COMPUTED_VALUE"""),"詹博勛")</f>
        <v>詹博勛</v>
      </c>
      <c r="D3515" s="16" t="str">
        <f>IFERROR(__xludf.DUMMYFUNCTION("""COMPUTED_VALUE"""),"sc1*****@mail.edu.tw")</f>
        <v>sc1*****@mail.edu.tw</v>
      </c>
      <c r="E3515" s="17" t="str">
        <f>IFERROR(__xludf.DUMMYFUNCTION("""COMPUTED_VALUE"""),"雲林縣二崙鄉旭光國民小學")</f>
        <v>雲林縣二崙鄉旭光國民小學</v>
      </c>
      <c r="F3515" s="14" t="str">
        <f>IFERROR(__xludf.DUMMYFUNCTION("""COMPUTED_VALUE"""),"四年級")</f>
        <v>四年級</v>
      </c>
      <c r="G3515" s="14" t="str">
        <f>IFERROR(__xludf.DUMMYFUNCTION("""COMPUTED_VALUE"""),"獎狀")</f>
        <v>獎狀</v>
      </c>
      <c r="H3515" s="8"/>
    </row>
    <row r="3516">
      <c r="A3516" s="18"/>
      <c r="B3516" s="14">
        <f>IFERROR(__xludf.DUMMYFUNCTION("""COMPUTED_VALUE"""),850097.0)</f>
        <v>850097</v>
      </c>
      <c r="C3516" s="14" t="str">
        <f>IFERROR(__xludf.DUMMYFUNCTION("""COMPUTED_VALUE"""),"鍾承諭")</f>
        <v>鍾承諭</v>
      </c>
      <c r="D3516" s="16" t="str">
        <f>IFERROR(__xludf.DUMMYFUNCTION("""COMPUTED_VALUE"""),"sc1*****@mail.edu.tw")</f>
        <v>sc1*****@mail.edu.tw</v>
      </c>
      <c r="E3516" s="17" t="str">
        <f>IFERROR(__xludf.DUMMYFUNCTION("""COMPUTED_VALUE"""),"雲林縣二崙鄉旭光國民小學")</f>
        <v>雲林縣二崙鄉旭光國民小學</v>
      </c>
      <c r="F3516" s="14" t="str">
        <f>IFERROR(__xludf.DUMMYFUNCTION("""COMPUTED_VALUE"""),"四年級")</f>
        <v>四年級</v>
      </c>
      <c r="G3516" s="14" t="str">
        <f>IFERROR(__xludf.DUMMYFUNCTION("""COMPUTED_VALUE"""),"獎狀")</f>
        <v>獎狀</v>
      </c>
      <c r="H3516" s="8"/>
    </row>
    <row r="3517">
      <c r="A3517" s="18"/>
      <c r="B3517" s="14">
        <f>IFERROR(__xludf.DUMMYFUNCTION("""COMPUTED_VALUE"""),536028.0)</f>
        <v>536028</v>
      </c>
      <c r="C3517" s="14" t="str">
        <f>IFERROR(__xludf.DUMMYFUNCTION("""COMPUTED_VALUE"""),"王昱閔")</f>
        <v>王昱閔</v>
      </c>
      <c r="D3517" s="16" t="str">
        <f>IFERROR(__xludf.DUMMYFUNCTION("""COMPUTED_VALUE"""),"sc1*****.ylc@mail.edu.tw")</f>
        <v>sc1*****.ylc@mail.edu.tw</v>
      </c>
      <c r="E3517" s="17" t="str">
        <f>IFERROR(__xludf.DUMMYFUNCTION("""COMPUTED_VALUE"""),"雲林縣二崙鄉旭光國民小學")</f>
        <v>雲林縣二崙鄉旭光國民小學</v>
      </c>
      <c r="F3517" s="14" t="str">
        <f>IFERROR(__xludf.DUMMYFUNCTION("""COMPUTED_VALUE"""),"六年級")</f>
        <v>六年級</v>
      </c>
      <c r="G3517" s="14" t="str">
        <f>IFERROR(__xludf.DUMMYFUNCTION("""COMPUTED_VALUE"""),"●小禮物")</f>
        <v>●小禮物</v>
      </c>
      <c r="H3517" s="8"/>
    </row>
    <row r="3518">
      <c r="A3518" s="18"/>
      <c r="B3518" s="14">
        <f>IFERROR(__xludf.DUMMYFUNCTION("""COMPUTED_VALUE"""),536023.0)</f>
        <v>536023</v>
      </c>
      <c r="C3518" s="14" t="str">
        <f>IFERROR(__xludf.DUMMYFUNCTION("""COMPUTED_VALUE"""),"洪子媛")</f>
        <v>洪子媛</v>
      </c>
      <c r="D3518" s="16" t="str">
        <f>IFERROR(__xludf.DUMMYFUNCTION("""COMPUTED_VALUE"""),"sc1*****@mail.edu.tw")</f>
        <v>sc1*****@mail.edu.tw</v>
      </c>
      <c r="E3518" s="17" t="str">
        <f>IFERROR(__xludf.DUMMYFUNCTION("""COMPUTED_VALUE"""),"雲林縣二崙鄉旭光國民小學")</f>
        <v>雲林縣二崙鄉旭光國民小學</v>
      </c>
      <c r="F3518" s="14" t="str">
        <f>IFERROR(__xludf.DUMMYFUNCTION("""COMPUTED_VALUE"""),"六年級")</f>
        <v>六年級</v>
      </c>
      <c r="G3518" s="14" t="str">
        <f>IFERROR(__xludf.DUMMYFUNCTION("""COMPUTED_VALUE"""),"●小禮物")</f>
        <v>●小禮物</v>
      </c>
      <c r="H3518" s="8"/>
    </row>
    <row r="3519">
      <c r="A3519" s="18"/>
      <c r="B3519" s="14">
        <f>IFERROR(__xludf.DUMMYFUNCTION("""COMPUTED_VALUE"""),821579.0)</f>
        <v>821579</v>
      </c>
      <c r="C3519" s="14" t="str">
        <f>IFERROR(__xludf.DUMMYFUNCTION("""COMPUTED_VALUE"""),"張晏辰")</f>
        <v>張晏辰</v>
      </c>
      <c r="D3519" s="16" t="str">
        <f>IFERROR(__xludf.DUMMYFUNCTION("""COMPUTED_VALUE"""),"sge*****05@mail.edu.tw")</f>
        <v>sge*****05@mail.edu.tw</v>
      </c>
      <c r="E3519" s="17" t="str">
        <f>IFERROR(__xludf.DUMMYFUNCTION("""COMPUTED_VALUE"""),"雲林縣二崙鄉旭光國民小學")</f>
        <v>雲林縣二崙鄉旭光國民小學</v>
      </c>
      <c r="F3519" s="14" t="str">
        <f>IFERROR(__xludf.DUMMYFUNCTION("""COMPUTED_VALUE"""),"六年級")</f>
        <v>六年級</v>
      </c>
      <c r="G3519" s="14" t="str">
        <f>IFERROR(__xludf.DUMMYFUNCTION("""COMPUTED_VALUE"""),"●小禮物")</f>
        <v>●小禮物</v>
      </c>
      <c r="H3519" s="8"/>
    </row>
    <row r="3520">
      <c r="A3520" s="18"/>
      <c r="B3520" s="14">
        <f>IFERROR(__xludf.DUMMYFUNCTION("""COMPUTED_VALUE"""),1084679.0)</f>
        <v>1084679</v>
      </c>
      <c r="C3520" s="14" t="str">
        <f>IFERROR(__xludf.DUMMYFUNCTION("""COMPUTED_VALUE"""),"陳彥翔")</f>
        <v>陳彥翔</v>
      </c>
      <c r="D3520" s="16" t="str">
        <f>IFERROR(__xludf.DUMMYFUNCTION("""COMPUTED_VALUE"""),"e00*****6ef4.ylc@mail.edu.tw")</f>
        <v>e00*****6ef4.ylc@mail.edu.tw</v>
      </c>
      <c r="E3520" s="17" t="str">
        <f>IFERROR(__xludf.DUMMYFUNCTION("""COMPUTED_VALUE"""),"雲林縣二崙鄉旭光國民小學")</f>
        <v>雲林縣二崙鄉旭光國民小學</v>
      </c>
      <c r="F3520" s="14" t="str">
        <f>IFERROR(__xludf.DUMMYFUNCTION("""COMPUTED_VALUE"""),"六年級")</f>
        <v>六年級</v>
      </c>
      <c r="G3520" s="14" t="str">
        <f>IFERROR(__xludf.DUMMYFUNCTION("""COMPUTED_VALUE"""),"●小禮物")</f>
        <v>●小禮物</v>
      </c>
      <c r="H3520" s="8"/>
    </row>
    <row r="3521">
      <c r="A3521" s="18"/>
      <c r="B3521" s="14">
        <f>IFERROR(__xludf.DUMMYFUNCTION("""COMPUTED_VALUE"""),536022.0)</f>
        <v>536022</v>
      </c>
      <c r="C3521" s="14" t="str">
        <f>IFERROR(__xludf.DUMMYFUNCTION("""COMPUTED_VALUE"""),"黃渟芸")</f>
        <v>黃渟芸</v>
      </c>
      <c r="D3521" s="16" t="str">
        <f>IFERROR(__xludf.DUMMYFUNCTION("""COMPUTED_VALUE"""),"sc1*****@mail.edu.tw")</f>
        <v>sc1*****@mail.edu.tw</v>
      </c>
      <c r="E3521" s="17" t="str">
        <f>IFERROR(__xludf.DUMMYFUNCTION("""COMPUTED_VALUE"""),"雲林縣二崙鄉旭光國民小學")</f>
        <v>雲林縣二崙鄉旭光國民小學</v>
      </c>
      <c r="F3521" s="14" t="str">
        <f>IFERROR(__xludf.DUMMYFUNCTION("""COMPUTED_VALUE"""),"六年級")</f>
        <v>六年級</v>
      </c>
      <c r="G3521" s="14" t="str">
        <f>IFERROR(__xludf.DUMMYFUNCTION("""COMPUTED_VALUE"""),"★禮券$500")</f>
        <v>★禮券$500</v>
      </c>
      <c r="H3521" s="8"/>
    </row>
    <row r="3522">
      <c r="A3522" s="18"/>
      <c r="B3522" s="14">
        <f>IFERROR(__xludf.DUMMYFUNCTION("""COMPUTED_VALUE"""),536030.0)</f>
        <v>536030</v>
      </c>
      <c r="C3522" s="14" t="str">
        <f>IFERROR(__xludf.DUMMYFUNCTION("""COMPUTED_VALUE"""),"王妍蓁")</f>
        <v>王妍蓁</v>
      </c>
      <c r="D3522" s="16" t="str">
        <f>IFERROR(__xludf.DUMMYFUNCTION("""COMPUTED_VALUE"""),"sc1*****@mail.edu.tw")</f>
        <v>sc1*****@mail.edu.tw</v>
      </c>
      <c r="E3522" s="17" t="str">
        <f>IFERROR(__xludf.DUMMYFUNCTION("""COMPUTED_VALUE"""),"雲林縣二崙鄉旭光國民小學")</f>
        <v>雲林縣二崙鄉旭光國民小學</v>
      </c>
      <c r="F3522" s="14" t="str">
        <f>IFERROR(__xludf.DUMMYFUNCTION("""COMPUTED_VALUE"""),"六年級")</f>
        <v>六年級</v>
      </c>
      <c r="G3522" s="14" t="str">
        <f>IFERROR(__xludf.DUMMYFUNCTION("""COMPUTED_VALUE"""),"獎狀")</f>
        <v>獎狀</v>
      </c>
      <c r="H3522" s="8"/>
    </row>
    <row r="3523">
      <c r="A3523" s="18"/>
      <c r="B3523" s="14">
        <f>IFERROR(__xludf.DUMMYFUNCTION("""COMPUTED_VALUE"""),357357.0)</f>
        <v>357357</v>
      </c>
      <c r="C3523" s="14" t="str">
        <f>IFERROR(__xludf.DUMMYFUNCTION("""COMPUTED_VALUE"""),"李柏池")</f>
        <v>李柏池</v>
      </c>
      <c r="D3523" s="16" t="str">
        <f>IFERROR(__xludf.DUMMYFUNCTION("""COMPUTED_VALUE"""),"sc1*****@mail.edu.tw")</f>
        <v>sc1*****@mail.edu.tw</v>
      </c>
      <c r="E3523" s="17" t="str">
        <f>IFERROR(__xludf.DUMMYFUNCTION("""COMPUTED_VALUE"""),"雲林縣二崙鄉旭光國民小學")</f>
        <v>雲林縣二崙鄉旭光國民小學</v>
      </c>
      <c r="F3523" s="14" t="str">
        <f>IFERROR(__xludf.DUMMYFUNCTION("""COMPUTED_VALUE"""),"六年級")</f>
        <v>六年級</v>
      </c>
      <c r="G3523" s="14" t="str">
        <f>IFERROR(__xludf.DUMMYFUNCTION("""COMPUTED_VALUE"""),"獎狀")</f>
        <v>獎狀</v>
      </c>
      <c r="H3523" s="8"/>
    </row>
    <row r="3524">
      <c r="A3524" s="18"/>
      <c r="B3524" s="14">
        <f>IFERROR(__xludf.DUMMYFUNCTION("""COMPUTED_VALUE"""),536019.0)</f>
        <v>536019</v>
      </c>
      <c r="C3524" s="14" t="str">
        <f>IFERROR(__xludf.DUMMYFUNCTION("""COMPUTED_VALUE"""),"紅宥綺")</f>
        <v>紅宥綺</v>
      </c>
      <c r="D3524" s="16" t="str">
        <f>IFERROR(__xludf.DUMMYFUNCTION("""COMPUTED_VALUE"""),"sc1*****@mail.edu.tw")</f>
        <v>sc1*****@mail.edu.tw</v>
      </c>
      <c r="E3524" s="17" t="str">
        <f>IFERROR(__xludf.DUMMYFUNCTION("""COMPUTED_VALUE"""),"雲林縣二崙鄉旭光國民小學")</f>
        <v>雲林縣二崙鄉旭光國民小學</v>
      </c>
      <c r="F3524" s="14" t="str">
        <f>IFERROR(__xludf.DUMMYFUNCTION("""COMPUTED_VALUE"""),"六年級")</f>
        <v>六年級</v>
      </c>
      <c r="G3524" s="14" t="str">
        <f>IFERROR(__xludf.DUMMYFUNCTION("""COMPUTED_VALUE"""),"獎狀")</f>
        <v>獎狀</v>
      </c>
      <c r="H3524" s="8"/>
    </row>
    <row r="3525">
      <c r="A3525" s="18"/>
      <c r="B3525" s="14">
        <f>IFERROR(__xludf.DUMMYFUNCTION("""COMPUTED_VALUE"""),536024.0)</f>
        <v>536024</v>
      </c>
      <c r="C3525" s="14" t="str">
        <f>IFERROR(__xludf.DUMMYFUNCTION("""COMPUTED_VALUE"""),"曹瑜恩")</f>
        <v>曹瑜恩</v>
      </c>
      <c r="D3525" s="16" t="str">
        <f>IFERROR(__xludf.DUMMYFUNCTION("""COMPUTED_VALUE"""),"sc1*****@mail.edu.tw")</f>
        <v>sc1*****@mail.edu.tw</v>
      </c>
      <c r="E3525" s="17" t="str">
        <f>IFERROR(__xludf.DUMMYFUNCTION("""COMPUTED_VALUE"""),"雲林縣二崙鄉旭光國民小學")</f>
        <v>雲林縣二崙鄉旭光國民小學</v>
      </c>
      <c r="F3525" s="14" t="str">
        <f>IFERROR(__xludf.DUMMYFUNCTION("""COMPUTED_VALUE"""),"六年級")</f>
        <v>六年級</v>
      </c>
      <c r="G3525" s="14" t="str">
        <f>IFERROR(__xludf.DUMMYFUNCTION("""COMPUTED_VALUE"""),"獎狀")</f>
        <v>獎狀</v>
      </c>
      <c r="H3525" s="8"/>
    </row>
    <row r="3526">
      <c r="A3526" s="18"/>
      <c r="B3526" s="14">
        <f>IFERROR(__xludf.DUMMYFUNCTION("""COMPUTED_VALUE"""),686502.0)</f>
        <v>686502</v>
      </c>
      <c r="C3526" s="14" t="str">
        <f>IFERROR(__xludf.DUMMYFUNCTION("""COMPUTED_VALUE"""),"詹琇惠")</f>
        <v>詹琇惠</v>
      </c>
      <c r="D3526" s="16" t="str">
        <f>IFERROR(__xludf.DUMMYFUNCTION("""COMPUTED_VALUE"""),"win*****1119@mail.edu.tw")</f>
        <v>win*****1119@mail.edu.tw</v>
      </c>
      <c r="E3526" s="17" t="str">
        <f>IFERROR(__xludf.DUMMYFUNCTION("""COMPUTED_VALUE"""),"雲林縣二崙鄉旭光國民小學")</f>
        <v>雲林縣二崙鄉旭光國民小學</v>
      </c>
      <c r="F3526" s="14" t="str">
        <f>IFERROR(__xludf.DUMMYFUNCTION("""COMPUTED_VALUE"""),"六年級")</f>
        <v>六年級</v>
      </c>
      <c r="G3526" s="14" t="str">
        <f>IFERROR(__xludf.DUMMYFUNCTION("""COMPUTED_VALUE"""),"獎狀")</f>
        <v>獎狀</v>
      </c>
      <c r="H3526" s="8"/>
    </row>
    <row r="3527">
      <c r="A3527" s="18"/>
      <c r="B3527" s="14">
        <f>IFERROR(__xludf.DUMMYFUNCTION("""COMPUTED_VALUE"""),536021.0)</f>
        <v>536021</v>
      </c>
      <c r="C3527" s="14" t="str">
        <f>IFERROR(__xludf.DUMMYFUNCTION("""COMPUTED_VALUE"""),"詹琇雯")</f>
        <v>詹琇雯</v>
      </c>
      <c r="D3527" s="16" t="str">
        <f>IFERROR(__xludf.DUMMYFUNCTION("""COMPUTED_VALUE"""),"sc1*****.ylc@mail.edu.tw")</f>
        <v>sc1*****.ylc@mail.edu.tw</v>
      </c>
      <c r="E3527" s="17" t="str">
        <f>IFERROR(__xludf.DUMMYFUNCTION("""COMPUTED_VALUE"""),"雲林縣二崙鄉旭光國民小學")</f>
        <v>雲林縣二崙鄉旭光國民小學</v>
      </c>
      <c r="F3527" s="14" t="str">
        <f>IFERROR(__xludf.DUMMYFUNCTION("""COMPUTED_VALUE"""),"六年級")</f>
        <v>六年級</v>
      </c>
      <c r="G3527" s="14" t="str">
        <f>IFERROR(__xludf.DUMMYFUNCTION("""COMPUTED_VALUE"""),"獎狀")</f>
        <v>獎狀</v>
      </c>
      <c r="H3527" s="8"/>
    </row>
    <row r="3528">
      <c r="A3528" s="18"/>
      <c r="B3528" s="14">
        <f>IFERROR(__xludf.DUMMYFUNCTION("""COMPUTED_VALUE"""),536025.0)</f>
        <v>536025</v>
      </c>
      <c r="C3528" s="14" t="str">
        <f>IFERROR(__xludf.DUMMYFUNCTION("""COMPUTED_VALUE"""),"蔡依凌")</f>
        <v>蔡依凌</v>
      </c>
      <c r="D3528" s="16" t="str">
        <f>IFERROR(__xludf.DUMMYFUNCTION("""COMPUTED_VALUE"""),"sc1*****@mail.edu.tw")</f>
        <v>sc1*****@mail.edu.tw</v>
      </c>
      <c r="E3528" s="17" t="str">
        <f>IFERROR(__xludf.DUMMYFUNCTION("""COMPUTED_VALUE"""),"雲林縣二崙鄉旭光國民小學")</f>
        <v>雲林縣二崙鄉旭光國民小學</v>
      </c>
      <c r="F3528" s="14" t="str">
        <f>IFERROR(__xludf.DUMMYFUNCTION("""COMPUTED_VALUE"""),"六年級")</f>
        <v>六年級</v>
      </c>
      <c r="G3528" s="14" t="str">
        <f>IFERROR(__xludf.DUMMYFUNCTION("""COMPUTED_VALUE"""),"獎狀")</f>
        <v>獎狀</v>
      </c>
      <c r="H3528" s="8"/>
    </row>
    <row r="3529">
      <c r="A3529" s="18"/>
      <c r="B3529" s="14">
        <f>IFERROR(__xludf.DUMMYFUNCTION("""COMPUTED_VALUE"""),536058.0)</f>
        <v>536058</v>
      </c>
      <c r="C3529" s="14" t="str">
        <f>IFERROR(__xludf.DUMMYFUNCTION("""COMPUTED_VALUE"""),"顏崇恩")</f>
        <v>顏崇恩</v>
      </c>
      <c r="D3529" s="16" t="str">
        <f>IFERROR(__xludf.DUMMYFUNCTION("""COMPUTED_VALUE"""),"sc1*****@mail.edu.tw")</f>
        <v>sc1*****@mail.edu.tw</v>
      </c>
      <c r="E3529" s="17" t="str">
        <f>IFERROR(__xludf.DUMMYFUNCTION("""COMPUTED_VALUE"""),"雲林縣二崙鄉旭光國民小學")</f>
        <v>雲林縣二崙鄉旭光國民小學</v>
      </c>
      <c r="F3529" s="14" t="str">
        <f>IFERROR(__xludf.DUMMYFUNCTION("""COMPUTED_VALUE"""),"六年級")</f>
        <v>六年級</v>
      </c>
      <c r="G3529" s="14" t="str">
        <f>IFERROR(__xludf.DUMMYFUNCTION("""COMPUTED_VALUE"""),"獎狀")</f>
        <v>獎狀</v>
      </c>
      <c r="H3529" s="8"/>
    </row>
    <row r="3530">
      <c r="A3530" s="18"/>
      <c r="B3530" s="14">
        <f>IFERROR(__xludf.DUMMYFUNCTION("""COMPUTED_VALUE"""),1100027.0)</f>
        <v>1100027</v>
      </c>
      <c r="C3530" s="14" t="str">
        <f>IFERROR(__xludf.DUMMYFUNCTION("""COMPUTED_VALUE"""),"李翊綸")</f>
        <v>李翊綸</v>
      </c>
      <c r="D3530" s="16" t="str">
        <f>IFERROR(__xludf.DUMMYFUNCTION("""COMPUTED_VALUE"""),"dre*****ic@yahoo.com.tw")</f>
        <v>dre*****ic@yahoo.com.tw</v>
      </c>
      <c r="E3530" s="17" t="str">
        <f>IFERROR(__xludf.DUMMYFUNCTION("""COMPUTED_VALUE"""),"雲林縣二崙鄉二崙國民小學")</f>
        <v>雲林縣二崙鄉二崙國民小學</v>
      </c>
      <c r="F3530" s="14" t="str">
        <f>IFERROR(__xludf.DUMMYFUNCTION("""COMPUTED_VALUE"""),"三年級")</f>
        <v>三年級</v>
      </c>
      <c r="G3530" s="14" t="str">
        <f>IFERROR(__xludf.DUMMYFUNCTION("""COMPUTED_VALUE"""),"獎狀")</f>
        <v>獎狀</v>
      </c>
      <c r="H3530" s="8"/>
    </row>
    <row r="3531">
      <c r="A3531" s="18"/>
      <c r="B3531" s="14">
        <f>IFERROR(__xludf.DUMMYFUNCTION("""COMPUTED_VALUE"""),632135.0)</f>
        <v>632135</v>
      </c>
      <c r="C3531" s="14" t="str">
        <f>IFERROR(__xludf.DUMMYFUNCTION("""COMPUTED_VALUE"""),"楊唯青")</f>
        <v>楊唯青</v>
      </c>
      <c r="D3531" s="16" t="str">
        <f>IFERROR(__xludf.DUMMYFUNCTION("""COMPUTED_VALUE"""),"ywq*****4@mail.edu.tw")</f>
        <v>ywq*****4@mail.edu.tw</v>
      </c>
      <c r="E3531" s="17" t="str">
        <f>IFERROR(__xludf.DUMMYFUNCTION("""COMPUTED_VALUE"""),"雲林縣北港鎮好收國民小學")</f>
        <v>雲林縣北港鎮好收國民小學</v>
      </c>
      <c r="F3531" s="14" t="str">
        <f>IFERROR(__xludf.DUMMYFUNCTION("""COMPUTED_VALUE"""),"六年級")</f>
        <v>六年級</v>
      </c>
      <c r="G3531" s="14" t="str">
        <f>IFERROR(__xludf.DUMMYFUNCTION("""COMPUTED_VALUE"""),"獎狀")</f>
        <v>獎狀</v>
      </c>
      <c r="H3531" s="8"/>
    </row>
    <row r="3532">
      <c r="A3532" s="18"/>
      <c r="B3532" s="14">
        <f>IFERROR(__xludf.DUMMYFUNCTION("""COMPUTED_VALUE"""),873130.0)</f>
        <v>873130</v>
      </c>
      <c r="C3532" s="14" t="str">
        <f>IFERROR(__xludf.DUMMYFUNCTION("""COMPUTED_VALUE"""),"陳俞方")</f>
        <v>陳俞方</v>
      </c>
      <c r="D3532" s="16" t="str">
        <f>IFERROR(__xludf.DUMMYFUNCTION("""COMPUTED_VALUE"""),"nye*****509@mail.edu.tw")</f>
        <v>nye*****509@mail.edu.tw</v>
      </c>
      <c r="E3532" s="17" t="str">
        <f>IFERROR(__xludf.DUMMYFUNCTION("""COMPUTED_VALUE"""),"雲林縣北港鎮南陽國民小學")</f>
        <v>雲林縣北港鎮南陽國民小學</v>
      </c>
      <c r="F3532" s="14" t="str">
        <f>IFERROR(__xludf.DUMMYFUNCTION("""COMPUTED_VALUE"""),"四年級")</f>
        <v>四年級</v>
      </c>
      <c r="G3532" s="14" t="str">
        <f>IFERROR(__xludf.DUMMYFUNCTION("""COMPUTED_VALUE"""),"獎狀")</f>
        <v>獎狀</v>
      </c>
      <c r="H3532" s="8"/>
    </row>
    <row r="3533">
      <c r="A3533" s="18"/>
      <c r="B3533" s="14">
        <f>IFERROR(__xludf.DUMMYFUNCTION("""COMPUTED_VALUE"""),871960.0)</f>
        <v>871960</v>
      </c>
      <c r="C3533" s="14" t="str">
        <f>IFERROR(__xludf.DUMMYFUNCTION("""COMPUTED_VALUE"""),"陳彥成")</f>
        <v>陳彥成</v>
      </c>
      <c r="D3533" s="16" t="str">
        <f>IFERROR(__xludf.DUMMYFUNCTION("""COMPUTED_VALUE"""),"ian*****mail.edu.tw")</f>
        <v>ian*****mail.edu.tw</v>
      </c>
      <c r="E3533" s="17" t="str">
        <f>IFERROR(__xludf.DUMMYFUNCTION("""COMPUTED_VALUE"""),"雲林縣北港鎮南陽國民小學")</f>
        <v>雲林縣北港鎮南陽國民小學</v>
      </c>
      <c r="F3533" s="14" t="str">
        <f>IFERROR(__xludf.DUMMYFUNCTION("""COMPUTED_VALUE"""),"六年級")</f>
        <v>六年級</v>
      </c>
      <c r="G3533" s="14" t="str">
        <f>IFERROR(__xludf.DUMMYFUNCTION("""COMPUTED_VALUE"""),"獎狀")</f>
        <v>獎狀</v>
      </c>
      <c r="H3533" s="8"/>
    </row>
    <row r="3534">
      <c r="A3534" s="18"/>
      <c r="B3534" s="14">
        <f>IFERROR(__xludf.DUMMYFUNCTION("""COMPUTED_VALUE"""),1200541.0)</f>
        <v>1200541</v>
      </c>
      <c r="C3534" s="14" t="str">
        <f>IFERROR(__xludf.DUMMYFUNCTION("""COMPUTED_VALUE"""),"郭偉民")</f>
        <v>郭偉民</v>
      </c>
      <c r="D3534" s="16" t="str">
        <f>IFERROR(__xludf.DUMMYFUNCTION("""COMPUTED_VALUE"""),"gwm*****gmail.com")</f>
        <v>gwm*****gmail.com</v>
      </c>
      <c r="E3534" s="17" t="str">
        <f>IFERROR(__xludf.DUMMYFUNCTION("""COMPUTED_VALUE"""),"雲林縣北港鎮育英國民小學")</f>
        <v>雲林縣北港鎮育英國民小學</v>
      </c>
      <c r="F3534" s="14" t="str">
        <f>IFERROR(__xludf.DUMMYFUNCTION("""COMPUTED_VALUE"""),"三年級")</f>
        <v>三年級</v>
      </c>
      <c r="G3534" s="14" t="str">
        <f>IFERROR(__xludf.DUMMYFUNCTION("""COMPUTED_VALUE"""),"獎狀")</f>
        <v>獎狀</v>
      </c>
      <c r="H3534" s="8"/>
    </row>
    <row r="3535">
      <c r="A3535" s="18"/>
      <c r="B3535" s="14">
        <f>IFERROR(__xludf.DUMMYFUNCTION("""COMPUTED_VALUE"""),1105971.0)</f>
        <v>1105971</v>
      </c>
      <c r="C3535" s="14" t="str">
        <f>IFERROR(__xludf.DUMMYFUNCTION("""COMPUTED_VALUE"""),"張立祥")</f>
        <v>張立祥</v>
      </c>
      <c r="D3535" s="16" t="str">
        <f>IFERROR(__xludf.DUMMYFUNCTION("""COMPUTED_VALUE"""),"109*****ces.ylc.edu.tw")</f>
        <v>109*****ces.ylc.edu.tw</v>
      </c>
      <c r="E3535" s="17" t="str">
        <f>IFERROR(__xludf.DUMMYFUNCTION("""COMPUTED_VALUE"""),"雲林縣北港鎮北辰國民小學")</f>
        <v>雲林縣北港鎮北辰國民小學</v>
      </c>
      <c r="F3535" s="14" t="str">
        <f>IFERROR(__xludf.DUMMYFUNCTION("""COMPUTED_VALUE"""),"三年級")</f>
        <v>三年級</v>
      </c>
      <c r="G3535" s="14" t="str">
        <f>IFERROR(__xludf.DUMMYFUNCTION("""COMPUTED_VALUE"""),"●小禮物")</f>
        <v>●小禮物</v>
      </c>
      <c r="H3535" s="8"/>
    </row>
    <row r="3536">
      <c r="A3536" s="18"/>
      <c r="B3536" s="14">
        <f>IFERROR(__xludf.DUMMYFUNCTION("""COMPUTED_VALUE"""),1142014.0)</f>
        <v>1142014</v>
      </c>
      <c r="C3536" s="14" t="str">
        <f>IFERROR(__xludf.DUMMYFUNCTION("""COMPUTED_VALUE"""),"林采靚")</f>
        <v>林采靚</v>
      </c>
      <c r="D3536" s="16" t="str">
        <f>IFERROR(__xludf.DUMMYFUNCTION("""COMPUTED_VALUE"""),"107*****ces.ylc.edu.tw")</f>
        <v>107*****ces.ylc.edu.tw</v>
      </c>
      <c r="E3536" s="17" t="str">
        <f>IFERROR(__xludf.DUMMYFUNCTION("""COMPUTED_VALUE"""),"雲林縣北港鎮北辰國民小學")</f>
        <v>雲林縣北港鎮北辰國民小學</v>
      </c>
      <c r="F3536" s="14" t="str">
        <f>IFERROR(__xludf.DUMMYFUNCTION("""COMPUTED_VALUE"""),"五年級")</f>
        <v>五年級</v>
      </c>
      <c r="G3536" s="14" t="str">
        <f>IFERROR(__xludf.DUMMYFUNCTION("""COMPUTED_VALUE"""),"獎狀")</f>
        <v>獎狀</v>
      </c>
      <c r="H3536" s="8"/>
    </row>
    <row r="3537">
      <c r="A3537" s="18"/>
      <c r="B3537" s="14">
        <f>IFERROR(__xludf.DUMMYFUNCTION("""COMPUTED_VALUE"""),705771.0)</f>
        <v>705771</v>
      </c>
      <c r="C3537" s="14" t="str">
        <f>IFERROR(__xludf.DUMMYFUNCTION("""COMPUTED_VALUE"""),"唐靖程")</f>
        <v>唐靖程</v>
      </c>
      <c r="D3537" s="16" t="str">
        <f>IFERROR(__xludf.DUMMYFUNCTION("""COMPUTED_VALUE"""),"ylc*****f604.ylc@mail.edu.tw")</f>
        <v>ylc*****f604.ylc@mail.edu.tw</v>
      </c>
      <c r="E3537" s="17" t="str">
        <f>IFERROR(__xludf.DUMMYFUNCTION("""COMPUTED_VALUE"""),"雲林縣北港鎮北辰國民小學")</f>
        <v>雲林縣北港鎮北辰國民小學</v>
      </c>
      <c r="F3537" s="14" t="str">
        <f>IFERROR(__xludf.DUMMYFUNCTION("""COMPUTED_VALUE"""),"五年級")</f>
        <v>五年級</v>
      </c>
      <c r="G3537" s="14" t="str">
        <f>IFERROR(__xludf.DUMMYFUNCTION("""COMPUTED_VALUE"""),"獎狀")</f>
        <v>獎狀</v>
      </c>
      <c r="H3537" s="8"/>
    </row>
    <row r="3538">
      <c r="A3538" s="18"/>
      <c r="B3538" s="14">
        <f>IFERROR(__xludf.DUMMYFUNCTION("""COMPUTED_VALUE"""),921566.0)</f>
        <v>921566</v>
      </c>
      <c r="C3538" s="14" t="str">
        <f>IFERROR(__xludf.DUMMYFUNCTION("""COMPUTED_VALUE"""),"楊佩穎")</f>
        <v>楊佩穎</v>
      </c>
      <c r="D3538" s="16" t="str">
        <f>IFERROR(__xludf.DUMMYFUNCTION("""COMPUTED_VALUE"""),"106*****ces.ylc.edu.tw")</f>
        <v>106*****ces.ylc.edu.tw</v>
      </c>
      <c r="E3538" s="17" t="str">
        <f>IFERROR(__xludf.DUMMYFUNCTION("""COMPUTED_VALUE"""),"雲林縣北港鎮北辰國民小學")</f>
        <v>雲林縣北港鎮北辰國民小學</v>
      </c>
      <c r="F3538" s="14" t="str">
        <f>IFERROR(__xludf.DUMMYFUNCTION("""COMPUTED_VALUE"""),"六年級")</f>
        <v>六年級</v>
      </c>
      <c r="G3538" s="14" t="str">
        <f>IFERROR(__xludf.DUMMYFUNCTION("""COMPUTED_VALUE"""),"●小禮物")</f>
        <v>●小禮物</v>
      </c>
      <c r="H3538" s="8"/>
    </row>
    <row r="3539">
      <c r="A3539" s="18"/>
      <c r="B3539" s="14">
        <f>IFERROR(__xludf.DUMMYFUNCTION("""COMPUTED_VALUE"""),722521.0)</f>
        <v>722521</v>
      </c>
      <c r="C3539" s="14" t="str">
        <f>IFERROR(__xludf.DUMMYFUNCTION("""COMPUTED_VALUE"""),"楊于樂")</f>
        <v>楊于樂</v>
      </c>
      <c r="D3539" s="16" t="str">
        <f>IFERROR(__xludf.DUMMYFUNCTION("""COMPUTED_VALUE"""),"eun*****29@mail.edu.tw")</f>
        <v>eun*****29@mail.edu.tw</v>
      </c>
      <c r="E3539" s="17" t="str">
        <f>IFERROR(__xludf.DUMMYFUNCTION("""COMPUTED_VALUE"""),"雲林縣北港鎮東榮國民小學")</f>
        <v>雲林縣北港鎮東榮國民小學</v>
      </c>
      <c r="F3539" s="14" t="str">
        <f>IFERROR(__xludf.DUMMYFUNCTION("""COMPUTED_VALUE"""),"四年級")</f>
        <v>四年級</v>
      </c>
      <c r="G3539" s="14" t="str">
        <f>IFERROR(__xludf.DUMMYFUNCTION("""COMPUTED_VALUE"""),"獎狀")</f>
        <v>獎狀</v>
      </c>
      <c r="H3539" s="8"/>
    </row>
    <row r="3540">
      <c r="A3540" s="18"/>
      <c r="B3540" s="14">
        <f>IFERROR(__xludf.DUMMYFUNCTION("""COMPUTED_VALUE"""),818114.0)</f>
        <v>818114</v>
      </c>
      <c r="C3540" s="14" t="str">
        <f>IFERROR(__xludf.DUMMYFUNCTION("""COMPUTED_VALUE"""),"許芳萍")</f>
        <v>許芳萍</v>
      </c>
      <c r="D3540" s="16" t="str">
        <f>IFERROR(__xludf.DUMMYFUNCTION("""COMPUTED_VALUE"""),"can*****a@mail.edu.tw")</f>
        <v>can*****a@mail.edu.tw</v>
      </c>
      <c r="E3540" s="17" t="str">
        <f>IFERROR(__xludf.DUMMYFUNCTION("""COMPUTED_VALUE"""),"雲林縣水林鄉水燦林國民小學")</f>
        <v>雲林縣水林鄉水燦林國民小學</v>
      </c>
      <c r="F3540" s="14" t="str">
        <f>IFERROR(__xludf.DUMMYFUNCTION("""COMPUTED_VALUE"""),"四年級")</f>
        <v>四年級</v>
      </c>
      <c r="G3540" s="14" t="str">
        <f>IFERROR(__xludf.DUMMYFUNCTION("""COMPUTED_VALUE"""),"獎狀")</f>
        <v>獎狀</v>
      </c>
      <c r="H3540" s="8"/>
    </row>
    <row r="3541">
      <c r="A3541" s="18"/>
      <c r="B3541" s="14">
        <f>IFERROR(__xludf.DUMMYFUNCTION("""COMPUTED_VALUE"""),735914.0)</f>
        <v>735914</v>
      </c>
      <c r="C3541" s="14" t="str">
        <f>IFERROR(__xludf.DUMMYFUNCTION("""COMPUTED_VALUE"""),"許傑閔")</f>
        <v>許傑閔</v>
      </c>
      <c r="D3541" s="16" t="str">
        <f>IFERROR(__xludf.DUMMYFUNCTION("""COMPUTED_VALUE"""),"jer*****@mail.edu.tw")</f>
        <v>jer*****@mail.edu.tw</v>
      </c>
      <c r="E3541" s="17" t="str">
        <f>IFERROR(__xludf.DUMMYFUNCTION("""COMPUTED_VALUE"""),"雲林縣水林鄉水燦林國民小學")</f>
        <v>雲林縣水林鄉水燦林國民小學</v>
      </c>
      <c r="F3541" s="14" t="str">
        <f>IFERROR(__xludf.DUMMYFUNCTION("""COMPUTED_VALUE"""),"六年級")</f>
        <v>六年級</v>
      </c>
      <c r="G3541" s="14" t="str">
        <f>IFERROR(__xludf.DUMMYFUNCTION("""COMPUTED_VALUE"""),"獎狀")</f>
        <v>獎狀</v>
      </c>
      <c r="H3541" s="8"/>
    </row>
    <row r="3542">
      <c r="A3542" s="18"/>
      <c r="B3542" s="14">
        <f>IFERROR(__xludf.DUMMYFUNCTION("""COMPUTED_VALUE"""),741237.0)</f>
        <v>741237</v>
      </c>
      <c r="C3542" s="14" t="str">
        <f>IFERROR(__xludf.DUMMYFUNCTION("""COMPUTED_VALUE"""),"林炳瑋")</f>
        <v>林炳瑋</v>
      </c>
      <c r="D3542" s="16" t="str">
        <f>IFERROR(__xludf.DUMMYFUNCTION("""COMPUTED_VALUE"""),"cwe*****ail.edu.tw")</f>
        <v>cwe*****ail.edu.tw</v>
      </c>
      <c r="E3542" s="17" t="str">
        <f>IFERROR(__xludf.DUMMYFUNCTION("""COMPUTED_VALUE"""),"雲林縣口湖鄉崇文國民小學")</f>
        <v>雲林縣口湖鄉崇文國民小學</v>
      </c>
      <c r="F3542" s="14" t="str">
        <f>IFERROR(__xludf.DUMMYFUNCTION("""COMPUTED_VALUE"""),"五年級")</f>
        <v>五年級</v>
      </c>
      <c r="G3542" s="14" t="str">
        <f>IFERROR(__xludf.DUMMYFUNCTION("""COMPUTED_VALUE"""),"●小禮物")</f>
        <v>●小禮物</v>
      </c>
      <c r="H3542" s="8"/>
    </row>
    <row r="3543">
      <c r="A3543" s="18"/>
      <c r="B3543" s="14">
        <f>IFERROR(__xludf.DUMMYFUNCTION("""COMPUTED_VALUE"""),741222.0)</f>
        <v>741222</v>
      </c>
      <c r="C3543" s="14" t="str">
        <f>IFERROR(__xludf.DUMMYFUNCTION("""COMPUTED_VALUE"""),"陳柏宇")</f>
        <v>陳柏宇</v>
      </c>
      <c r="D3543" s="16" t="str">
        <f>IFERROR(__xludf.DUMMYFUNCTION("""COMPUTED_VALUE"""),"cwe*****@mail.edu.tw")</f>
        <v>cwe*****@mail.edu.tw</v>
      </c>
      <c r="E3543" s="17" t="str">
        <f>IFERROR(__xludf.DUMMYFUNCTION("""COMPUTED_VALUE"""),"雲林縣口湖鄉崇文國民小學")</f>
        <v>雲林縣口湖鄉崇文國民小學</v>
      </c>
      <c r="F3543" s="14" t="str">
        <f>IFERROR(__xludf.DUMMYFUNCTION("""COMPUTED_VALUE"""),"五年級")</f>
        <v>五年級</v>
      </c>
      <c r="G3543" s="14" t="str">
        <f>IFERROR(__xludf.DUMMYFUNCTION("""COMPUTED_VALUE"""),"●小禮物")</f>
        <v>●小禮物</v>
      </c>
      <c r="H3543" s="8"/>
    </row>
    <row r="3544">
      <c r="A3544" s="18"/>
      <c r="B3544" s="14">
        <f>IFERROR(__xludf.DUMMYFUNCTION("""COMPUTED_VALUE"""),741347.0)</f>
        <v>741347</v>
      </c>
      <c r="C3544" s="14" t="str">
        <f>IFERROR(__xludf.DUMMYFUNCTION("""COMPUTED_VALUE"""),"吳明倫")</f>
        <v>吳明倫</v>
      </c>
      <c r="D3544" s="16" t="str">
        <f>IFERROR(__xludf.DUMMYFUNCTION("""COMPUTED_VALUE"""),"cwe*****1@mail.edu.tw")</f>
        <v>cwe*****1@mail.edu.tw</v>
      </c>
      <c r="E3544" s="17" t="str">
        <f>IFERROR(__xludf.DUMMYFUNCTION("""COMPUTED_VALUE"""),"雲林縣口湖鄉崇文國民小學")</f>
        <v>雲林縣口湖鄉崇文國民小學</v>
      </c>
      <c r="F3544" s="14" t="str">
        <f>IFERROR(__xludf.DUMMYFUNCTION("""COMPUTED_VALUE"""),"五年級")</f>
        <v>五年級</v>
      </c>
      <c r="G3544" s="14" t="str">
        <f>IFERROR(__xludf.DUMMYFUNCTION("""COMPUTED_VALUE"""),"獎狀")</f>
        <v>獎狀</v>
      </c>
      <c r="H3544" s="8"/>
    </row>
    <row r="3545">
      <c r="A3545" s="18"/>
      <c r="B3545" s="14">
        <f>IFERROR(__xludf.DUMMYFUNCTION("""COMPUTED_VALUE"""),562125.0)</f>
        <v>562125</v>
      </c>
      <c r="C3545" s="14" t="str">
        <f>IFERROR(__xludf.DUMMYFUNCTION("""COMPUTED_VALUE"""),"林于婕")</f>
        <v>林于婕</v>
      </c>
      <c r="D3545" s="16" t="str">
        <f>IFERROR(__xludf.DUMMYFUNCTION("""COMPUTED_VALUE"""),"cwc*****08@mail.edu.tw")</f>
        <v>cwc*****08@mail.edu.tw</v>
      </c>
      <c r="E3545" s="17" t="str">
        <f>IFERROR(__xludf.DUMMYFUNCTION("""COMPUTED_VALUE"""),"雲林縣口湖鄉崇文國民小學")</f>
        <v>雲林縣口湖鄉崇文國民小學</v>
      </c>
      <c r="F3545" s="14" t="str">
        <f>IFERROR(__xludf.DUMMYFUNCTION("""COMPUTED_VALUE"""),"五年級")</f>
        <v>五年級</v>
      </c>
      <c r="G3545" s="14" t="str">
        <f>IFERROR(__xludf.DUMMYFUNCTION("""COMPUTED_VALUE"""),"獎狀")</f>
        <v>獎狀</v>
      </c>
      <c r="H3545" s="8"/>
    </row>
    <row r="3546">
      <c r="A3546" s="18"/>
      <c r="B3546" s="14">
        <f>IFERROR(__xludf.DUMMYFUNCTION("""COMPUTED_VALUE"""),861787.0)</f>
        <v>861787</v>
      </c>
      <c r="C3546" s="14" t="str">
        <f>IFERROR(__xludf.DUMMYFUNCTION("""COMPUTED_VALUE"""),"林佩璇")</f>
        <v>林佩璇</v>
      </c>
      <c r="D3546" s="16" t="str">
        <f>IFERROR(__xludf.DUMMYFUNCTION("""COMPUTED_VALUE"""),"cwe*****@mail.edu.tw")</f>
        <v>cwe*****@mail.edu.tw</v>
      </c>
      <c r="E3546" s="17" t="str">
        <f>IFERROR(__xludf.DUMMYFUNCTION("""COMPUTED_VALUE"""),"雲林縣口湖鄉崇文國民小學")</f>
        <v>雲林縣口湖鄉崇文國民小學</v>
      </c>
      <c r="F3546" s="14" t="str">
        <f>IFERROR(__xludf.DUMMYFUNCTION("""COMPUTED_VALUE"""),"五年級")</f>
        <v>五年級</v>
      </c>
      <c r="G3546" s="14" t="str">
        <f>IFERROR(__xludf.DUMMYFUNCTION("""COMPUTED_VALUE"""),"獎狀")</f>
        <v>獎狀</v>
      </c>
      <c r="H3546" s="8"/>
    </row>
    <row r="3547">
      <c r="A3547" s="18"/>
      <c r="B3547" s="14">
        <f>IFERROR(__xludf.DUMMYFUNCTION("""COMPUTED_VALUE"""),741259.0)</f>
        <v>741259</v>
      </c>
      <c r="C3547" s="14" t="str">
        <f>IFERROR(__xludf.DUMMYFUNCTION("""COMPUTED_VALUE"""),"林侑成")</f>
        <v>林侑成</v>
      </c>
      <c r="D3547" s="16" t="str">
        <f>IFERROR(__xludf.DUMMYFUNCTION("""COMPUTED_VALUE"""),"b96*****a993.ylc@mail.edu.tw")</f>
        <v>b96*****a993.ylc@mail.edu.tw</v>
      </c>
      <c r="E3547" s="17" t="str">
        <f>IFERROR(__xludf.DUMMYFUNCTION("""COMPUTED_VALUE"""),"雲林縣口湖鄉崇文國民小學")</f>
        <v>雲林縣口湖鄉崇文國民小學</v>
      </c>
      <c r="F3547" s="14" t="str">
        <f>IFERROR(__xludf.DUMMYFUNCTION("""COMPUTED_VALUE"""),"五年級")</f>
        <v>五年級</v>
      </c>
      <c r="G3547" s="14" t="str">
        <f>IFERROR(__xludf.DUMMYFUNCTION("""COMPUTED_VALUE"""),"獎狀")</f>
        <v>獎狀</v>
      </c>
      <c r="H3547" s="8"/>
    </row>
    <row r="3548">
      <c r="A3548" s="18"/>
      <c r="B3548" s="14">
        <f>IFERROR(__xludf.DUMMYFUNCTION("""COMPUTED_VALUE"""),741167.0)</f>
        <v>741167</v>
      </c>
      <c r="C3548" s="14" t="str">
        <f>IFERROR(__xludf.DUMMYFUNCTION("""COMPUTED_VALUE"""),"許大衫")</f>
        <v>許大衫</v>
      </c>
      <c r="D3548" s="16" t="str">
        <f>IFERROR(__xludf.DUMMYFUNCTION("""COMPUTED_VALUE"""),"cwe*****@mail.edu.tw")</f>
        <v>cwe*****@mail.edu.tw</v>
      </c>
      <c r="E3548" s="17" t="str">
        <f>IFERROR(__xludf.DUMMYFUNCTION("""COMPUTED_VALUE"""),"雲林縣口湖鄉崇文國民小學")</f>
        <v>雲林縣口湖鄉崇文國民小學</v>
      </c>
      <c r="F3548" s="14" t="str">
        <f>IFERROR(__xludf.DUMMYFUNCTION("""COMPUTED_VALUE"""),"五年級")</f>
        <v>五年級</v>
      </c>
      <c r="G3548" s="14" t="str">
        <f>IFERROR(__xludf.DUMMYFUNCTION("""COMPUTED_VALUE"""),"獎狀")</f>
        <v>獎狀</v>
      </c>
      <c r="H3548" s="8"/>
    </row>
    <row r="3549">
      <c r="A3549" s="18"/>
      <c r="B3549" s="14">
        <f>IFERROR(__xludf.DUMMYFUNCTION("""COMPUTED_VALUE"""),862234.0)</f>
        <v>862234</v>
      </c>
      <c r="C3549" s="14" t="str">
        <f>IFERROR(__xludf.DUMMYFUNCTION("""COMPUTED_VALUE"""),"陳筱昀")</f>
        <v>陳筱昀</v>
      </c>
      <c r="D3549" s="16" t="str">
        <f>IFERROR(__xludf.DUMMYFUNCTION("""COMPUTED_VALUE"""),"cwe*****ail.edu.tw")</f>
        <v>cwe*****ail.edu.tw</v>
      </c>
      <c r="E3549" s="17" t="str">
        <f>IFERROR(__xludf.DUMMYFUNCTION("""COMPUTED_VALUE"""),"雲林縣口湖鄉崇文國民小學")</f>
        <v>雲林縣口湖鄉崇文國民小學</v>
      </c>
      <c r="F3549" s="14" t="str">
        <f>IFERROR(__xludf.DUMMYFUNCTION("""COMPUTED_VALUE"""),"五年級")</f>
        <v>五年級</v>
      </c>
      <c r="G3549" s="14" t="str">
        <f>IFERROR(__xludf.DUMMYFUNCTION("""COMPUTED_VALUE"""),"獎狀")</f>
        <v>獎狀</v>
      </c>
      <c r="H3549" s="8"/>
    </row>
    <row r="3550">
      <c r="A3550" s="18"/>
      <c r="B3550" s="14">
        <f>IFERROR(__xludf.DUMMYFUNCTION("""COMPUTED_VALUE"""),889403.0)</f>
        <v>889403</v>
      </c>
      <c r="C3550" s="14" t="str">
        <f>IFERROR(__xludf.DUMMYFUNCTION("""COMPUTED_VALUE"""),"蔡詠珏")</f>
        <v>蔡詠珏</v>
      </c>
      <c r="D3550" s="16" t="str">
        <f>IFERROR(__xludf.DUMMYFUNCTION("""COMPUTED_VALUE"""),"sop*****0@mail.edu.tw")</f>
        <v>sop*****0@mail.edu.tw</v>
      </c>
      <c r="E3550" s="17" t="str">
        <f>IFERROR(__xludf.DUMMYFUNCTION("""COMPUTED_VALUE"""),"雲林縣口湖鄉崇文國民小學")</f>
        <v>雲林縣口湖鄉崇文國民小學</v>
      </c>
      <c r="F3550" s="14" t="str">
        <f>IFERROR(__xludf.DUMMYFUNCTION("""COMPUTED_VALUE"""),"五年級")</f>
        <v>五年級</v>
      </c>
      <c r="G3550" s="14" t="str">
        <f>IFERROR(__xludf.DUMMYFUNCTION("""COMPUTED_VALUE"""),"獎狀")</f>
        <v>獎狀</v>
      </c>
      <c r="H3550" s="8"/>
    </row>
    <row r="3551">
      <c r="A3551" s="18"/>
      <c r="B3551" s="14">
        <f>IFERROR(__xludf.DUMMYFUNCTION("""COMPUTED_VALUE"""),834808.0)</f>
        <v>834808</v>
      </c>
      <c r="C3551" s="14" t="str">
        <f>IFERROR(__xludf.DUMMYFUNCTION("""COMPUTED_VALUE"""),"吳欣伃")</f>
        <v>吳欣伃</v>
      </c>
      <c r="D3551" s="16" t="str">
        <f>IFERROR(__xludf.DUMMYFUNCTION("""COMPUTED_VALUE"""),"pp0*****@gmail.com")</f>
        <v>pp0*****@gmail.com</v>
      </c>
      <c r="E3551" s="17" t="str">
        <f>IFERROR(__xludf.DUMMYFUNCTION("""COMPUTED_VALUE"""),"雲林縣四湖鄉鹿場國民小學")</f>
        <v>雲林縣四湖鄉鹿場國民小學</v>
      </c>
      <c r="F3551" s="14" t="str">
        <f>IFERROR(__xludf.DUMMYFUNCTION("""COMPUTED_VALUE"""),"四年級")</f>
        <v>四年級</v>
      </c>
      <c r="G3551" s="14" t="str">
        <f>IFERROR(__xludf.DUMMYFUNCTION("""COMPUTED_VALUE"""),"獎狀")</f>
        <v>獎狀</v>
      </c>
      <c r="H3551" s="8"/>
    </row>
    <row r="3552">
      <c r="A3552" s="18"/>
      <c r="B3552" s="14">
        <f>IFERROR(__xludf.DUMMYFUNCTION("""COMPUTED_VALUE"""),835024.0)</f>
        <v>835024</v>
      </c>
      <c r="C3552" s="14" t="str">
        <f>IFERROR(__xludf.DUMMYFUNCTION("""COMPUTED_VALUE"""),"吳子寧")</f>
        <v>吳子寧</v>
      </c>
      <c r="D3552" s="16" t="str">
        <f>IFERROR(__xludf.DUMMYFUNCTION("""COMPUTED_VALUE"""),"pp0*****7@gmail.com")</f>
        <v>pp0*****7@gmail.com</v>
      </c>
      <c r="E3552" s="17" t="str">
        <f>IFERROR(__xludf.DUMMYFUNCTION("""COMPUTED_VALUE"""),"雲林縣四湖鄉鹿場國民小學")</f>
        <v>雲林縣四湖鄉鹿場國民小學</v>
      </c>
      <c r="F3552" s="14" t="str">
        <f>IFERROR(__xludf.DUMMYFUNCTION("""COMPUTED_VALUE"""),"六年級")</f>
        <v>六年級</v>
      </c>
      <c r="G3552" s="14" t="str">
        <f>IFERROR(__xludf.DUMMYFUNCTION("""COMPUTED_VALUE"""),"獎狀")</f>
        <v>獎狀</v>
      </c>
      <c r="H3552" s="8"/>
    </row>
    <row r="3553">
      <c r="A3553" s="18"/>
      <c r="B3553" s="14">
        <f>IFERROR(__xludf.DUMMYFUNCTION("""COMPUTED_VALUE"""),1130648.0)</f>
        <v>1130648</v>
      </c>
      <c r="C3553" s="14" t="str">
        <f>IFERROR(__xludf.DUMMYFUNCTION("""COMPUTED_VALUE"""),"李恩宇")</f>
        <v>李恩宇</v>
      </c>
      <c r="D3553" s="16" t="str">
        <f>IFERROR(__xludf.DUMMYFUNCTION("""COMPUTED_VALUE"""),"st1*****2.tn@mail.edu.tw")</f>
        <v>st1*****2.tn@mail.edu.tw</v>
      </c>
      <c r="E3553" s="17" t="str">
        <f>IFERROR(__xludf.DUMMYFUNCTION("""COMPUTED_VALUE"""),"臺南市中西區永福國民小學")</f>
        <v>臺南市中西區永福國民小學</v>
      </c>
      <c r="F3553" s="14" t="str">
        <f>IFERROR(__xludf.DUMMYFUNCTION("""COMPUTED_VALUE"""),"三年級")</f>
        <v>三年級</v>
      </c>
      <c r="G3553" s="14" t="str">
        <f>IFERROR(__xludf.DUMMYFUNCTION("""COMPUTED_VALUE"""),"●小禮物")</f>
        <v>●小禮物</v>
      </c>
      <c r="H3553" s="8"/>
    </row>
    <row r="3554">
      <c r="A3554" s="18"/>
      <c r="B3554" s="14">
        <f>IFERROR(__xludf.DUMMYFUNCTION("""COMPUTED_VALUE"""),705956.0)</f>
        <v>705956</v>
      </c>
      <c r="C3554" s="14" t="str">
        <f>IFERROR(__xludf.DUMMYFUNCTION("""COMPUTED_VALUE"""),"劉祐嘉")</f>
        <v>劉祐嘉</v>
      </c>
      <c r="D3554" s="16" t="str">
        <f>IFERROR(__xludf.DUMMYFUNCTION("""COMPUTED_VALUE"""),"st1*****1.tn@mail.edu.tw")</f>
        <v>st1*****1.tn@mail.edu.tw</v>
      </c>
      <c r="E3554" s="17" t="str">
        <f>IFERROR(__xludf.DUMMYFUNCTION("""COMPUTED_VALUE"""),"臺南市中西區永福國民小學")</f>
        <v>臺南市中西區永福國民小學</v>
      </c>
      <c r="F3554" s="14" t="str">
        <f>IFERROR(__xludf.DUMMYFUNCTION("""COMPUTED_VALUE"""),"四年級")</f>
        <v>四年級</v>
      </c>
      <c r="G3554" s="14" t="str">
        <f>IFERROR(__xludf.DUMMYFUNCTION("""COMPUTED_VALUE"""),"獎狀")</f>
        <v>獎狀</v>
      </c>
      <c r="H3554" s="8"/>
    </row>
    <row r="3555">
      <c r="A3555" s="18"/>
      <c r="B3555" s="14">
        <f>IFERROR(__xludf.DUMMYFUNCTION("""COMPUTED_VALUE"""),425781.0)</f>
        <v>425781</v>
      </c>
      <c r="C3555" s="14" t="str">
        <f>IFERROR(__xludf.DUMMYFUNCTION("""COMPUTED_VALUE"""),"王子詠")</f>
        <v>王子詠</v>
      </c>
      <c r="D3555" s="16" t="str">
        <f>IFERROR(__xludf.DUMMYFUNCTION("""COMPUTED_VALUE"""),"lin*****90015@gmail.com")</f>
        <v>lin*****90015@gmail.com</v>
      </c>
      <c r="E3555" s="17" t="str">
        <f>IFERROR(__xludf.DUMMYFUNCTION("""COMPUTED_VALUE"""),"臺南市中西區永福國民小學")</f>
        <v>臺南市中西區永福國民小學</v>
      </c>
      <c r="F3555" s="14" t="str">
        <f>IFERROR(__xludf.DUMMYFUNCTION("""COMPUTED_VALUE"""),"五年級")</f>
        <v>五年級</v>
      </c>
      <c r="G3555" s="14" t="str">
        <f>IFERROR(__xludf.DUMMYFUNCTION("""COMPUTED_VALUE"""),"獎狀")</f>
        <v>獎狀</v>
      </c>
      <c r="H3555" s="8"/>
    </row>
    <row r="3556">
      <c r="A3556" s="18"/>
      <c r="B3556" s="14">
        <f>IFERROR(__xludf.DUMMYFUNCTION("""COMPUTED_VALUE"""),1094424.0)</f>
        <v>1094424</v>
      </c>
      <c r="C3556" s="14" t="str">
        <f>IFERROR(__xludf.DUMMYFUNCTION("""COMPUTED_VALUE"""),"陳嵩威")</f>
        <v>陳嵩威</v>
      </c>
      <c r="D3556" s="16" t="str">
        <f>IFERROR(__xludf.DUMMYFUNCTION("""COMPUTED_VALUE"""),"st0*****2@sjps.tn.edu.tw")</f>
        <v>st0*****2@sjps.tn.edu.tw</v>
      </c>
      <c r="E3556" s="17" t="str">
        <f>IFERROR(__xludf.DUMMYFUNCTION("""COMPUTED_VALUE"""),"臺南市中西區協進國民小學")</f>
        <v>臺南市中西區協進國民小學</v>
      </c>
      <c r="F3556" s="14" t="str">
        <f>IFERROR(__xludf.DUMMYFUNCTION("""COMPUTED_VALUE"""),"四年級")</f>
        <v>四年級</v>
      </c>
      <c r="G3556" s="14" t="str">
        <f>IFERROR(__xludf.DUMMYFUNCTION("""COMPUTED_VALUE"""),"獎狀")</f>
        <v>獎狀</v>
      </c>
      <c r="H3556" s="8"/>
    </row>
    <row r="3557">
      <c r="A3557" s="18"/>
      <c r="B3557" s="14">
        <f>IFERROR(__xludf.DUMMYFUNCTION("""COMPUTED_VALUE"""),447185.0)</f>
        <v>447185</v>
      </c>
      <c r="C3557" s="14" t="str">
        <f>IFERROR(__xludf.DUMMYFUNCTION("""COMPUTED_VALUE"""),"郎欣燕")</f>
        <v>郎欣燕</v>
      </c>
      <c r="D3557" s="16" t="str">
        <f>IFERROR(__xludf.DUMMYFUNCTION("""COMPUTED_VALUE"""),"st7*****3.ham@mail.edu.tw")</f>
        <v>st7*****3.ham@mail.edu.tw</v>
      </c>
      <c r="E3557" s="17" t="str">
        <f>IFERROR(__xludf.DUMMYFUNCTION("""COMPUTED_VALUE"""),"臺南市中西區進學國民小學")</f>
        <v>臺南市中西區進學國民小學</v>
      </c>
      <c r="F3557" s="14" t="str">
        <f>IFERROR(__xludf.DUMMYFUNCTION("""COMPUTED_VALUE"""),"六年級")</f>
        <v>六年級</v>
      </c>
      <c r="G3557" s="14" t="str">
        <f>IFERROR(__xludf.DUMMYFUNCTION("""COMPUTED_VALUE"""),"獎狀")</f>
        <v>獎狀</v>
      </c>
      <c r="H3557" s="8"/>
    </row>
    <row r="3558">
      <c r="A3558" s="18"/>
      <c r="B3558" s="14">
        <f>IFERROR(__xludf.DUMMYFUNCTION("""COMPUTED_VALUE"""),522125.0)</f>
        <v>522125</v>
      </c>
      <c r="C3558" s="14" t="str">
        <f>IFERROR(__xludf.DUMMYFUNCTION("""COMPUTED_VALUE"""),"林維暘")</f>
        <v>林維暘</v>
      </c>
      <c r="D3558" s="16" t="str">
        <f>IFERROR(__xludf.DUMMYFUNCTION("""COMPUTED_VALUE"""),"way*****@mail.edu.tw")</f>
        <v>way*****@mail.edu.tw</v>
      </c>
      <c r="E3558" s="17" t="str">
        <f>IFERROR(__xludf.DUMMYFUNCTION("""COMPUTED_VALUE"""),"國立臺南大學附設實驗國民小學")</f>
        <v>國立臺南大學附設實驗國民小學</v>
      </c>
      <c r="F3558" s="14" t="str">
        <f>IFERROR(__xludf.DUMMYFUNCTION("""COMPUTED_VALUE"""),"三年級")</f>
        <v>三年級</v>
      </c>
      <c r="G3558" s="14" t="str">
        <f>IFERROR(__xludf.DUMMYFUNCTION("""COMPUTED_VALUE"""),"獎狀")</f>
        <v>獎狀</v>
      </c>
      <c r="H3558" s="8"/>
    </row>
    <row r="3559">
      <c r="A3559" s="18"/>
      <c r="B3559" s="14">
        <f>IFERROR(__xludf.DUMMYFUNCTION("""COMPUTED_VALUE"""),478488.0)</f>
        <v>478488</v>
      </c>
      <c r="C3559" s="14" t="str">
        <f>IFERROR(__xludf.DUMMYFUNCTION("""COMPUTED_VALUE"""),"王品豪")</f>
        <v>王品豪</v>
      </c>
      <c r="D3559" s="16" t="str">
        <f>IFERROR(__xludf.DUMMYFUNCTION("""COMPUTED_VALUE"""),"yay*****1@gmail.com")</f>
        <v>yay*****1@gmail.com</v>
      </c>
      <c r="E3559" s="17" t="str">
        <f>IFERROR(__xludf.DUMMYFUNCTION("""COMPUTED_VALUE"""),"國立臺南大學附設實驗國民小學")</f>
        <v>國立臺南大學附設實驗國民小學</v>
      </c>
      <c r="F3559" s="14" t="str">
        <f>IFERROR(__xludf.DUMMYFUNCTION("""COMPUTED_VALUE"""),"五年級")</f>
        <v>五年級</v>
      </c>
      <c r="G3559" s="14" t="str">
        <f>IFERROR(__xludf.DUMMYFUNCTION("""COMPUTED_VALUE"""),"獎狀")</f>
        <v>獎狀</v>
      </c>
      <c r="H3559" s="8"/>
    </row>
    <row r="3560">
      <c r="A3560" s="18"/>
      <c r="B3560" s="14">
        <f>IFERROR(__xludf.DUMMYFUNCTION("""COMPUTED_VALUE"""),637481.0)</f>
        <v>637481</v>
      </c>
      <c r="C3560" s="14" t="str">
        <f>IFERROR(__xludf.DUMMYFUNCTION("""COMPUTED_VALUE"""),"張詠晴")</f>
        <v>張詠晴</v>
      </c>
      <c r="D3560" s="16" t="str">
        <f>IFERROR(__xludf.DUMMYFUNCTION("""COMPUTED_VALUE"""),"st2*****0@mail.edu.tw")</f>
        <v>st2*****0@mail.edu.tw</v>
      </c>
      <c r="E3560" s="17" t="str">
        <f>IFERROR(__xludf.DUMMYFUNCTION("""COMPUTED_VALUE"""),"國立臺南大學附設實驗國民小學")</f>
        <v>國立臺南大學附設實驗國民小學</v>
      </c>
      <c r="F3560" s="14" t="str">
        <f>IFERROR(__xludf.DUMMYFUNCTION("""COMPUTED_VALUE"""),"五年級")</f>
        <v>五年級</v>
      </c>
      <c r="G3560" s="14" t="str">
        <f>IFERROR(__xludf.DUMMYFUNCTION("""COMPUTED_VALUE"""),"獎狀")</f>
        <v>獎狀</v>
      </c>
      <c r="H3560" s="8"/>
    </row>
    <row r="3561">
      <c r="A3561" s="18"/>
      <c r="B3561" s="14">
        <f>IFERROR(__xludf.DUMMYFUNCTION("""COMPUTED_VALUE"""),762417.0)</f>
        <v>762417</v>
      </c>
      <c r="C3561" s="14" t="str">
        <f>IFERROR(__xludf.DUMMYFUNCTION("""COMPUTED_VALUE"""),"郭芳如")</f>
        <v>郭芳如</v>
      </c>
      <c r="D3561" s="16" t="str">
        <f>IFERROR(__xludf.DUMMYFUNCTION("""COMPUTED_VALUE"""),"fel*****mail.edu.tw")</f>
        <v>fel*****mail.edu.tw</v>
      </c>
      <c r="E3561" s="17" t="str">
        <f>IFERROR(__xludf.DUMMYFUNCTION("""COMPUTED_VALUE"""),"國立臺南大學附設實驗國民小學")</f>
        <v>國立臺南大學附設實驗國民小學</v>
      </c>
      <c r="F3561" s="14" t="str">
        <f>IFERROR(__xludf.DUMMYFUNCTION("""COMPUTED_VALUE"""),"六年級")</f>
        <v>六年級</v>
      </c>
      <c r="G3561" s="14" t="str">
        <f>IFERROR(__xludf.DUMMYFUNCTION("""COMPUTED_VALUE"""),"獎狀")</f>
        <v>獎狀</v>
      </c>
      <c r="H3561" s="8"/>
    </row>
    <row r="3562">
      <c r="A3562" s="18"/>
      <c r="B3562" s="14">
        <f>IFERROR(__xludf.DUMMYFUNCTION("""COMPUTED_VALUE"""),541599.0)</f>
        <v>541599</v>
      </c>
      <c r="C3562" s="14" t="str">
        <f>IFERROR(__xludf.DUMMYFUNCTION("""COMPUTED_VALUE"""),"周奕辰")</f>
        <v>周奕辰</v>
      </c>
      <c r="D3562" s="16" t="str">
        <f>IFERROR(__xludf.DUMMYFUNCTION("""COMPUTED_VALUE"""),"st4*****2.tn@mail.edu.tw")</f>
        <v>st4*****2.tn@mail.edu.tw</v>
      </c>
      <c r="E3562" s="17" t="str">
        <f>IFERROR(__xludf.DUMMYFUNCTION("""COMPUTED_VALUE"""),"臺南市東區勝利國民小學")</f>
        <v>臺南市東區勝利國民小學</v>
      </c>
      <c r="F3562" s="14" t="str">
        <f>IFERROR(__xludf.DUMMYFUNCTION("""COMPUTED_VALUE"""),"五年級")</f>
        <v>五年級</v>
      </c>
      <c r="G3562" s="14" t="str">
        <f>IFERROR(__xludf.DUMMYFUNCTION("""COMPUTED_VALUE"""),"獎狀")</f>
        <v>獎狀</v>
      </c>
      <c r="H3562" s="8"/>
    </row>
    <row r="3563">
      <c r="A3563" s="18"/>
      <c r="B3563" s="14">
        <f>IFERROR(__xludf.DUMMYFUNCTION("""COMPUTED_VALUE"""),539499.0)</f>
        <v>539499</v>
      </c>
      <c r="C3563" s="14" t="str">
        <f>IFERROR(__xludf.DUMMYFUNCTION("""COMPUTED_VALUE"""),"羅詠淳")</f>
        <v>羅詠淳</v>
      </c>
      <c r="D3563" s="16" t="str">
        <f>IFERROR(__xludf.DUMMYFUNCTION("""COMPUTED_VALUE"""),"st0*****5.tn@mail.edu.tw")</f>
        <v>st0*****5.tn@mail.edu.tw</v>
      </c>
      <c r="E3563" s="17" t="str">
        <f>IFERROR(__xludf.DUMMYFUNCTION("""COMPUTED_VALUE"""),"臺南市東區勝利國民小學")</f>
        <v>臺南市東區勝利國民小學</v>
      </c>
      <c r="F3563" s="14" t="str">
        <f>IFERROR(__xludf.DUMMYFUNCTION("""COMPUTED_VALUE"""),"五年級")</f>
        <v>五年級</v>
      </c>
      <c r="G3563" s="14" t="str">
        <f>IFERROR(__xludf.DUMMYFUNCTION("""COMPUTED_VALUE"""),"獎狀")</f>
        <v>獎狀</v>
      </c>
      <c r="H3563" s="8"/>
    </row>
    <row r="3564">
      <c r="A3564" s="18"/>
      <c r="B3564" s="14">
        <f>IFERROR(__xludf.DUMMYFUNCTION("""COMPUTED_VALUE"""),541515.0)</f>
        <v>541515</v>
      </c>
      <c r="C3564" s="14" t="str">
        <f>IFERROR(__xludf.DUMMYFUNCTION("""COMPUTED_VALUE"""),"周以喬")</f>
        <v>周以喬</v>
      </c>
      <c r="D3564" s="16" t="str">
        <f>IFERROR(__xludf.DUMMYFUNCTION("""COMPUTED_VALUE"""),"st2*****8.tn@mail.edu.tw")</f>
        <v>st2*****8.tn@mail.edu.tw</v>
      </c>
      <c r="E3564" s="17" t="str">
        <f>IFERROR(__xludf.DUMMYFUNCTION("""COMPUTED_VALUE"""),"臺南市東區勝利國民小學")</f>
        <v>臺南市東區勝利國民小學</v>
      </c>
      <c r="F3564" s="14" t="str">
        <f>IFERROR(__xludf.DUMMYFUNCTION("""COMPUTED_VALUE"""),"六年級")</f>
        <v>六年級</v>
      </c>
      <c r="G3564" s="14" t="str">
        <f>IFERROR(__xludf.DUMMYFUNCTION("""COMPUTED_VALUE"""),"●小禮物")</f>
        <v>●小禮物</v>
      </c>
      <c r="H3564" s="8"/>
    </row>
    <row r="3565">
      <c r="A3565" s="18"/>
      <c r="B3565" s="14">
        <f>IFERROR(__xludf.DUMMYFUNCTION("""COMPUTED_VALUE"""),1039840.0)</f>
        <v>1039840</v>
      </c>
      <c r="C3565" s="14" t="str">
        <f>IFERROR(__xludf.DUMMYFUNCTION("""COMPUTED_VALUE"""),"林庭伊")</f>
        <v>林庭伊</v>
      </c>
      <c r="D3565" s="16" t="str">
        <f>IFERROR(__xludf.DUMMYFUNCTION("""COMPUTED_VALUE"""),"jor*****n25@gmail.com")</f>
        <v>jor*****n25@gmail.com</v>
      </c>
      <c r="E3565" s="17" t="str">
        <f>IFERROR(__xludf.DUMMYFUNCTION("""COMPUTED_VALUE"""),"臺南市東區勝利國民小學")</f>
        <v>臺南市東區勝利國民小學</v>
      </c>
      <c r="F3565" s="14" t="str">
        <f>IFERROR(__xludf.DUMMYFUNCTION("""COMPUTED_VALUE"""),"六年級")</f>
        <v>六年級</v>
      </c>
      <c r="G3565" s="14" t="str">
        <f>IFERROR(__xludf.DUMMYFUNCTION("""COMPUTED_VALUE"""),"獎狀")</f>
        <v>獎狀</v>
      </c>
      <c r="H3565" s="8"/>
    </row>
    <row r="3566">
      <c r="A3566" s="18"/>
      <c r="B3566" s="14">
        <f>IFERROR(__xludf.DUMMYFUNCTION("""COMPUTED_VALUE"""),791352.0)</f>
        <v>791352</v>
      </c>
      <c r="C3566" s="14" t="str">
        <f>IFERROR(__xludf.DUMMYFUNCTION("""COMPUTED_VALUE"""),"蔡芝瑀")</f>
        <v>蔡芝瑀</v>
      </c>
      <c r="D3566" s="16" t="str">
        <f>IFERROR(__xludf.DUMMYFUNCTION("""COMPUTED_VALUE"""),"st1*****0@mail.edu.tw")</f>
        <v>st1*****0@mail.edu.tw</v>
      </c>
      <c r="E3566" s="17" t="str">
        <f>IFERROR(__xludf.DUMMYFUNCTION("""COMPUTED_VALUE"""),"臺南市東區崇明國民小學")</f>
        <v>臺南市東區崇明國民小學</v>
      </c>
      <c r="F3566" s="14" t="str">
        <f>IFERROR(__xludf.DUMMYFUNCTION("""COMPUTED_VALUE"""),"三年級")</f>
        <v>三年級</v>
      </c>
      <c r="G3566" s="14" t="str">
        <f>IFERROR(__xludf.DUMMYFUNCTION("""COMPUTED_VALUE"""),"獎狀")</f>
        <v>獎狀</v>
      </c>
      <c r="H3566" s="8"/>
    </row>
    <row r="3567">
      <c r="A3567" s="18"/>
      <c r="B3567" s="14">
        <f>IFERROR(__xludf.DUMMYFUNCTION("""COMPUTED_VALUE"""),777617.0)</f>
        <v>777617</v>
      </c>
      <c r="C3567" s="14" t="str">
        <f>IFERROR(__xludf.DUMMYFUNCTION("""COMPUTED_VALUE"""),"葛星妤")</f>
        <v>葛星妤</v>
      </c>
      <c r="D3567" s="16" t="str">
        <f>IFERROR(__xludf.DUMMYFUNCTION("""COMPUTED_VALUE"""),"s10*****cmes.tn.edu.tw")</f>
        <v>s10*****cmes.tn.edu.tw</v>
      </c>
      <c r="E3567" s="17" t="str">
        <f>IFERROR(__xludf.DUMMYFUNCTION("""COMPUTED_VALUE"""),"臺南市東區崇明國民小學")</f>
        <v>臺南市東區崇明國民小學</v>
      </c>
      <c r="F3567" s="14" t="str">
        <f>IFERROR(__xludf.DUMMYFUNCTION("""COMPUTED_VALUE"""),"四年級")</f>
        <v>四年級</v>
      </c>
      <c r="G3567" s="14" t="str">
        <f>IFERROR(__xludf.DUMMYFUNCTION("""COMPUTED_VALUE"""),"●小禮物")</f>
        <v>●小禮物</v>
      </c>
      <c r="H3567" s="8"/>
    </row>
    <row r="3568">
      <c r="A3568" s="18"/>
      <c r="B3568" s="14">
        <f>IFERROR(__xludf.DUMMYFUNCTION("""COMPUTED_VALUE"""),938062.0)</f>
        <v>938062</v>
      </c>
      <c r="C3568" s="14" t="str">
        <f>IFERROR(__xludf.DUMMYFUNCTION("""COMPUTED_VALUE"""),"劉采縈")</f>
        <v>劉采縈</v>
      </c>
      <c r="D3568" s="16" t="str">
        <f>IFERROR(__xludf.DUMMYFUNCTION("""COMPUTED_VALUE"""),"st8*****2.tn@mail.edu.tw")</f>
        <v>st8*****2.tn@mail.edu.tw</v>
      </c>
      <c r="E3568" s="17" t="str">
        <f>IFERROR(__xludf.DUMMYFUNCTION("""COMPUTED_VALUE"""),"臺南市東區崇明國民小學")</f>
        <v>臺南市東區崇明國民小學</v>
      </c>
      <c r="F3568" s="14" t="str">
        <f>IFERROR(__xludf.DUMMYFUNCTION("""COMPUTED_VALUE"""),"四年級")</f>
        <v>四年級</v>
      </c>
      <c r="G3568" s="14" t="str">
        <f>IFERROR(__xludf.DUMMYFUNCTION("""COMPUTED_VALUE"""),"獎狀")</f>
        <v>獎狀</v>
      </c>
      <c r="H3568" s="8"/>
    </row>
    <row r="3569">
      <c r="A3569" s="18"/>
      <c r="B3569" s="14">
        <f>IFERROR(__xludf.DUMMYFUNCTION("""COMPUTED_VALUE"""),779846.0)</f>
        <v>779846</v>
      </c>
      <c r="C3569" s="14" t="str">
        <f>IFERROR(__xludf.DUMMYFUNCTION("""COMPUTED_VALUE"""),"葛芮昀")</f>
        <v>葛芮昀</v>
      </c>
      <c r="D3569" s="16" t="str">
        <f>IFERROR(__xludf.DUMMYFUNCTION("""COMPUTED_VALUE"""),"s10*****cmes.tn.edu.tw")</f>
        <v>s10*****cmes.tn.edu.tw</v>
      </c>
      <c r="E3569" s="17" t="str">
        <f>IFERROR(__xludf.DUMMYFUNCTION("""COMPUTED_VALUE"""),"臺南市東區崇明國民小學")</f>
        <v>臺南市東區崇明國民小學</v>
      </c>
      <c r="F3569" s="14" t="str">
        <f>IFERROR(__xludf.DUMMYFUNCTION("""COMPUTED_VALUE"""),"六年級")</f>
        <v>六年級</v>
      </c>
      <c r="G3569" s="14" t="str">
        <f>IFERROR(__xludf.DUMMYFUNCTION("""COMPUTED_VALUE"""),"獎狀")</f>
        <v>獎狀</v>
      </c>
      <c r="H3569" s="8"/>
    </row>
    <row r="3570">
      <c r="A3570" s="18"/>
      <c r="B3570" s="14">
        <f>IFERROR(__xludf.DUMMYFUNCTION("""COMPUTED_VALUE"""),582554.0)</f>
        <v>582554</v>
      </c>
      <c r="C3570" s="14" t="str">
        <f>IFERROR(__xludf.DUMMYFUNCTION("""COMPUTED_VALUE"""),"蔡知妤")</f>
        <v>蔡知妤</v>
      </c>
      <c r="D3570" s="16" t="str">
        <f>IFERROR(__xludf.DUMMYFUNCTION("""COMPUTED_VALUE"""),"st9*****0.tn@mail.edu.tw")</f>
        <v>st9*****0.tn@mail.edu.tw</v>
      </c>
      <c r="E3570" s="17" t="str">
        <f>IFERROR(__xludf.DUMMYFUNCTION("""COMPUTED_VALUE"""),"臺南市東區崇明國民小學")</f>
        <v>臺南市東區崇明國民小學</v>
      </c>
      <c r="F3570" s="14" t="str">
        <f>IFERROR(__xludf.DUMMYFUNCTION("""COMPUTED_VALUE"""),"六年級")</f>
        <v>六年級</v>
      </c>
      <c r="G3570" s="14" t="str">
        <f>IFERROR(__xludf.DUMMYFUNCTION("""COMPUTED_VALUE"""),"獎狀")</f>
        <v>獎狀</v>
      </c>
      <c r="H3570" s="8"/>
    </row>
    <row r="3571">
      <c r="A3571" s="18"/>
      <c r="B3571" s="14">
        <f>IFERROR(__xludf.DUMMYFUNCTION("""COMPUTED_VALUE"""),420570.0)</f>
        <v>420570</v>
      </c>
      <c r="C3571" s="14" t="str">
        <f>IFERROR(__xludf.DUMMYFUNCTION("""COMPUTED_VALUE"""),"楊涵妤")</f>
        <v>楊涵妤</v>
      </c>
      <c r="D3571" s="16" t="str">
        <f>IFERROR(__xludf.DUMMYFUNCTION("""COMPUTED_VALUE"""),"ron*****1030@yahoo.com.tw")</f>
        <v>ron*****1030@yahoo.com.tw</v>
      </c>
      <c r="E3571" s="17" t="str">
        <f>IFERROR(__xludf.DUMMYFUNCTION("""COMPUTED_VALUE"""),"臺南市東區崇明國民小學")</f>
        <v>臺南市東區崇明國民小學</v>
      </c>
      <c r="F3571" s="14" t="str">
        <f>IFERROR(__xludf.DUMMYFUNCTION("""COMPUTED_VALUE"""),"六年級")</f>
        <v>六年級</v>
      </c>
      <c r="G3571" s="14" t="str">
        <f>IFERROR(__xludf.DUMMYFUNCTION("""COMPUTED_VALUE"""),"獎狀")</f>
        <v>獎狀</v>
      </c>
      <c r="H3571" s="8"/>
    </row>
    <row r="3572">
      <c r="A3572" s="18"/>
      <c r="B3572" s="14">
        <f>IFERROR(__xludf.DUMMYFUNCTION("""COMPUTED_VALUE"""),641136.0)</f>
        <v>641136</v>
      </c>
      <c r="C3572" s="14" t="str">
        <f>IFERROR(__xludf.DUMMYFUNCTION("""COMPUTED_VALUE"""),"張姿儀")</f>
        <v>張姿儀</v>
      </c>
      <c r="D3572" s="16" t="str">
        <f>IFERROR(__xludf.DUMMYFUNCTION("""COMPUTED_VALUE"""),"st9*****0.tn@mail.edu.tw")</f>
        <v>st9*****0.tn@mail.edu.tw</v>
      </c>
      <c r="E3572" s="17" t="str">
        <f>IFERROR(__xludf.DUMMYFUNCTION("""COMPUTED_VALUE"""),"臺南市東區崇明國民小學")</f>
        <v>臺南市東區崇明國民小學</v>
      </c>
      <c r="F3572" s="14" t="str">
        <f>IFERROR(__xludf.DUMMYFUNCTION("""COMPUTED_VALUE"""),"六年級")</f>
        <v>六年級</v>
      </c>
      <c r="G3572" s="14" t="str">
        <f>IFERROR(__xludf.DUMMYFUNCTION("""COMPUTED_VALUE"""),"●小禮物")</f>
        <v>●小禮物</v>
      </c>
      <c r="H3572" s="8"/>
    </row>
    <row r="3573">
      <c r="A3573" s="18"/>
      <c r="B3573" s="14">
        <f>IFERROR(__xludf.DUMMYFUNCTION("""COMPUTED_VALUE"""),210065.0)</f>
        <v>210065</v>
      </c>
      <c r="C3573" s="14" t="str">
        <f>IFERROR(__xludf.DUMMYFUNCTION("""COMPUTED_VALUE"""),"洪子然")</f>
        <v>洪子然</v>
      </c>
      <c r="D3573" s="16" t="str">
        <f>IFERROR(__xludf.DUMMYFUNCTION("""COMPUTED_VALUE"""),"lov*****ehom@yahoo.com.tw")</f>
        <v>lov*****ehom@yahoo.com.tw</v>
      </c>
      <c r="E3573" s="17" t="str">
        <f>IFERROR(__xludf.DUMMYFUNCTION("""COMPUTED_VALUE"""),"臺南市東區崇明國民小學")</f>
        <v>臺南市東區崇明國民小學</v>
      </c>
      <c r="F3573" s="14" t="str">
        <f>IFERROR(__xludf.DUMMYFUNCTION("""COMPUTED_VALUE"""),"六年級")</f>
        <v>六年級</v>
      </c>
      <c r="G3573" s="14" t="str">
        <f>IFERROR(__xludf.DUMMYFUNCTION("""COMPUTED_VALUE"""),"獎狀")</f>
        <v>獎狀</v>
      </c>
      <c r="H3573" s="8"/>
    </row>
    <row r="3574">
      <c r="A3574" s="18"/>
      <c r="B3574" s="14">
        <f>IFERROR(__xludf.DUMMYFUNCTION("""COMPUTED_VALUE"""),1093333.0)</f>
        <v>1093333</v>
      </c>
      <c r="C3574" s="14" t="str">
        <f>IFERROR(__xludf.DUMMYFUNCTION("""COMPUTED_VALUE"""),"林禹妡")</f>
        <v>林禹妡</v>
      </c>
      <c r="D3574" s="16" t="str">
        <f>IFERROR(__xludf.DUMMYFUNCTION("""COMPUTED_VALUE"""),"st1*****8.tn@mail.edu.tw")</f>
        <v>st1*****8.tn@mail.edu.tw</v>
      </c>
      <c r="E3574" s="17" t="str">
        <f>IFERROR(__xludf.DUMMYFUNCTION("""COMPUTED_VALUE"""),"臺南市東區崇明國民小學")</f>
        <v>臺南市東區崇明國民小學</v>
      </c>
      <c r="F3574" s="14" t="str">
        <f>IFERROR(__xludf.DUMMYFUNCTION("""COMPUTED_VALUE"""),"三年級")</f>
        <v>三年級</v>
      </c>
      <c r="G3574" s="14" t="str">
        <f>IFERROR(__xludf.DUMMYFUNCTION("""COMPUTED_VALUE"""),"獎狀")</f>
        <v>獎狀</v>
      </c>
      <c r="H3574" s="8"/>
    </row>
    <row r="3575">
      <c r="A3575" s="18"/>
      <c r="B3575" s="14">
        <f>IFERROR(__xludf.DUMMYFUNCTION("""COMPUTED_VALUE"""),555289.0)</f>
        <v>555289</v>
      </c>
      <c r="C3575" s="14" t="str">
        <f>IFERROR(__xludf.DUMMYFUNCTION("""COMPUTED_VALUE"""),"李姷潔")</f>
        <v>李姷潔</v>
      </c>
      <c r="D3575" s="16" t="str">
        <f>IFERROR(__xludf.DUMMYFUNCTION("""COMPUTED_VALUE"""),"mee*****elin@gmail.com")</f>
        <v>mee*****elin@gmail.com</v>
      </c>
      <c r="E3575" s="17" t="str">
        <f>IFERROR(__xludf.DUMMYFUNCTION("""COMPUTED_VALUE"""),"臺南市東區崇學國民小學")</f>
        <v>臺南市東區崇學國民小學</v>
      </c>
      <c r="F3575" s="14" t="str">
        <f>IFERROR(__xludf.DUMMYFUNCTION("""COMPUTED_VALUE"""),"五年級")</f>
        <v>五年級</v>
      </c>
      <c r="G3575" s="14" t="str">
        <f>IFERROR(__xludf.DUMMYFUNCTION("""COMPUTED_VALUE"""),"●小禮物")</f>
        <v>●小禮物</v>
      </c>
      <c r="H3575" s="8"/>
    </row>
    <row r="3576">
      <c r="A3576" s="18"/>
      <c r="B3576" s="14">
        <f>IFERROR(__xludf.DUMMYFUNCTION("""COMPUTED_VALUE"""),1086331.0)</f>
        <v>1086331</v>
      </c>
      <c r="C3576" s="14" t="str">
        <f>IFERROR(__xludf.DUMMYFUNCTION("""COMPUTED_VALUE"""),"洪嘉澤")</f>
        <v>洪嘉澤</v>
      </c>
      <c r="D3576" s="16" t="str">
        <f>IFERROR(__xludf.DUMMYFUNCTION("""COMPUTED_VALUE"""),"st0*****6.tn@mail.edu.tw")</f>
        <v>st0*****6.tn@mail.edu.tw</v>
      </c>
      <c r="E3576" s="17" t="str">
        <f>IFERROR(__xludf.DUMMYFUNCTION("""COMPUTED_VALUE"""),"臺南市東區崇學國民小學")</f>
        <v>臺南市東區崇學國民小學</v>
      </c>
      <c r="F3576" s="14" t="str">
        <f>IFERROR(__xludf.DUMMYFUNCTION("""COMPUTED_VALUE"""),"五年級")</f>
        <v>五年級</v>
      </c>
      <c r="G3576" s="14" t="str">
        <f>IFERROR(__xludf.DUMMYFUNCTION("""COMPUTED_VALUE"""),"獎狀")</f>
        <v>獎狀</v>
      </c>
      <c r="H3576" s="8"/>
    </row>
    <row r="3577">
      <c r="A3577" s="18"/>
      <c r="B3577" s="14">
        <f>IFERROR(__xludf.DUMMYFUNCTION("""COMPUTED_VALUE"""),658893.0)</f>
        <v>658893</v>
      </c>
      <c r="C3577" s="14" t="str">
        <f>IFERROR(__xludf.DUMMYFUNCTION("""COMPUTED_VALUE"""),"郭鳳玉")</f>
        <v>郭鳳玉</v>
      </c>
      <c r="D3577" s="16" t="str">
        <f>IFERROR(__xludf.DUMMYFUNCTION("""COMPUTED_VALUE"""),"st2*****9@mail.edu.tw")</f>
        <v>st2*****9@mail.edu.tw</v>
      </c>
      <c r="E3577" s="17" t="str">
        <f>IFERROR(__xludf.DUMMYFUNCTION("""COMPUTED_VALUE"""),"臺南市東區崇學國民小學")</f>
        <v>臺南市東區崇學國民小學</v>
      </c>
      <c r="F3577" s="14" t="str">
        <f>IFERROR(__xludf.DUMMYFUNCTION("""COMPUTED_VALUE"""),"五年級")</f>
        <v>五年級</v>
      </c>
      <c r="G3577" s="14" t="str">
        <f>IFERROR(__xludf.DUMMYFUNCTION("""COMPUTED_VALUE"""),"獎狀")</f>
        <v>獎狀</v>
      </c>
      <c r="H3577" s="8"/>
    </row>
    <row r="3578">
      <c r="A3578" s="18"/>
      <c r="B3578" s="14">
        <f>IFERROR(__xludf.DUMMYFUNCTION("""COMPUTED_VALUE"""),523730.0)</f>
        <v>523730</v>
      </c>
      <c r="C3578" s="14" t="str">
        <f>IFERROR(__xludf.DUMMYFUNCTION("""COMPUTED_VALUE"""),"郭崑澤")</f>
        <v>郭崑澤</v>
      </c>
      <c r="D3578" s="16" t="str">
        <f>IFERROR(__xludf.DUMMYFUNCTION("""COMPUTED_VALUE"""),"tig*****066@mail.edu.tw")</f>
        <v>tig*****066@mail.edu.tw</v>
      </c>
      <c r="E3578" s="17" t="str">
        <f>IFERROR(__xludf.DUMMYFUNCTION("""COMPUTED_VALUE"""),"臺南市東區崇學國民小學")</f>
        <v>臺南市東區崇學國民小學</v>
      </c>
      <c r="F3578" s="14" t="str">
        <f>IFERROR(__xludf.DUMMYFUNCTION("""COMPUTED_VALUE"""),"六年級")</f>
        <v>六年級</v>
      </c>
      <c r="G3578" s="14" t="str">
        <f>IFERROR(__xludf.DUMMYFUNCTION("""COMPUTED_VALUE"""),"獎狀")</f>
        <v>獎狀</v>
      </c>
      <c r="H3578" s="8"/>
    </row>
    <row r="3579">
      <c r="A3579" s="18"/>
      <c r="B3579" s="14">
        <f>IFERROR(__xludf.DUMMYFUNCTION("""COMPUTED_VALUE"""),976602.0)</f>
        <v>976602</v>
      </c>
      <c r="C3579" s="14" t="str">
        <f>IFERROR(__xludf.DUMMYFUNCTION("""COMPUTED_VALUE"""),"王浩墬")</f>
        <v>王浩墬</v>
      </c>
      <c r="D3579" s="16" t="str">
        <f>IFERROR(__xludf.DUMMYFUNCTION("""COMPUTED_VALUE"""),"st1*****8@mail.edu.tw")</f>
        <v>st1*****8@mail.edu.tw</v>
      </c>
      <c r="E3579" s="17" t="str">
        <f>IFERROR(__xludf.DUMMYFUNCTION("""COMPUTED_VALUE"""),"臺南市東區博愛國民小學")</f>
        <v>臺南市東區博愛國民小學</v>
      </c>
      <c r="F3579" s="14" t="str">
        <f>IFERROR(__xludf.DUMMYFUNCTION("""COMPUTED_VALUE"""),"三年級")</f>
        <v>三年級</v>
      </c>
      <c r="G3579" s="14" t="str">
        <f>IFERROR(__xludf.DUMMYFUNCTION("""COMPUTED_VALUE"""),"獎狀")</f>
        <v>獎狀</v>
      </c>
      <c r="H3579" s="8"/>
    </row>
    <row r="3580">
      <c r="A3580" s="18"/>
      <c r="B3580" s="14">
        <f>IFERROR(__xludf.DUMMYFUNCTION("""COMPUTED_VALUE"""),1148398.0)</f>
        <v>1148398</v>
      </c>
      <c r="C3580" s="14" t="str">
        <f>IFERROR(__xludf.DUMMYFUNCTION("""COMPUTED_VALUE"""),"李靚柔")</f>
        <v>李靚柔</v>
      </c>
      <c r="D3580" s="16" t="str">
        <f>IFERROR(__xludf.DUMMYFUNCTION("""COMPUTED_VALUE"""),"st0*****8.tn@mail.edu.tw")</f>
        <v>st0*****8.tn@mail.edu.tw</v>
      </c>
      <c r="E3580" s="17" t="str">
        <f>IFERROR(__xludf.DUMMYFUNCTION("""COMPUTED_VALUE"""),"臺南市東區裕文國民小學")</f>
        <v>臺南市東區裕文國民小學</v>
      </c>
      <c r="F3580" s="14" t="str">
        <f>IFERROR(__xludf.DUMMYFUNCTION("""COMPUTED_VALUE"""),"三年級")</f>
        <v>三年級</v>
      </c>
      <c r="G3580" s="14" t="str">
        <f>IFERROR(__xludf.DUMMYFUNCTION("""COMPUTED_VALUE"""),"獎狀")</f>
        <v>獎狀</v>
      </c>
      <c r="H3580" s="8"/>
    </row>
    <row r="3581">
      <c r="A3581" s="18"/>
      <c r="B3581" s="14">
        <f>IFERROR(__xludf.DUMMYFUNCTION("""COMPUTED_VALUE"""),730819.0)</f>
        <v>730819</v>
      </c>
      <c r="C3581" s="14" t="str">
        <f>IFERROR(__xludf.DUMMYFUNCTION("""COMPUTED_VALUE"""),"李晏輔")</f>
        <v>李晏輔</v>
      </c>
      <c r="D3581" s="16" t="str">
        <f>IFERROR(__xludf.DUMMYFUNCTION("""COMPUTED_VALUE"""),"st2*****2.tn@mail.edu.tw")</f>
        <v>st2*****2.tn@mail.edu.tw</v>
      </c>
      <c r="E3581" s="17" t="str">
        <f>IFERROR(__xludf.DUMMYFUNCTION("""COMPUTED_VALUE"""),"臺南市東區裕文國民小學")</f>
        <v>臺南市東區裕文國民小學</v>
      </c>
      <c r="F3581" s="14" t="str">
        <f>IFERROR(__xludf.DUMMYFUNCTION("""COMPUTED_VALUE"""),"五年級")</f>
        <v>五年級</v>
      </c>
      <c r="G3581" s="14" t="str">
        <f>IFERROR(__xludf.DUMMYFUNCTION("""COMPUTED_VALUE"""),"獎狀")</f>
        <v>獎狀</v>
      </c>
      <c r="H3581" s="8"/>
    </row>
    <row r="3582">
      <c r="A3582" s="18"/>
      <c r="B3582" s="14">
        <f>IFERROR(__xludf.DUMMYFUNCTION("""COMPUTED_VALUE"""),781809.0)</f>
        <v>781809</v>
      </c>
      <c r="C3582" s="14" t="str">
        <f>IFERROR(__xludf.DUMMYFUNCTION("""COMPUTED_VALUE"""),"蔡淮宸")</f>
        <v>蔡淮宸</v>
      </c>
      <c r="D3582" s="16" t="str">
        <f>IFERROR(__xludf.DUMMYFUNCTION("""COMPUTED_VALUE"""),"st3*****0.tn@mail.edu.tw")</f>
        <v>st3*****0.tn@mail.edu.tw</v>
      </c>
      <c r="E3582" s="17" t="str">
        <f>IFERROR(__xludf.DUMMYFUNCTION("""COMPUTED_VALUE"""),"臺南市東區裕文國民小學")</f>
        <v>臺南市東區裕文國民小學</v>
      </c>
      <c r="F3582" s="14" t="str">
        <f>IFERROR(__xludf.DUMMYFUNCTION("""COMPUTED_VALUE"""),"六年級")</f>
        <v>六年級</v>
      </c>
      <c r="G3582" s="14" t="str">
        <f>IFERROR(__xludf.DUMMYFUNCTION("""COMPUTED_VALUE"""),"●小禮物")</f>
        <v>●小禮物</v>
      </c>
      <c r="H3582" s="8"/>
    </row>
    <row r="3583">
      <c r="A3583" s="18"/>
      <c r="B3583" s="14">
        <f>IFERROR(__xludf.DUMMYFUNCTION("""COMPUTED_VALUE"""),610629.0)</f>
        <v>610629</v>
      </c>
      <c r="C3583" s="14" t="str">
        <f>IFERROR(__xludf.DUMMYFUNCTION("""COMPUTED_VALUE"""),"林睿承")</f>
        <v>林睿承</v>
      </c>
      <c r="D3583" s="16" t="str">
        <f>IFERROR(__xludf.DUMMYFUNCTION("""COMPUTED_VALUE"""),"st4*****1.tn@mail.edu.tw")</f>
        <v>st4*****1.tn@mail.edu.tw</v>
      </c>
      <c r="E3583" s="17" t="str">
        <f>IFERROR(__xludf.DUMMYFUNCTION("""COMPUTED_VALUE"""),"臺南市東區裕文國民小學")</f>
        <v>臺南市東區裕文國民小學</v>
      </c>
      <c r="F3583" s="14" t="str">
        <f>IFERROR(__xludf.DUMMYFUNCTION("""COMPUTED_VALUE"""),"六年級")</f>
        <v>六年級</v>
      </c>
      <c r="G3583" s="14" t="str">
        <f>IFERROR(__xludf.DUMMYFUNCTION("""COMPUTED_VALUE"""),"獎狀")</f>
        <v>獎狀</v>
      </c>
      <c r="H3583" s="8"/>
    </row>
    <row r="3584">
      <c r="A3584" s="18"/>
      <c r="B3584" s="14">
        <f>IFERROR(__xludf.DUMMYFUNCTION("""COMPUTED_VALUE"""),1088847.0)</f>
        <v>1088847</v>
      </c>
      <c r="C3584" s="14" t="str">
        <f>IFERROR(__xludf.DUMMYFUNCTION("""COMPUTED_VALUE"""),"徐睿妍")</f>
        <v>徐睿妍</v>
      </c>
      <c r="D3584" s="16" t="str">
        <f>IFERROR(__xludf.DUMMYFUNCTION("""COMPUTED_VALUE"""),"rkb*****l.fhjh.tn.edu.tw")</f>
        <v>rkb*****l.fhjh.tn.edu.tw</v>
      </c>
      <c r="E3584" s="17" t="str">
        <f>IFERROR(__xludf.DUMMYFUNCTION("""COMPUTED_VALUE"""),"臺南市東區復興國民小學")</f>
        <v>臺南市東區復興國民小學</v>
      </c>
      <c r="F3584" s="14" t="str">
        <f>IFERROR(__xludf.DUMMYFUNCTION("""COMPUTED_VALUE"""),"三年級")</f>
        <v>三年級</v>
      </c>
      <c r="G3584" s="14" t="str">
        <f>IFERROR(__xludf.DUMMYFUNCTION("""COMPUTED_VALUE"""),"獎狀")</f>
        <v>獎狀</v>
      </c>
      <c r="H3584" s="8"/>
    </row>
    <row r="3585">
      <c r="A3585" s="18"/>
      <c r="B3585" s="14">
        <f>IFERROR(__xludf.DUMMYFUNCTION("""COMPUTED_VALUE"""),1101971.0)</f>
        <v>1101971</v>
      </c>
      <c r="C3585" s="14" t="str">
        <f>IFERROR(__xludf.DUMMYFUNCTION("""COMPUTED_VALUE"""),"陳立軒")</f>
        <v>陳立軒</v>
      </c>
      <c r="D3585" s="16" t="str">
        <f>IFERROR(__xludf.DUMMYFUNCTION("""COMPUTED_VALUE"""),"ivy*****31@gmail.com")</f>
        <v>ivy*****31@gmail.com</v>
      </c>
      <c r="E3585" s="17" t="str">
        <f>IFERROR(__xludf.DUMMYFUNCTION("""COMPUTED_VALUE"""),"臺南市東區復興國民小學")</f>
        <v>臺南市東區復興國民小學</v>
      </c>
      <c r="F3585" s="14" t="str">
        <f>IFERROR(__xludf.DUMMYFUNCTION("""COMPUTED_VALUE"""),"三年級")</f>
        <v>三年級</v>
      </c>
      <c r="G3585" s="14" t="str">
        <f>IFERROR(__xludf.DUMMYFUNCTION("""COMPUTED_VALUE"""),"●小禮物")</f>
        <v>●小禮物</v>
      </c>
      <c r="H3585" s="8"/>
    </row>
    <row r="3586">
      <c r="A3586" s="18"/>
      <c r="B3586" s="14">
        <f>IFERROR(__xludf.DUMMYFUNCTION("""COMPUTED_VALUE"""),1122882.0)</f>
        <v>1122882</v>
      </c>
      <c r="C3586" s="14" t="str">
        <f>IFERROR(__xludf.DUMMYFUNCTION("""COMPUTED_VALUE"""),"李珺巧")</f>
        <v>李珺巧</v>
      </c>
      <c r="D3586" s="16" t="str">
        <f>IFERROR(__xludf.DUMMYFUNCTION("""COMPUTED_VALUE"""),"fh1*****@fhes.tn.edu.tw")</f>
        <v>fh1*****@fhes.tn.edu.tw</v>
      </c>
      <c r="E3586" s="17" t="str">
        <f>IFERROR(__xludf.DUMMYFUNCTION("""COMPUTED_VALUE"""),"臺南市東區復興國民小學")</f>
        <v>臺南市東區復興國民小學</v>
      </c>
      <c r="F3586" s="14" t="str">
        <f>IFERROR(__xludf.DUMMYFUNCTION("""COMPUTED_VALUE"""),"三年級")</f>
        <v>三年級</v>
      </c>
      <c r="G3586" s="14" t="str">
        <f>IFERROR(__xludf.DUMMYFUNCTION("""COMPUTED_VALUE"""),"獎狀")</f>
        <v>獎狀</v>
      </c>
      <c r="H3586" s="8"/>
    </row>
    <row r="3587">
      <c r="A3587" s="18"/>
      <c r="B3587" s="14">
        <f>IFERROR(__xludf.DUMMYFUNCTION("""COMPUTED_VALUE"""),515924.0)</f>
        <v>515924</v>
      </c>
      <c r="C3587" s="14" t="str">
        <f>IFERROR(__xludf.DUMMYFUNCTION("""COMPUTED_VALUE"""),"蔡文馨")</f>
        <v>蔡文馨</v>
      </c>
      <c r="D3587" s="16" t="str">
        <f>IFERROR(__xludf.DUMMYFUNCTION("""COMPUTED_VALUE"""),"st2*****8@mail.edu.tw")</f>
        <v>st2*****8@mail.edu.tw</v>
      </c>
      <c r="E3587" s="17" t="str">
        <f>IFERROR(__xludf.DUMMYFUNCTION("""COMPUTED_VALUE"""),"臺南市南區省躬國民小學")</f>
        <v>臺南市南區省躬國民小學</v>
      </c>
      <c r="F3587" s="14" t="str">
        <f>IFERROR(__xludf.DUMMYFUNCTION("""COMPUTED_VALUE"""),"六年級")</f>
        <v>六年級</v>
      </c>
      <c r="G3587" s="14" t="str">
        <f>IFERROR(__xludf.DUMMYFUNCTION("""COMPUTED_VALUE"""),"●小禮物")</f>
        <v>●小禮物</v>
      </c>
      <c r="H3587" s="8"/>
    </row>
    <row r="3588">
      <c r="A3588" s="18"/>
      <c r="B3588" s="14">
        <f>IFERROR(__xludf.DUMMYFUNCTION("""COMPUTED_VALUE"""),896144.0)</f>
        <v>896144</v>
      </c>
      <c r="C3588" s="14" t="str">
        <f>IFERROR(__xludf.DUMMYFUNCTION("""COMPUTED_VALUE"""),"林可瀚")</f>
        <v>林可瀚</v>
      </c>
      <c r="D3588" s="16" t="str">
        <f>IFERROR(__xludf.DUMMYFUNCTION("""COMPUTED_VALUE"""),"st1*****8.tn@mail.edu.tw")</f>
        <v>st1*****8.tn@mail.edu.tw</v>
      </c>
      <c r="E3588" s="17" t="str">
        <f>IFERROR(__xludf.DUMMYFUNCTION("""COMPUTED_VALUE"""),"臺南市北區大港國民小學")</f>
        <v>臺南市北區大港國民小學</v>
      </c>
      <c r="F3588" s="14" t="str">
        <f>IFERROR(__xludf.DUMMYFUNCTION("""COMPUTED_VALUE"""),"五年級")</f>
        <v>五年級</v>
      </c>
      <c r="G3588" s="14" t="str">
        <f>IFERROR(__xludf.DUMMYFUNCTION("""COMPUTED_VALUE"""),"獎狀")</f>
        <v>獎狀</v>
      </c>
      <c r="H3588" s="8"/>
    </row>
    <row r="3589">
      <c r="A3589" s="18"/>
      <c r="B3589" s="14">
        <f>IFERROR(__xludf.DUMMYFUNCTION("""COMPUTED_VALUE"""),353658.0)</f>
        <v>353658</v>
      </c>
      <c r="C3589" s="14" t="str">
        <f>IFERROR(__xludf.DUMMYFUNCTION("""COMPUTED_VALUE"""),"封俞含")</f>
        <v>封俞含</v>
      </c>
      <c r="D3589" s="16" t="str">
        <f>IFERROR(__xludf.DUMMYFUNCTION("""COMPUTED_VALUE"""),"st1*****9.tn@mail.edu.tw")</f>
        <v>st1*****9.tn@mail.edu.tw</v>
      </c>
      <c r="E3589" s="17" t="str">
        <f>IFERROR(__xludf.DUMMYFUNCTION("""COMPUTED_VALUE"""),"臺南市北區公園國民小學")</f>
        <v>臺南市北區公園國民小學</v>
      </c>
      <c r="F3589" s="14" t="str">
        <f>IFERROR(__xludf.DUMMYFUNCTION("""COMPUTED_VALUE"""),"六年級")</f>
        <v>六年級</v>
      </c>
      <c r="G3589" s="14" t="str">
        <f>IFERROR(__xludf.DUMMYFUNCTION("""COMPUTED_VALUE"""),"獎狀")</f>
        <v>獎狀</v>
      </c>
      <c r="H3589" s="8"/>
    </row>
    <row r="3590">
      <c r="A3590" s="18"/>
      <c r="B3590" s="14">
        <f>IFERROR(__xludf.DUMMYFUNCTION("""COMPUTED_VALUE"""),494821.0)</f>
        <v>494821</v>
      </c>
      <c r="C3590" s="14" t="str">
        <f>IFERROR(__xludf.DUMMYFUNCTION("""COMPUTED_VALUE"""),"蔡鎧謙")</f>
        <v>蔡鎧謙</v>
      </c>
      <c r="D3590" s="16" t="str">
        <f>IFERROR(__xludf.DUMMYFUNCTION("""COMPUTED_VALUE"""),"xnm*****ahoo.com.tw")</f>
        <v>xnm*****ahoo.com.tw</v>
      </c>
      <c r="E3590" s="17" t="str">
        <f>IFERROR(__xludf.DUMMYFUNCTION("""COMPUTED_VALUE"""),"臺南市中西區成功國民小學")</f>
        <v>臺南市中西區成功國民小學</v>
      </c>
      <c r="F3590" s="14" t="str">
        <f>IFERROR(__xludf.DUMMYFUNCTION("""COMPUTED_VALUE"""),"五年級")</f>
        <v>五年級</v>
      </c>
      <c r="G3590" s="14" t="str">
        <f>IFERROR(__xludf.DUMMYFUNCTION("""COMPUTED_VALUE"""),"★禮券$500")</f>
        <v>★禮券$500</v>
      </c>
      <c r="H3590" s="8"/>
    </row>
    <row r="3591">
      <c r="A3591" s="18"/>
      <c r="B3591" s="14">
        <f>IFERROR(__xludf.DUMMYFUNCTION("""COMPUTED_VALUE"""),705850.0)</f>
        <v>705850</v>
      </c>
      <c r="C3591" s="14" t="str">
        <f>IFERROR(__xludf.DUMMYFUNCTION("""COMPUTED_VALUE"""),"王羽晴")</f>
        <v>王羽晴</v>
      </c>
      <c r="D3591" s="16" t="str">
        <f>IFERROR(__xludf.DUMMYFUNCTION("""COMPUTED_VALUE"""),"st1*****0.tn@mail.edu.tw")</f>
        <v>st1*****0.tn@mail.edu.tw</v>
      </c>
      <c r="E3591" s="17" t="str">
        <f>IFERROR(__xludf.DUMMYFUNCTION("""COMPUTED_VALUE"""),"臺南市北區立人國民小學")</f>
        <v>臺南市北區立人國民小學</v>
      </c>
      <c r="F3591" s="14" t="str">
        <f>IFERROR(__xludf.DUMMYFUNCTION("""COMPUTED_VALUE"""),"五年級")</f>
        <v>五年級</v>
      </c>
      <c r="G3591" s="14" t="str">
        <f>IFERROR(__xludf.DUMMYFUNCTION("""COMPUTED_VALUE"""),"★禮券$200")</f>
        <v>★禮券$200</v>
      </c>
      <c r="H3591" s="8"/>
    </row>
    <row r="3592">
      <c r="A3592" s="18"/>
      <c r="B3592" s="14">
        <f>IFERROR(__xludf.DUMMYFUNCTION("""COMPUTED_VALUE"""),472608.0)</f>
        <v>472608</v>
      </c>
      <c r="C3592" s="14" t="str">
        <f>IFERROR(__xludf.DUMMYFUNCTION("""COMPUTED_VALUE"""),"李婉綾")</f>
        <v>李婉綾</v>
      </c>
      <c r="D3592" s="16" t="str">
        <f>IFERROR(__xludf.DUMMYFUNCTION("""COMPUTED_VALUE"""),"ath*****e.lwl@gmail.com")</f>
        <v>ath*****e.lwl@gmail.com</v>
      </c>
      <c r="E3592" s="17" t="str">
        <f>IFERROR(__xludf.DUMMYFUNCTION("""COMPUTED_VALUE"""),"臺南市天主教私立寶仁國民小學")</f>
        <v>臺南市天主教私立寶仁國民小學</v>
      </c>
      <c r="F3592" s="14" t="str">
        <f>IFERROR(__xludf.DUMMYFUNCTION("""COMPUTED_VALUE"""),"四年級")</f>
        <v>四年級</v>
      </c>
      <c r="G3592" s="14" t="str">
        <f>IFERROR(__xludf.DUMMYFUNCTION("""COMPUTED_VALUE"""),"獎狀")</f>
        <v>獎狀</v>
      </c>
      <c r="H3592" s="8"/>
    </row>
    <row r="3593">
      <c r="A3593" s="18"/>
      <c r="B3593" s="14">
        <f>IFERROR(__xludf.DUMMYFUNCTION("""COMPUTED_VALUE"""),1130352.0)</f>
        <v>1130352</v>
      </c>
      <c r="C3593" s="14" t="str">
        <f>IFERROR(__xludf.DUMMYFUNCTION("""COMPUTED_VALUE"""),"龔倢筠")</f>
        <v>龔倢筠</v>
      </c>
      <c r="D3593" s="16" t="str">
        <f>IFERROR(__xludf.DUMMYFUNCTION("""COMPUTED_VALUE"""),"tse*****i74@gmail.com")</f>
        <v>tse*****i74@gmail.com</v>
      </c>
      <c r="E3593" s="17" t="str">
        <f>IFERROR(__xludf.DUMMYFUNCTION("""COMPUTED_VALUE"""),"臺南市北區文元國民小學")</f>
        <v>臺南市北區文元國民小學</v>
      </c>
      <c r="F3593" s="14" t="str">
        <f>IFERROR(__xludf.DUMMYFUNCTION("""COMPUTED_VALUE"""),"五年級")</f>
        <v>五年級</v>
      </c>
      <c r="G3593" s="14" t="str">
        <f>IFERROR(__xludf.DUMMYFUNCTION("""COMPUTED_VALUE"""),"獎狀")</f>
        <v>獎狀</v>
      </c>
      <c r="H3593" s="8"/>
    </row>
    <row r="3594">
      <c r="A3594" s="18"/>
      <c r="B3594" s="14">
        <f>IFERROR(__xludf.DUMMYFUNCTION("""COMPUTED_VALUE"""),1015156.0)</f>
        <v>1015156</v>
      </c>
      <c r="C3594" s="14" t="str">
        <f>IFERROR(__xludf.DUMMYFUNCTION("""COMPUTED_VALUE"""),"顏瑋成")</f>
        <v>顏瑋成</v>
      </c>
      <c r="D3594" s="16" t="str">
        <f>IFERROR(__xludf.DUMMYFUNCTION("""COMPUTED_VALUE"""),"wil*****06005@gmail.com")</f>
        <v>wil*****06005@gmail.com</v>
      </c>
      <c r="E3594" s="17" t="str">
        <f>IFERROR(__xludf.DUMMYFUNCTION("""COMPUTED_VALUE"""),"臺南市北區文元國民小學")</f>
        <v>臺南市北區文元國民小學</v>
      </c>
      <c r="F3594" s="14" t="str">
        <f>IFERROR(__xludf.DUMMYFUNCTION("""COMPUTED_VALUE"""),"六年級")</f>
        <v>六年級</v>
      </c>
      <c r="G3594" s="14" t="str">
        <f>IFERROR(__xludf.DUMMYFUNCTION("""COMPUTED_VALUE"""),"●小禮物")</f>
        <v>●小禮物</v>
      </c>
      <c r="H3594" s="8"/>
    </row>
    <row r="3595">
      <c r="A3595" s="18"/>
      <c r="B3595" s="14">
        <f>IFERROR(__xludf.DUMMYFUNCTION("""COMPUTED_VALUE"""),1103764.0)</f>
        <v>1103764</v>
      </c>
      <c r="C3595" s="14" t="str">
        <f>IFERROR(__xludf.DUMMYFUNCTION("""COMPUTED_VALUE"""),"陳澄")</f>
        <v>陳澄</v>
      </c>
      <c r="D3595" s="16" t="str">
        <f>IFERROR(__xludf.DUMMYFUNCTION("""COMPUTED_VALUE"""),"st0*****0@mail.edu.tw")</f>
        <v>st0*****0@mail.edu.tw</v>
      </c>
      <c r="E3595" s="17" t="str">
        <f>IFERROR(__xludf.DUMMYFUNCTION("""COMPUTED_VALUE"""),"臺南市北區開元國民小學")</f>
        <v>臺南市北區開元國民小學</v>
      </c>
      <c r="F3595" s="14" t="str">
        <f>IFERROR(__xludf.DUMMYFUNCTION("""COMPUTED_VALUE"""),"三年級")</f>
        <v>三年級</v>
      </c>
      <c r="G3595" s="14" t="str">
        <f>IFERROR(__xludf.DUMMYFUNCTION("""COMPUTED_VALUE"""),"●小禮物")</f>
        <v>●小禮物</v>
      </c>
      <c r="H3595" s="8"/>
    </row>
    <row r="3596">
      <c r="A3596" s="18"/>
      <c r="B3596" s="14">
        <f>IFERROR(__xludf.DUMMYFUNCTION("""COMPUTED_VALUE"""),999229.0)</f>
        <v>999229</v>
      </c>
      <c r="C3596" s="14" t="str">
        <f>IFERROR(__xludf.DUMMYFUNCTION("""COMPUTED_VALUE"""),"江亦晴")</f>
        <v>江亦晴</v>
      </c>
      <c r="D3596" s="16" t="str">
        <f>IFERROR(__xludf.DUMMYFUNCTION("""COMPUTED_VALUE"""),"107*****mps.tn.edu.tw")</f>
        <v>107*****mps.tn.edu.tw</v>
      </c>
      <c r="E3596" s="17" t="str">
        <f>IFERROR(__xludf.DUMMYFUNCTION("""COMPUTED_VALUE"""),"臺南市安平區西門國民小學")</f>
        <v>臺南市安平區西門國民小學</v>
      </c>
      <c r="F3596" s="14" t="str">
        <f>IFERROR(__xludf.DUMMYFUNCTION("""COMPUTED_VALUE"""),"五年級")</f>
        <v>五年級</v>
      </c>
      <c r="G3596" s="14" t="str">
        <f>IFERROR(__xludf.DUMMYFUNCTION("""COMPUTED_VALUE"""),"●小禮物")</f>
        <v>●小禮物</v>
      </c>
      <c r="H3596" s="8"/>
    </row>
    <row r="3597">
      <c r="A3597" s="18"/>
      <c r="B3597" s="14">
        <f>IFERROR(__xludf.DUMMYFUNCTION("""COMPUTED_VALUE"""),1000033.0)</f>
        <v>1000033</v>
      </c>
      <c r="C3597" s="14" t="str">
        <f>IFERROR(__xludf.DUMMYFUNCTION("""COMPUTED_VALUE"""),"盧柏辰")</f>
        <v>盧柏辰</v>
      </c>
      <c r="D3597" s="16" t="str">
        <f>IFERROR(__xludf.DUMMYFUNCTION("""COMPUTED_VALUE"""),"107*****mps.tn.edu.tw")</f>
        <v>107*****mps.tn.edu.tw</v>
      </c>
      <c r="E3597" s="17" t="str">
        <f>IFERROR(__xludf.DUMMYFUNCTION("""COMPUTED_VALUE"""),"臺南市安平區西門國民小學")</f>
        <v>臺南市安平區西門國民小學</v>
      </c>
      <c r="F3597" s="14" t="str">
        <f>IFERROR(__xludf.DUMMYFUNCTION("""COMPUTED_VALUE"""),"五年級")</f>
        <v>五年級</v>
      </c>
      <c r="G3597" s="14" t="str">
        <f>IFERROR(__xludf.DUMMYFUNCTION("""COMPUTED_VALUE"""),"●小禮物")</f>
        <v>●小禮物</v>
      </c>
      <c r="H3597" s="8"/>
    </row>
    <row r="3598">
      <c r="A3598" s="18"/>
      <c r="B3598" s="14">
        <f>IFERROR(__xludf.DUMMYFUNCTION("""COMPUTED_VALUE"""),1149261.0)</f>
        <v>1149261</v>
      </c>
      <c r="C3598" s="14" t="str">
        <f>IFERROR(__xludf.DUMMYFUNCTION("""COMPUTED_VALUE"""),"郭呈瑋")</f>
        <v>郭呈瑋</v>
      </c>
      <c r="D3598" s="16" t="str">
        <f>IFERROR(__xludf.DUMMYFUNCTION("""COMPUTED_VALUE"""),"st1*****9.tn@mail.edu.tw")</f>
        <v>st1*****9.tn@mail.edu.tw</v>
      </c>
      <c r="E3598" s="17" t="str">
        <f>IFERROR(__xludf.DUMMYFUNCTION("""COMPUTED_VALUE"""),"臺南市安平區西門國民小學")</f>
        <v>臺南市安平區西門國民小學</v>
      </c>
      <c r="F3598" s="14" t="str">
        <f>IFERROR(__xludf.DUMMYFUNCTION("""COMPUTED_VALUE"""),"六年級")</f>
        <v>六年級</v>
      </c>
      <c r="G3598" s="14" t="str">
        <f>IFERROR(__xludf.DUMMYFUNCTION("""COMPUTED_VALUE"""),"●小禮物")</f>
        <v>●小禮物</v>
      </c>
      <c r="H3598" s="8"/>
    </row>
    <row r="3599">
      <c r="A3599" s="18"/>
      <c r="B3599" s="14">
        <f>IFERROR(__xludf.DUMMYFUNCTION("""COMPUTED_VALUE"""),1012040.0)</f>
        <v>1012040</v>
      </c>
      <c r="C3599" s="14" t="str">
        <f>IFERROR(__xludf.DUMMYFUNCTION("""COMPUTED_VALUE"""),"鄭允晨")</f>
        <v>鄭允晨</v>
      </c>
      <c r="D3599" s="16" t="str">
        <f>IFERROR(__xludf.DUMMYFUNCTION("""COMPUTED_VALUE"""),"106*****mps.tn.edu.tw")</f>
        <v>106*****mps.tn.edu.tw</v>
      </c>
      <c r="E3599" s="17" t="str">
        <f>IFERROR(__xludf.DUMMYFUNCTION("""COMPUTED_VALUE"""),"臺南市安平區西門國民小學")</f>
        <v>臺南市安平區西門國民小學</v>
      </c>
      <c r="F3599" s="14" t="str">
        <f>IFERROR(__xludf.DUMMYFUNCTION("""COMPUTED_VALUE"""),"六年級")</f>
        <v>六年級</v>
      </c>
      <c r="G3599" s="14" t="str">
        <f>IFERROR(__xludf.DUMMYFUNCTION("""COMPUTED_VALUE"""),"●小禮物")</f>
        <v>●小禮物</v>
      </c>
      <c r="H3599" s="8"/>
    </row>
    <row r="3600">
      <c r="A3600" s="18"/>
      <c r="B3600" s="14">
        <f>IFERROR(__xludf.DUMMYFUNCTION("""COMPUTED_VALUE"""),1164619.0)</f>
        <v>1164619</v>
      </c>
      <c r="C3600" s="14" t="str">
        <f>IFERROR(__xludf.DUMMYFUNCTION("""COMPUTED_VALUE"""),"陳彥誌")</f>
        <v>陳彥誌</v>
      </c>
      <c r="D3600" s="16" t="str">
        <f>IFERROR(__xludf.DUMMYFUNCTION("""COMPUTED_VALUE"""),"h10*****hnps.tn.edu.tw")</f>
        <v>h10*****hnps.tn.edu.tw</v>
      </c>
      <c r="E3600" s="17" t="str">
        <f>IFERROR(__xludf.DUMMYFUNCTION("""COMPUTED_VALUE"""),"臺南市安平區新南國民小學")</f>
        <v>臺南市安平區新南國民小學</v>
      </c>
      <c r="F3600" s="14" t="str">
        <f>IFERROR(__xludf.DUMMYFUNCTION("""COMPUTED_VALUE"""),"四年級")</f>
        <v>四年級</v>
      </c>
      <c r="G3600" s="14" t="str">
        <f>IFERROR(__xludf.DUMMYFUNCTION("""COMPUTED_VALUE"""),"●小禮物")</f>
        <v>●小禮物</v>
      </c>
      <c r="H3600" s="8"/>
    </row>
    <row r="3601">
      <c r="A3601" s="18"/>
      <c r="B3601" s="14">
        <f>IFERROR(__xludf.DUMMYFUNCTION("""COMPUTED_VALUE"""),976652.0)</f>
        <v>976652</v>
      </c>
      <c r="C3601" s="14" t="str">
        <f>IFERROR(__xludf.DUMMYFUNCTION("""COMPUTED_VALUE"""),"劉妍希")</f>
        <v>劉妍希</v>
      </c>
      <c r="D3601" s="16" t="str">
        <f>IFERROR(__xludf.DUMMYFUNCTION("""COMPUTED_VALUE"""),"h10*****hnps.tn.edu.tw")</f>
        <v>h10*****hnps.tn.edu.tw</v>
      </c>
      <c r="E3601" s="17" t="str">
        <f>IFERROR(__xludf.DUMMYFUNCTION("""COMPUTED_VALUE"""),"臺南市安平區新南國民小學")</f>
        <v>臺南市安平區新南國民小學</v>
      </c>
      <c r="F3601" s="14" t="str">
        <f>IFERROR(__xludf.DUMMYFUNCTION("""COMPUTED_VALUE"""),"五年級")</f>
        <v>五年級</v>
      </c>
      <c r="G3601" s="14" t="str">
        <f>IFERROR(__xludf.DUMMYFUNCTION("""COMPUTED_VALUE"""),"獎狀")</f>
        <v>獎狀</v>
      </c>
      <c r="H3601" s="8"/>
    </row>
    <row r="3602">
      <c r="A3602" s="18"/>
      <c r="B3602" s="14">
        <f>IFERROR(__xludf.DUMMYFUNCTION("""COMPUTED_VALUE"""),926185.0)</f>
        <v>926185</v>
      </c>
      <c r="C3602" s="14" t="str">
        <f>IFERROR(__xludf.DUMMYFUNCTION("""COMPUTED_VALUE"""),"陳國槃")</f>
        <v>陳國槃</v>
      </c>
      <c r="D3602" s="16" t="str">
        <f>IFERROR(__xludf.DUMMYFUNCTION("""COMPUTED_VALUE"""),"guo*****en0605@gmail.com")</f>
        <v>guo*****en0605@gmail.com</v>
      </c>
      <c r="E3602" s="17" t="str">
        <f>IFERROR(__xludf.DUMMYFUNCTION("""COMPUTED_VALUE"""),"慈濟學校財團法人臺南市私立慈濟高級中學附設國民小學")</f>
        <v>慈濟學校財團法人臺南市私立慈濟高級中學附設國民小學</v>
      </c>
      <c r="F3602" s="14" t="str">
        <f>IFERROR(__xludf.DUMMYFUNCTION("""COMPUTED_VALUE"""),"五年級")</f>
        <v>五年級</v>
      </c>
      <c r="G3602" s="14" t="str">
        <f>IFERROR(__xludf.DUMMYFUNCTION("""COMPUTED_VALUE"""),"獎狀")</f>
        <v>獎狀</v>
      </c>
      <c r="H3602" s="8"/>
    </row>
    <row r="3603">
      <c r="A3603" s="18"/>
      <c r="B3603" s="14">
        <f>IFERROR(__xludf.DUMMYFUNCTION("""COMPUTED_VALUE"""),589270.0)</f>
        <v>589270</v>
      </c>
      <c r="C3603" s="14" t="str">
        <f>IFERROR(__xludf.DUMMYFUNCTION("""COMPUTED_VALUE"""),"陳聆勛")</f>
        <v>陳聆勛</v>
      </c>
      <c r="D3603" s="16" t="str">
        <f>IFERROR(__xludf.DUMMYFUNCTION("""COMPUTED_VALUE"""),"joy*****mail.com")</f>
        <v>joy*****mail.com</v>
      </c>
      <c r="E3603" s="17" t="str">
        <f>IFERROR(__xludf.DUMMYFUNCTION("""COMPUTED_VALUE"""),"臺南市安平區億載國民小學")</f>
        <v>臺南市安平區億載國民小學</v>
      </c>
      <c r="F3603" s="14" t="str">
        <f>IFERROR(__xludf.DUMMYFUNCTION("""COMPUTED_VALUE"""),"五年級")</f>
        <v>五年級</v>
      </c>
      <c r="G3603" s="14" t="str">
        <f>IFERROR(__xludf.DUMMYFUNCTION("""COMPUTED_VALUE"""),"獎狀")</f>
        <v>獎狀</v>
      </c>
      <c r="H3603" s="8"/>
    </row>
    <row r="3604">
      <c r="A3604" s="18"/>
      <c r="B3604" s="14">
        <f>IFERROR(__xludf.DUMMYFUNCTION("""COMPUTED_VALUE"""),1127219.0)</f>
        <v>1127219</v>
      </c>
      <c r="C3604" s="14" t="str">
        <f>IFERROR(__xludf.DUMMYFUNCTION("""COMPUTED_VALUE"""),"顏鈺臻")</f>
        <v>顏鈺臻</v>
      </c>
      <c r="D3604" s="16" t="str">
        <f>IFERROR(__xludf.DUMMYFUNCTION("""COMPUTED_VALUE"""),"nat*****01@gmail.com")</f>
        <v>nat*****01@gmail.com</v>
      </c>
      <c r="E3604" s="17" t="str">
        <f>IFERROR(__xludf.DUMMYFUNCTION("""COMPUTED_VALUE"""),"臺南市安平區億載國民小學")</f>
        <v>臺南市安平區億載國民小學</v>
      </c>
      <c r="F3604" s="14" t="str">
        <f>IFERROR(__xludf.DUMMYFUNCTION("""COMPUTED_VALUE"""),"五年級")</f>
        <v>五年級</v>
      </c>
      <c r="G3604" s="14" t="str">
        <f>IFERROR(__xludf.DUMMYFUNCTION("""COMPUTED_VALUE"""),"獎狀")</f>
        <v>獎狀</v>
      </c>
      <c r="H3604" s="8"/>
    </row>
    <row r="3605">
      <c r="A3605" s="18"/>
      <c r="B3605" s="14">
        <f>IFERROR(__xludf.DUMMYFUNCTION("""COMPUTED_VALUE"""),1126422.0)</f>
        <v>1126422</v>
      </c>
      <c r="C3605" s="14" t="str">
        <f>IFERROR(__xludf.DUMMYFUNCTION("""COMPUTED_VALUE"""),"許宗育")</f>
        <v>許宗育</v>
      </c>
      <c r="D3605" s="16" t="str">
        <f>IFERROR(__xludf.DUMMYFUNCTION("""COMPUTED_VALUE"""),"st0*****0.tn@mail.edu.tw")</f>
        <v>st0*****0.tn@mail.edu.tw</v>
      </c>
      <c r="E3605" s="17" t="str">
        <f>IFERROR(__xludf.DUMMYFUNCTION("""COMPUTED_VALUE"""),"臺南市安平區億載國民小學")</f>
        <v>臺南市安平區億載國民小學</v>
      </c>
      <c r="F3605" s="14" t="str">
        <f>IFERROR(__xludf.DUMMYFUNCTION("""COMPUTED_VALUE"""),"六年級")</f>
        <v>六年級</v>
      </c>
      <c r="G3605" s="14" t="str">
        <f>IFERROR(__xludf.DUMMYFUNCTION("""COMPUTED_VALUE"""),"獎狀")</f>
        <v>獎狀</v>
      </c>
      <c r="H3605" s="8"/>
    </row>
    <row r="3606">
      <c r="A3606" s="18"/>
      <c r="B3606" s="14">
        <f>IFERROR(__xludf.DUMMYFUNCTION("""COMPUTED_VALUE"""),1145107.0)</f>
        <v>1145107</v>
      </c>
      <c r="C3606" s="14" t="str">
        <f>IFERROR(__xludf.DUMMYFUNCTION("""COMPUTED_VALUE"""),"鄭芸依")</f>
        <v>鄭芸依</v>
      </c>
      <c r="D3606" s="16" t="str">
        <f>IFERROR(__xludf.DUMMYFUNCTION("""COMPUTED_VALUE"""),"yun*****i@gmail.com")</f>
        <v>yun*****i@gmail.com</v>
      </c>
      <c r="E3606" s="17" t="str">
        <f>IFERROR(__xludf.DUMMYFUNCTION("""COMPUTED_VALUE"""),"臺南市安平區億載國民小學")</f>
        <v>臺南市安平區億載國民小學</v>
      </c>
      <c r="F3606" s="14" t="str">
        <f>IFERROR(__xludf.DUMMYFUNCTION("""COMPUTED_VALUE"""),"六年級")</f>
        <v>六年級</v>
      </c>
      <c r="G3606" s="14" t="str">
        <f>IFERROR(__xludf.DUMMYFUNCTION("""COMPUTED_VALUE"""),"●小禮物")</f>
        <v>●小禮物</v>
      </c>
      <c r="H3606" s="8"/>
    </row>
    <row r="3607">
      <c r="A3607" s="18"/>
      <c r="B3607" s="14">
        <f>IFERROR(__xludf.DUMMYFUNCTION("""COMPUTED_VALUE"""),652873.0)</f>
        <v>652873</v>
      </c>
      <c r="C3607" s="14" t="str">
        <f>IFERROR(__xludf.DUMMYFUNCTION("""COMPUTED_VALUE"""),"徐羿媗")</f>
        <v>徐羿媗</v>
      </c>
      <c r="D3607" s="16" t="str">
        <f>IFERROR(__xludf.DUMMYFUNCTION("""COMPUTED_VALUE"""),"st2*****2.tn@mail.edu.tw")</f>
        <v>st2*****2.tn@mail.edu.tw</v>
      </c>
      <c r="E3607" s="17" t="str">
        <f>IFERROR(__xludf.DUMMYFUNCTION("""COMPUTED_VALUE"""),"臺南市安南區安慶國民小學")</f>
        <v>臺南市安南區安慶國民小學</v>
      </c>
      <c r="F3607" s="14" t="str">
        <f>IFERROR(__xludf.DUMMYFUNCTION("""COMPUTED_VALUE"""),"六年級")</f>
        <v>六年級</v>
      </c>
      <c r="G3607" s="14" t="str">
        <f>IFERROR(__xludf.DUMMYFUNCTION("""COMPUTED_VALUE"""),"●小禮物")</f>
        <v>●小禮物</v>
      </c>
      <c r="H3607" s="8"/>
    </row>
    <row r="3608">
      <c r="A3608" s="18"/>
      <c r="B3608" s="14">
        <f>IFERROR(__xludf.DUMMYFUNCTION("""COMPUTED_VALUE"""),749297.0)</f>
        <v>749297</v>
      </c>
      <c r="C3608" s="14" t="str">
        <f>IFERROR(__xludf.DUMMYFUNCTION("""COMPUTED_VALUE"""),"楊皓均")</f>
        <v>楊皓均</v>
      </c>
      <c r="D3608" s="16" t="str">
        <f>IFERROR(__xludf.DUMMYFUNCTION("""COMPUTED_VALUE"""),"st3*****8.tn@mail.edu.tw")</f>
        <v>st3*****8.tn@mail.edu.tw</v>
      </c>
      <c r="E3608" s="17" t="str">
        <f>IFERROR(__xludf.DUMMYFUNCTION("""COMPUTED_VALUE"""),"臺南市安南區海東國民小學")</f>
        <v>臺南市安南區海東國民小學</v>
      </c>
      <c r="F3608" s="14" t="str">
        <f>IFERROR(__xludf.DUMMYFUNCTION("""COMPUTED_VALUE"""),"四年級")</f>
        <v>四年級</v>
      </c>
      <c r="G3608" s="14" t="str">
        <f>IFERROR(__xludf.DUMMYFUNCTION("""COMPUTED_VALUE"""),"獎狀")</f>
        <v>獎狀</v>
      </c>
      <c r="H3608" s="8"/>
    </row>
    <row r="3609">
      <c r="A3609" s="18"/>
      <c r="B3609" s="14">
        <f>IFERROR(__xludf.DUMMYFUNCTION("""COMPUTED_VALUE"""),745704.0)</f>
        <v>745704</v>
      </c>
      <c r="C3609" s="14" t="str">
        <f>IFERROR(__xludf.DUMMYFUNCTION("""COMPUTED_VALUE"""),"凃家畯")</f>
        <v>凃家畯</v>
      </c>
      <c r="D3609" s="16" t="str">
        <f>IFERROR(__xludf.DUMMYFUNCTION("""COMPUTED_VALUE"""),"vel*****yahoo.com.tw")</f>
        <v>vel*****yahoo.com.tw</v>
      </c>
      <c r="E3609" s="17" t="str">
        <f>IFERROR(__xludf.DUMMYFUNCTION("""COMPUTED_VALUE"""),"臺南市安南區海東國民小學")</f>
        <v>臺南市安南區海東國民小學</v>
      </c>
      <c r="F3609" s="14" t="str">
        <f>IFERROR(__xludf.DUMMYFUNCTION("""COMPUTED_VALUE"""),"六年級")</f>
        <v>六年級</v>
      </c>
      <c r="G3609" s="14" t="str">
        <f>IFERROR(__xludf.DUMMYFUNCTION("""COMPUTED_VALUE"""),"●小禮物")</f>
        <v>●小禮物</v>
      </c>
      <c r="H3609" s="8"/>
    </row>
    <row r="3610">
      <c r="A3610" s="18"/>
      <c r="B3610" s="14">
        <f>IFERROR(__xludf.DUMMYFUNCTION("""COMPUTED_VALUE"""),939345.0)</f>
        <v>939345</v>
      </c>
      <c r="C3610" s="14" t="str">
        <f>IFERROR(__xludf.DUMMYFUNCTION("""COMPUTED_VALUE"""),"陳建元")</f>
        <v>陳建元</v>
      </c>
      <c r="D3610" s="16" t="str">
        <f>IFERROR(__xludf.DUMMYFUNCTION("""COMPUTED_VALUE"""),"st-*****utlook.com")</f>
        <v>st-*****utlook.com</v>
      </c>
      <c r="E3610" s="17" t="str">
        <f>IFERROR(__xludf.DUMMYFUNCTION("""COMPUTED_VALUE"""),"臺南市安南區海東國民小學")</f>
        <v>臺南市安南區海東國民小學</v>
      </c>
      <c r="F3610" s="14" t="str">
        <f>IFERROR(__xludf.DUMMYFUNCTION("""COMPUTED_VALUE"""),"六年級")</f>
        <v>六年級</v>
      </c>
      <c r="G3610" s="14" t="str">
        <f>IFERROR(__xludf.DUMMYFUNCTION("""COMPUTED_VALUE"""),"●小禮物")</f>
        <v>●小禮物</v>
      </c>
      <c r="H3610" s="8"/>
    </row>
    <row r="3611">
      <c r="A3611" s="18"/>
      <c r="B3611" s="14">
        <f>IFERROR(__xludf.DUMMYFUNCTION("""COMPUTED_VALUE"""),878477.0)</f>
        <v>878477</v>
      </c>
      <c r="C3611" s="14" t="str">
        <f>IFERROR(__xludf.DUMMYFUNCTION("""COMPUTED_VALUE"""),"杜依璇")</f>
        <v>杜依璇</v>
      </c>
      <c r="D3611" s="16" t="str">
        <f>IFERROR(__xludf.DUMMYFUNCTION("""COMPUTED_VALUE"""),"st3*****3.tn@mail.edu.tw")</f>
        <v>st3*****3.tn@mail.edu.tw</v>
      </c>
      <c r="E3611" s="17" t="str">
        <f>IFERROR(__xludf.DUMMYFUNCTION("""COMPUTED_VALUE"""),"臺南市安南區安順國民小學")</f>
        <v>臺南市安南區安順國民小學</v>
      </c>
      <c r="F3611" s="14" t="str">
        <f>IFERROR(__xludf.DUMMYFUNCTION("""COMPUTED_VALUE"""),"四年級")</f>
        <v>四年級</v>
      </c>
      <c r="G3611" s="14" t="str">
        <f>IFERROR(__xludf.DUMMYFUNCTION("""COMPUTED_VALUE"""),"●小禮物")</f>
        <v>●小禮物</v>
      </c>
      <c r="H3611" s="8"/>
    </row>
    <row r="3612">
      <c r="A3612" s="18"/>
      <c r="B3612" s="14">
        <f>IFERROR(__xludf.DUMMYFUNCTION("""COMPUTED_VALUE"""),883917.0)</f>
        <v>883917</v>
      </c>
      <c r="C3612" s="14" t="str">
        <f>IFERROR(__xludf.DUMMYFUNCTION("""COMPUTED_VALUE"""),"吳玥蓉")</f>
        <v>吳玥蓉</v>
      </c>
      <c r="D3612" s="16" t="str">
        <f>IFERROR(__xludf.DUMMYFUNCTION("""COMPUTED_VALUE"""),"st3*****6.tn@mail.edu.tw")</f>
        <v>st3*****6.tn@mail.edu.tw</v>
      </c>
      <c r="E3612" s="17" t="str">
        <f>IFERROR(__xludf.DUMMYFUNCTION("""COMPUTED_VALUE"""),"臺南市安南區安順國民小學")</f>
        <v>臺南市安南區安順國民小學</v>
      </c>
      <c r="F3612" s="14" t="str">
        <f>IFERROR(__xludf.DUMMYFUNCTION("""COMPUTED_VALUE"""),"四年級")</f>
        <v>四年級</v>
      </c>
      <c r="G3612" s="14" t="str">
        <f>IFERROR(__xludf.DUMMYFUNCTION("""COMPUTED_VALUE"""),"★禮券$500")</f>
        <v>★禮券$500</v>
      </c>
      <c r="H3612" s="8"/>
    </row>
    <row r="3613">
      <c r="A3613" s="18"/>
      <c r="B3613" s="14">
        <f>IFERROR(__xludf.DUMMYFUNCTION("""COMPUTED_VALUE"""),878548.0)</f>
        <v>878548</v>
      </c>
      <c r="C3613" s="14" t="str">
        <f>IFERROR(__xludf.DUMMYFUNCTION("""COMPUTED_VALUE"""),"李佳穎")</f>
        <v>李佳穎</v>
      </c>
      <c r="D3613" s="16" t="str">
        <f>IFERROR(__xludf.DUMMYFUNCTION("""COMPUTED_VALUE"""),"st3*****6.tn@mail.edu.tw")</f>
        <v>st3*****6.tn@mail.edu.tw</v>
      </c>
      <c r="E3613" s="17" t="str">
        <f>IFERROR(__xludf.DUMMYFUNCTION("""COMPUTED_VALUE"""),"臺南市安南區安順國民小學")</f>
        <v>臺南市安南區安順國民小學</v>
      </c>
      <c r="F3613" s="14" t="str">
        <f>IFERROR(__xludf.DUMMYFUNCTION("""COMPUTED_VALUE"""),"四年級")</f>
        <v>四年級</v>
      </c>
      <c r="G3613" s="14" t="str">
        <f>IFERROR(__xludf.DUMMYFUNCTION("""COMPUTED_VALUE"""),"獎狀")</f>
        <v>獎狀</v>
      </c>
      <c r="H3613" s="8"/>
    </row>
    <row r="3614">
      <c r="A3614" s="18"/>
      <c r="B3614" s="14">
        <f>IFERROR(__xludf.DUMMYFUNCTION("""COMPUTED_VALUE"""),586694.0)</f>
        <v>586694</v>
      </c>
      <c r="C3614" s="14" t="str">
        <f>IFERROR(__xludf.DUMMYFUNCTION("""COMPUTED_VALUE"""),"吳澄育")</f>
        <v>吳澄育</v>
      </c>
      <c r="D3614" s="16" t="str">
        <f>IFERROR(__xludf.DUMMYFUNCTION("""COMPUTED_VALUE"""),"st3*****7.tn@mail.edu.tw")</f>
        <v>st3*****7.tn@mail.edu.tw</v>
      </c>
      <c r="E3614" s="17" t="str">
        <f>IFERROR(__xludf.DUMMYFUNCTION("""COMPUTED_VALUE"""),"臺南市安南區安順國民小學")</f>
        <v>臺南市安南區安順國民小學</v>
      </c>
      <c r="F3614" s="14" t="str">
        <f>IFERROR(__xludf.DUMMYFUNCTION("""COMPUTED_VALUE"""),"六年級")</f>
        <v>六年級</v>
      </c>
      <c r="G3614" s="14" t="str">
        <f>IFERROR(__xludf.DUMMYFUNCTION("""COMPUTED_VALUE"""),"●小禮物")</f>
        <v>●小禮物</v>
      </c>
      <c r="H3614" s="8"/>
    </row>
    <row r="3615">
      <c r="A3615" s="18"/>
      <c r="B3615" s="14">
        <f>IFERROR(__xludf.DUMMYFUNCTION("""COMPUTED_VALUE"""),515885.0)</f>
        <v>515885</v>
      </c>
      <c r="C3615" s="14" t="str">
        <f>IFERROR(__xludf.DUMMYFUNCTION("""COMPUTED_VALUE"""),"施云絡")</f>
        <v>施云絡</v>
      </c>
      <c r="D3615" s="16" t="str">
        <f>IFERROR(__xludf.DUMMYFUNCTION("""COMPUTED_VALUE"""),"st3*****1.tn@mail.edu.tw")</f>
        <v>st3*****1.tn@mail.edu.tw</v>
      </c>
      <c r="E3615" s="17" t="str">
        <f>IFERROR(__xludf.DUMMYFUNCTION("""COMPUTED_VALUE"""),"臺南市安南區安順國民小學")</f>
        <v>臺南市安南區安順國民小學</v>
      </c>
      <c r="F3615" s="14" t="str">
        <f>IFERROR(__xludf.DUMMYFUNCTION("""COMPUTED_VALUE"""),"六年級")</f>
        <v>六年級</v>
      </c>
      <c r="G3615" s="14" t="str">
        <f>IFERROR(__xludf.DUMMYFUNCTION("""COMPUTED_VALUE"""),"獎狀")</f>
        <v>獎狀</v>
      </c>
      <c r="H3615" s="8"/>
    </row>
    <row r="3616">
      <c r="A3616" s="18"/>
      <c r="B3616" s="14">
        <f>IFERROR(__xludf.DUMMYFUNCTION("""COMPUTED_VALUE"""),1197697.0)</f>
        <v>1197697</v>
      </c>
      <c r="C3616" s="14" t="str">
        <f>IFERROR(__xludf.DUMMYFUNCTION("""COMPUTED_VALUE"""),"方愃喬")</f>
        <v>方愃喬</v>
      </c>
      <c r="D3616" s="16" t="str">
        <f>IFERROR(__xludf.DUMMYFUNCTION("""COMPUTED_VALUE"""),"st3*****0.tn@mail.edu.tw")</f>
        <v>st3*****0.tn@mail.edu.tw</v>
      </c>
      <c r="E3616" s="17" t="str">
        <f>IFERROR(__xludf.DUMMYFUNCTION("""COMPUTED_VALUE"""),"臺南市安南區安順國民小學")</f>
        <v>臺南市安南區安順國民小學</v>
      </c>
      <c r="F3616" s="14" t="str">
        <f>IFERROR(__xludf.DUMMYFUNCTION("""COMPUTED_VALUE"""),"六年級")</f>
        <v>六年級</v>
      </c>
      <c r="G3616" s="14" t="str">
        <f>IFERROR(__xludf.DUMMYFUNCTION("""COMPUTED_VALUE"""),"●小禮物")</f>
        <v>●小禮物</v>
      </c>
      <c r="H3616" s="8"/>
    </row>
    <row r="3617">
      <c r="A3617" s="18"/>
      <c r="B3617" s="14">
        <f>IFERROR(__xludf.DUMMYFUNCTION("""COMPUTED_VALUE"""),1197681.0)</f>
        <v>1197681</v>
      </c>
      <c r="C3617" s="14" t="str">
        <f>IFERROR(__xludf.DUMMYFUNCTION("""COMPUTED_VALUE"""),"王柔云")</f>
        <v>王柔云</v>
      </c>
      <c r="D3617" s="16" t="str">
        <f>IFERROR(__xludf.DUMMYFUNCTION("""COMPUTED_VALUE"""),"st3*****6.tn@mail.edu.tw")</f>
        <v>st3*****6.tn@mail.edu.tw</v>
      </c>
      <c r="E3617" s="17" t="str">
        <f>IFERROR(__xludf.DUMMYFUNCTION("""COMPUTED_VALUE"""),"臺南市安南區安順國民小學")</f>
        <v>臺南市安南區安順國民小學</v>
      </c>
      <c r="F3617" s="14" t="str">
        <f>IFERROR(__xludf.DUMMYFUNCTION("""COMPUTED_VALUE"""),"六年級")</f>
        <v>六年級</v>
      </c>
      <c r="G3617" s="14" t="str">
        <f>IFERROR(__xludf.DUMMYFUNCTION("""COMPUTED_VALUE"""),"●小禮物")</f>
        <v>●小禮物</v>
      </c>
      <c r="H3617" s="8"/>
    </row>
    <row r="3618">
      <c r="A3618" s="18"/>
      <c r="B3618" s="14">
        <f>IFERROR(__xludf.DUMMYFUNCTION("""COMPUTED_VALUE"""),1199591.0)</f>
        <v>1199591</v>
      </c>
      <c r="C3618" s="14" t="str">
        <f>IFERROR(__xludf.DUMMYFUNCTION("""COMPUTED_VALUE"""),"王宸濬")</f>
        <v>王宸濬</v>
      </c>
      <c r="D3618" s="16" t="str">
        <f>IFERROR(__xludf.DUMMYFUNCTION("""COMPUTED_VALUE"""),"st3*****7.tn@mail.edu.tw")</f>
        <v>st3*****7.tn@mail.edu.tw</v>
      </c>
      <c r="E3618" s="17" t="str">
        <f>IFERROR(__xludf.DUMMYFUNCTION("""COMPUTED_VALUE"""),"臺南市安南區安順國民小學")</f>
        <v>臺南市安南區安順國民小學</v>
      </c>
      <c r="F3618" s="14" t="str">
        <f>IFERROR(__xludf.DUMMYFUNCTION("""COMPUTED_VALUE"""),"六年級")</f>
        <v>六年級</v>
      </c>
      <c r="G3618" s="14" t="str">
        <f>IFERROR(__xludf.DUMMYFUNCTION("""COMPUTED_VALUE"""),"●小禮物")</f>
        <v>●小禮物</v>
      </c>
      <c r="H3618" s="8"/>
    </row>
    <row r="3619">
      <c r="A3619" s="18"/>
      <c r="B3619" s="14">
        <f>IFERROR(__xludf.DUMMYFUNCTION("""COMPUTED_VALUE"""),1197703.0)</f>
        <v>1197703</v>
      </c>
      <c r="C3619" s="14" t="str">
        <f>IFERROR(__xludf.DUMMYFUNCTION("""COMPUTED_VALUE"""),"林千瑜")</f>
        <v>林千瑜</v>
      </c>
      <c r="D3619" s="16" t="str">
        <f>IFERROR(__xludf.DUMMYFUNCTION("""COMPUTED_VALUE"""),"st3*****2.tn@mail.edu.tw")</f>
        <v>st3*****2.tn@mail.edu.tw</v>
      </c>
      <c r="E3619" s="17" t="str">
        <f>IFERROR(__xludf.DUMMYFUNCTION("""COMPUTED_VALUE"""),"臺南市安南區安順國民小學")</f>
        <v>臺南市安南區安順國民小學</v>
      </c>
      <c r="F3619" s="14" t="str">
        <f>IFERROR(__xludf.DUMMYFUNCTION("""COMPUTED_VALUE"""),"六年級")</f>
        <v>六年級</v>
      </c>
      <c r="G3619" s="14" t="str">
        <f>IFERROR(__xludf.DUMMYFUNCTION("""COMPUTED_VALUE"""),"●小禮物")</f>
        <v>●小禮物</v>
      </c>
      <c r="H3619" s="8"/>
    </row>
    <row r="3620">
      <c r="A3620" s="18"/>
      <c r="B3620" s="14">
        <f>IFERROR(__xludf.DUMMYFUNCTION("""COMPUTED_VALUE"""),1197682.0)</f>
        <v>1197682</v>
      </c>
      <c r="C3620" s="14" t="str">
        <f>IFERROR(__xludf.DUMMYFUNCTION("""COMPUTED_VALUE"""),"翁建璋")</f>
        <v>翁建璋</v>
      </c>
      <c r="D3620" s="16" t="str">
        <f>IFERROR(__xludf.DUMMYFUNCTION("""COMPUTED_VALUE"""),"st3*****0.tn@mail.edu.tw")</f>
        <v>st3*****0.tn@mail.edu.tw</v>
      </c>
      <c r="E3620" s="17" t="str">
        <f>IFERROR(__xludf.DUMMYFUNCTION("""COMPUTED_VALUE"""),"臺南市安南區安順國民小學")</f>
        <v>臺南市安南區安順國民小學</v>
      </c>
      <c r="F3620" s="14" t="str">
        <f>IFERROR(__xludf.DUMMYFUNCTION("""COMPUTED_VALUE"""),"六年級")</f>
        <v>六年級</v>
      </c>
      <c r="G3620" s="14" t="str">
        <f>IFERROR(__xludf.DUMMYFUNCTION("""COMPUTED_VALUE"""),"●小禮物")</f>
        <v>●小禮物</v>
      </c>
      <c r="H3620" s="8"/>
    </row>
    <row r="3621">
      <c r="A3621" s="18"/>
      <c r="B3621" s="14">
        <f>IFERROR(__xludf.DUMMYFUNCTION("""COMPUTED_VALUE"""),1197698.0)</f>
        <v>1197698</v>
      </c>
      <c r="C3621" s="14" t="str">
        <f>IFERROR(__xludf.DUMMYFUNCTION("""COMPUTED_VALUE"""),"黃芳潔")</f>
        <v>黃芳潔</v>
      </c>
      <c r="D3621" s="16" t="str">
        <f>IFERROR(__xludf.DUMMYFUNCTION("""COMPUTED_VALUE"""),"st3*****5.tn@mail.edu.tw")</f>
        <v>st3*****5.tn@mail.edu.tw</v>
      </c>
      <c r="E3621" s="17" t="str">
        <f>IFERROR(__xludf.DUMMYFUNCTION("""COMPUTED_VALUE"""),"臺南市安南區安順國民小學")</f>
        <v>臺南市安南區安順國民小學</v>
      </c>
      <c r="F3621" s="14" t="str">
        <f>IFERROR(__xludf.DUMMYFUNCTION("""COMPUTED_VALUE"""),"六年級")</f>
        <v>六年級</v>
      </c>
      <c r="G3621" s="14" t="str">
        <f>IFERROR(__xludf.DUMMYFUNCTION("""COMPUTED_VALUE"""),"●小禮物")</f>
        <v>●小禮物</v>
      </c>
      <c r="H3621" s="8"/>
    </row>
    <row r="3622">
      <c r="A3622" s="18"/>
      <c r="B3622" s="14">
        <f>IFERROR(__xludf.DUMMYFUNCTION("""COMPUTED_VALUE"""),597312.0)</f>
        <v>597312</v>
      </c>
      <c r="C3622" s="14" t="str">
        <f>IFERROR(__xludf.DUMMYFUNCTION("""COMPUTED_VALUE"""),"楊竣椉")</f>
        <v>楊竣椉</v>
      </c>
      <c r="D3622" s="16" t="str">
        <f>IFERROR(__xludf.DUMMYFUNCTION("""COMPUTED_VALUE"""),"st3*****6.tn@mail.edu.tw")</f>
        <v>st3*****6.tn@mail.edu.tw</v>
      </c>
      <c r="E3622" s="17" t="str">
        <f>IFERROR(__xludf.DUMMYFUNCTION("""COMPUTED_VALUE"""),"臺南市安南區安順國民小學")</f>
        <v>臺南市安南區安順國民小學</v>
      </c>
      <c r="F3622" s="14" t="str">
        <f>IFERROR(__xludf.DUMMYFUNCTION("""COMPUTED_VALUE"""),"六年級")</f>
        <v>六年級</v>
      </c>
      <c r="G3622" s="14" t="str">
        <f>IFERROR(__xludf.DUMMYFUNCTION("""COMPUTED_VALUE"""),"●小禮物")</f>
        <v>●小禮物</v>
      </c>
      <c r="H3622" s="8"/>
    </row>
    <row r="3623">
      <c r="A3623" s="18"/>
      <c r="B3623" s="14">
        <f>IFERROR(__xludf.DUMMYFUNCTION("""COMPUTED_VALUE"""),1197987.0)</f>
        <v>1197987</v>
      </c>
      <c r="C3623" s="14" t="str">
        <f>IFERROR(__xludf.DUMMYFUNCTION("""COMPUTED_VALUE"""),"鄭翹薰")</f>
        <v>鄭翹薰</v>
      </c>
      <c r="D3623" s="16" t="str">
        <f>IFERROR(__xludf.DUMMYFUNCTION("""COMPUTED_VALUE"""),"st3*****1.tn@mail.edu.tw")</f>
        <v>st3*****1.tn@mail.edu.tw</v>
      </c>
      <c r="E3623" s="17" t="str">
        <f>IFERROR(__xludf.DUMMYFUNCTION("""COMPUTED_VALUE"""),"臺南市安南區安順國民小學")</f>
        <v>臺南市安南區安順國民小學</v>
      </c>
      <c r="F3623" s="14" t="str">
        <f>IFERROR(__xludf.DUMMYFUNCTION("""COMPUTED_VALUE"""),"六年級")</f>
        <v>六年級</v>
      </c>
      <c r="G3623" s="14" t="str">
        <f>IFERROR(__xludf.DUMMYFUNCTION("""COMPUTED_VALUE"""),"●小禮物")</f>
        <v>●小禮物</v>
      </c>
      <c r="H3623" s="8"/>
    </row>
    <row r="3624">
      <c r="A3624" s="18"/>
      <c r="B3624" s="14">
        <f>IFERROR(__xludf.DUMMYFUNCTION("""COMPUTED_VALUE"""),1197688.0)</f>
        <v>1197688</v>
      </c>
      <c r="C3624" s="14" t="str">
        <f>IFERROR(__xludf.DUMMYFUNCTION("""COMPUTED_VALUE"""),"張琇筑")</f>
        <v>張琇筑</v>
      </c>
      <c r="D3624" s="16" t="str">
        <f>IFERROR(__xludf.DUMMYFUNCTION("""COMPUTED_VALUE"""),"st3*****1.tn@mail.edu.tw")</f>
        <v>st3*****1.tn@mail.edu.tw</v>
      </c>
      <c r="E3624" s="17" t="str">
        <f>IFERROR(__xludf.DUMMYFUNCTION("""COMPUTED_VALUE"""),"臺南市安南區安順國民小學")</f>
        <v>臺南市安南區安順國民小學</v>
      </c>
      <c r="F3624" s="14" t="str">
        <f>IFERROR(__xludf.DUMMYFUNCTION("""COMPUTED_VALUE"""),"六年級")</f>
        <v>六年級</v>
      </c>
      <c r="G3624" s="14" t="str">
        <f>IFERROR(__xludf.DUMMYFUNCTION("""COMPUTED_VALUE"""),"★禮券$500")</f>
        <v>★禮券$500</v>
      </c>
      <c r="H3624" s="8"/>
    </row>
    <row r="3625">
      <c r="A3625" s="18"/>
      <c r="B3625" s="14">
        <f>IFERROR(__xludf.DUMMYFUNCTION("""COMPUTED_VALUE"""),593530.0)</f>
        <v>593530</v>
      </c>
      <c r="C3625" s="14" t="str">
        <f>IFERROR(__xludf.DUMMYFUNCTION("""COMPUTED_VALUE"""),"何玠霖")</f>
        <v>何玠霖</v>
      </c>
      <c r="D3625" s="16" t="str">
        <f>IFERROR(__xludf.DUMMYFUNCTION("""COMPUTED_VALUE"""),"st3*****7.tn@mail.edu.tw")</f>
        <v>st3*****7.tn@mail.edu.tw</v>
      </c>
      <c r="E3625" s="17" t="str">
        <f>IFERROR(__xludf.DUMMYFUNCTION("""COMPUTED_VALUE"""),"臺南市安南區安順國民小學")</f>
        <v>臺南市安南區安順國民小學</v>
      </c>
      <c r="F3625" s="14" t="str">
        <f>IFERROR(__xludf.DUMMYFUNCTION("""COMPUTED_VALUE"""),"六年級")</f>
        <v>六年級</v>
      </c>
      <c r="G3625" s="14" t="str">
        <f>IFERROR(__xludf.DUMMYFUNCTION("""COMPUTED_VALUE"""),"獎狀")</f>
        <v>獎狀</v>
      </c>
      <c r="H3625" s="8"/>
    </row>
    <row r="3626">
      <c r="A3626" s="18"/>
      <c r="B3626" s="14">
        <f>IFERROR(__xludf.DUMMYFUNCTION("""COMPUTED_VALUE"""),1197670.0)</f>
        <v>1197670</v>
      </c>
      <c r="C3626" s="14" t="str">
        <f>IFERROR(__xludf.DUMMYFUNCTION("""COMPUTED_VALUE"""),"林書磊")</f>
        <v>林書磊</v>
      </c>
      <c r="D3626" s="16" t="str">
        <f>IFERROR(__xludf.DUMMYFUNCTION("""COMPUTED_VALUE"""),"st3*****2.tn@mail.edu.tw")</f>
        <v>st3*****2.tn@mail.edu.tw</v>
      </c>
      <c r="E3626" s="17" t="str">
        <f>IFERROR(__xludf.DUMMYFUNCTION("""COMPUTED_VALUE"""),"臺南市安南區安順國民小學")</f>
        <v>臺南市安南區安順國民小學</v>
      </c>
      <c r="F3626" s="14" t="str">
        <f>IFERROR(__xludf.DUMMYFUNCTION("""COMPUTED_VALUE"""),"六年級")</f>
        <v>六年級</v>
      </c>
      <c r="G3626" s="14" t="str">
        <f>IFERROR(__xludf.DUMMYFUNCTION("""COMPUTED_VALUE"""),"獎狀")</f>
        <v>獎狀</v>
      </c>
      <c r="H3626" s="8"/>
    </row>
    <row r="3627">
      <c r="A3627" s="18"/>
      <c r="B3627" s="14">
        <f>IFERROR(__xludf.DUMMYFUNCTION("""COMPUTED_VALUE"""),1197686.0)</f>
        <v>1197686</v>
      </c>
      <c r="C3627" s="14" t="str">
        <f>IFERROR(__xludf.DUMMYFUNCTION("""COMPUTED_VALUE"""),"林澤安")</f>
        <v>林澤安</v>
      </c>
      <c r="D3627" s="16" t="str">
        <f>IFERROR(__xludf.DUMMYFUNCTION("""COMPUTED_VALUE"""),"st3*****6.tn@mail.edu.tw")</f>
        <v>st3*****6.tn@mail.edu.tw</v>
      </c>
      <c r="E3627" s="17" t="str">
        <f>IFERROR(__xludf.DUMMYFUNCTION("""COMPUTED_VALUE"""),"臺南市安南區安順國民小學")</f>
        <v>臺南市安南區安順國民小學</v>
      </c>
      <c r="F3627" s="14" t="str">
        <f>IFERROR(__xludf.DUMMYFUNCTION("""COMPUTED_VALUE"""),"六年級")</f>
        <v>六年級</v>
      </c>
      <c r="G3627" s="14" t="str">
        <f>IFERROR(__xludf.DUMMYFUNCTION("""COMPUTED_VALUE"""),"獎狀")</f>
        <v>獎狀</v>
      </c>
      <c r="H3627" s="8"/>
    </row>
    <row r="3628">
      <c r="A3628" s="18"/>
      <c r="B3628" s="14">
        <f>IFERROR(__xludf.DUMMYFUNCTION("""COMPUTED_VALUE"""),594543.0)</f>
        <v>594543</v>
      </c>
      <c r="C3628" s="14" t="str">
        <f>IFERROR(__xludf.DUMMYFUNCTION("""COMPUTED_VALUE"""),"邱翊軒")</f>
        <v>邱翊軒</v>
      </c>
      <c r="D3628" s="16" t="str">
        <f>IFERROR(__xludf.DUMMYFUNCTION("""COMPUTED_VALUE"""),"st3*****2.tn@mail.edu.tw")</f>
        <v>st3*****2.tn@mail.edu.tw</v>
      </c>
      <c r="E3628" s="17" t="str">
        <f>IFERROR(__xludf.DUMMYFUNCTION("""COMPUTED_VALUE"""),"臺南市安南區安順國民小學")</f>
        <v>臺南市安南區安順國民小學</v>
      </c>
      <c r="F3628" s="14" t="str">
        <f>IFERROR(__xludf.DUMMYFUNCTION("""COMPUTED_VALUE"""),"六年級")</f>
        <v>六年級</v>
      </c>
      <c r="G3628" s="14" t="str">
        <f>IFERROR(__xludf.DUMMYFUNCTION("""COMPUTED_VALUE"""),"獎狀")</f>
        <v>獎狀</v>
      </c>
      <c r="H3628" s="8"/>
    </row>
    <row r="3629">
      <c r="A3629" s="18"/>
      <c r="B3629" s="14">
        <f>IFERROR(__xludf.DUMMYFUNCTION("""COMPUTED_VALUE"""),1197971.0)</f>
        <v>1197971</v>
      </c>
      <c r="C3629" s="14" t="str">
        <f>IFERROR(__xludf.DUMMYFUNCTION("""COMPUTED_VALUE"""),"邱程宥")</f>
        <v>邱程宥</v>
      </c>
      <c r="D3629" s="16" t="str">
        <f>IFERROR(__xludf.DUMMYFUNCTION("""COMPUTED_VALUE"""),"st3*****0.tn@mail.edu.tw")</f>
        <v>st3*****0.tn@mail.edu.tw</v>
      </c>
      <c r="E3629" s="17" t="str">
        <f>IFERROR(__xludf.DUMMYFUNCTION("""COMPUTED_VALUE"""),"臺南市安南區安順國民小學")</f>
        <v>臺南市安南區安順國民小學</v>
      </c>
      <c r="F3629" s="14" t="str">
        <f>IFERROR(__xludf.DUMMYFUNCTION("""COMPUTED_VALUE"""),"六年級")</f>
        <v>六年級</v>
      </c>
      <c r="G3629" s="14" t="str">
        <f>IFERROR(__xludf.DUMMYFUNCTION("""COMPUTED_VALUE"""),"獎狀")</f>
        <v>獎狀</v>
      </c>
      <c r="H3629" s="8"/>
    </row>
    <row r="3630">
      <c r="A3630" s="18"/>
      <c r="B3630" s="14">
        <f>IFERROR(__xludf.DUMMYFUNCTION("""COMPUTED_VALUE"""),1197973.0)</f>
        <v>1197973</v>
      </c>
      <c r="C3630" s="14" t="str">
        <f>IFERROR(__xludf.DUMMYFUNCTION("""COMPUTED_VALUE"""),"張可欣")</f>
        <v>張可欣</v>
      </c>
      <c r="D3630" s="16" t="str">
        <f>IFERROR(__xludf.DUMMYFUNCTION("""COMPUTED_VALUE"""),"st3*****9.tn@mail.edu.tw")</f>
        <v>st3*****9.tn@mail.edu.tw</v>
      </c>
      <c r="E3630" s="17" t="str">
        <f>IFERROR(__xludf.DUMMYFUNCTION("""COMPUTED_VALUE"""),"臺南市安南區安順國民小學")</f>
        <v>臺南市安南區安順國民小學</v>
      </c>
      <c r="F3630" s="14" t="str">
        <f>IFERROR(__xludf.DUMMYFUNCTION("""COMPUTED_VALUE"""),"六年級")</f>
        <v>六年級</v>
      </c>
      <c r="G3630" s="14" t="str">
        <f>IFERROR(__xludf.DUMMYFUNCTION("""COMPUTED_VALUE"""),"獎狀")</f>
        <v>獎狀</v>
      </c>
      <c r="H3630" s="8"/>
    </row>
    <row r="3631">
      <c r="A3631" s="18"/>
      <c r="B3631" s="14">
        <f>IFERROR(__xludf.DUMMYFUNCTION("""COMPUTED_VALUE"""),1197972.0)</f>
        <v>1197972</v>
      </c>
      <c r="C3631" s="14" t="str">
        <f>IFERROR(__xludf.DUMMYFUNCTION("""COMPUTED_VALUE"""),"莊曜駿")</f>
        <v>莊曜駿</v>
      </c>
      <c r="D3631" s="16" t="str">
        <f>IFERROR(__xludf.DUMMYFUNCTION("""COMPUTED_VALUE"""),"st3*****5.tn@mail.edu.tw")</f>
        <v>st3*****5.tn@mail.edu.tw</v>
      </c>
      <c r="E3631" s="17" t="str">
        <f>IFERROR(__xludf.DUMMYFUNCTION("""COMPUTED_VALUE"""),"臺南市安南區安順國民小學")</f>
        <v>臺南市安南區安順國民小學</v>
      </c>
      <c r="F3631" s="14" t="str">
        <f>IFERROR(__xludf.DUMMYFUNCTION("""COMPUTED_VALUE"""),"六年級")</f>
        <v>六年級</v>
      </c>
      <c r="G3631" s="14" t="str">
        <f>IFERROR(__xludf.DUMMYFUNCTION("""COMPUTED_VALUE"""),"獎狀")</f>
        <v>獎狀</v>
      </c>
      <c r="H3631" s="8"/>
    </row>
    <row r="3632">
      <c r="A3632" s="18"/>
      <c r="B3632" s="14">
        <f>IFERROR(__xludf.DUMMYFUNCTION("""COMPUTED_VALUE"""),592143.0)</f>
        <v>592143</v>
      </c>
      <c r="C3632" s="14" t="str">
        <f>IFERROR(__xludf.DUMMYFUNCTION("""COMPUTED_VALUE"""),"郭玲瑋")</f>
        <v>郭玲瑋</v>
      </c>
      <c r="D3632" s="16" t="str">
        <f>IFERROR(__xludf.DUMMYFUNCTION("""COMPUTED_VALUE"""),"st0*****0.tn@mail.edu.tw")</f>
        <v>st0*****0.tn@mail.edu.tw</v>
      </c>
      <c r="E3632" s="17" t="str">
        <f>IFERROR(__xludf.DUMMYFUNCTION("""COMPUTED_VALUE"""),"臺南市安南區安順國民小學")</f>
        <v>臺南市安南區安順國民小學</v>
      </c>
      <c r="F3632" s="14" t="str">
        <f>IFERROR(__xludf.DUMMYFUNCTION("""COMPUTED_VALUE"""),"六年級")</f>
        <v>六年級</v>
      </c>
      <c r="G3632" s="14" t="str">
        <f>IFERROR(__xludf.DUMMYFUNCTION("""COMPUTED_VALUE"""),"獎狀")</f>
        <v>獎狀</v>
      </c>
      <c r="H3632" s="8"/>
    </row>
    <row r="3633">
      <c r="A3633" s="18"/>
      <c r="B3633" s="14">
        <f>IFERROR(__xludf.DUMMYFUNCTION("""COMPUTED_VALUE"""),594529.0)</f>
        <v>594529</v>
      </c>
      <c r="C3633" s="14" t="str">
        <f>IFERROR(__xludf.DUMMYFUNCTION("""COMPUTED_VALUE"""),"陳育菘")</f>
        <v>陳育菘</v>
      </c>
      <c r="D3633" s="16" t="str">
        <f>IFERROR(__xludf.DUMMYFUNCTION("""COMPUTED_VALUE"""),"st3*****0.tn@mail.edu.tw")</f>
        <v>st3*****0.tn@mail.edu.tw</v>
      </c>
      <c r="E3633" s="17" t="str">
        <f>IFERROR(__xludf.DUMMYFUNCTION("""COMPUTED_VALUE"""),"臺南市安南區安順國民小學")</f>
        <v>臺南市安南區安順國民小學</v>
      </c>
      <c r="F3633" s="14" t="str">
        <f>IFERROR(__xludf.DUMMYFUNCTION("""COMPUTED_VALUE"""),"六年級")</f>
        <v>六年級</v>
      </c>
      <c r="G3633" s="14" t="str">
        <f>IFERROR(__xludf.DUMMYFUNCTION("""COMPUTED_VALUE"""),"獎狀")</f>
        <v>獎狀</v>
      </c>
      <c r="H3633" s="8"/>
    </row>
    <row r="3634">
      <c r="A3634" s="18"/>
      <c r="B3634" s="14">
        <f>IFERROR(__xludf.DUMMYFUNCTION("""COMPUTED_VALUE"""),1197977.0)</f>
        <v>1197977</v>
      </c>
      <c r="C3634" s="14" t="str">
        <f>IFERROR(__xludf.DUMMYFUNCTION("""COMPUTED_VALUE"""),"黃韙葰")</f>
        <v>黃韙葰</v>
      </c>
      <c r="D3634" s="16" t="str">
        <f>IFERROR(__xludf.DUMMYFUNCTION("""COMPUTED_VALUE"""),"st3*****9.tn@mail.edu.tw")</f>
        <v>st3*****9.tn@mail.edu.tw</v>
      </c>
      <c r="E3634" s="17" t="str">
        <f>IFERROR(__xludf.DUMMYFUNCTION("""COMPUTED_VALUE"""),"臺南市安南區安順國民小學")</f>
        <v>臺南市安南區安順國民小學</v>
      </c>
      <c r="F3634" s="14" t="str">
        <f>IFERROR(__xludf.DUMMYFUNCTION("""COMPUTED_VALUE"""),"六年級")</f>
        <v>六年級</v>
      </c>
      <c r="G3634" s="14" t="str">
        <f>IFERROR(__xludf.DUMMYFUNCTION("""COMPUTED_VALUE"""),"獎狀")</f>
        <v>獎狀</v>
      </c>
      <c r="H3634" s="8"/>
    </row>
    <row r="3635">
      <c r="A3635" s="18"/>
      <c r="B3635" s="14">
        <f>IFERROR(__xludf.DUMMYFUNCTION("""COMPUTED_VALUE"""),1197691.0)</f>
        <v>1197691</v>
      </c>
      <c r="C3635" s="14" t="str">
        <f>IFERROR(__xludf.DUMMYFUNCTION("""COMPUTED_VALUE"""),"詹芷晴")</f>
        <v>詹芷晴</v>
      </c>
      <c r="D3635" s="16" t="str">
        <f>IFERROR(__xludf.DUMMYFUNCTION("""COMPUTED_VALUE"""),"st3*****8.tn@mail.edu.tw")</f>
        <v>st3*****8.tn@mail.edu.tw</v>
      </c>
      <c r="E3635" s="17" t="str">
        <f>IFERROR(__xludf.DUMMYFUNCTION("""COMPUTED_VALUE"""),"臺南市安南區安順國民小學")</f>
        <v>臺南市安南區安順國民小學</v>
      </c>
      <c r="F3635" s="14" t="str">
        <f>IFERROR(__xludf.DUMMYFUNCTION("""COMPUTED_VALUE"""),"六年級")</f>
        <v>六年級</v>
      </c>
      <c r="G3635" s="14" t="str">
        <f>IFERROR(__xludf.DUMMYFUNCTION("""COMPUTED_VALUE"""),"獎狀")</f>
        <v>獎狀</v>
      </c>
      <c r="H3635" s="8"/>
    </row>
    <row r="3636">
      <c r="A3636" s="18"/>
      <c r="B3636" s="14">
        <f>IFERROR(__xludf.DUMMYFUNCTION("""COMPUTED_VALUE"""),574505.0)</f>
        <v>574505</v>
      </c>
      <c r="C3636" s="14" t="str">
        <f>IFERROR(__xludf.DUMMYFUNCTION("""COMPUTED_VALUE"""),"趙品瑄")</f>
        <v>趙品瑄</v>
      </c>
      <c r="D3636" s="16" t="str">
        <f>IFERROR(__xludf.DUMMYFUNCTION("""COMPUTED_VALUE"""),"st3*****1.tn@mail.edu.tw")</f>
        <v>st3*****1.tn@mail.edu.tw</v>
      </c>
      <c r="E3636" s="17" t="str">
        <f>IFERROR(__xludf.DUMMYFUNCTION("""COMPUTED_VALUE"""),"臺南市安南區安順國民小學")</f>
        <v>臺南市安南區安順國民小學</v>
      </c>
      <c r="F3636" s="14" t="str">
        <f>IFERROR(__xludf.DUMMYFUNCTION("""COMPUTED_VALUE"""),"六年級")</f>
        <v>六年級</v>
      </c>
      <c r="G3636" s="14" t="str">
        <f>IFERROR(__xludf.DUMMYFUNCTION("""COMPUTED_VALUE"""),"獎狀")</f>
        <v>獎狀</v>
      </c>
      <c r="H3636" s="8"/>
    </row>
    <row r="3637">
      <c r="A3637" s="18"/>
      <c r="B3637" s="14">
        <f>IFERROR(__xludf.DUMMYFUNCTION("""COMPUTED_VALUE"""),1197687.0)</f>
        <v>1197687</v>
      </c>
      <c r="C3637" s="14" t="str">
        <f>IFERROR(__xludf.DUMMYFUNCTION("""COMPUTED_VALUE"""),"潘昕瑜")</f>
        <v>潘昕瑜</v>
      </c>
      <c r="D3637" s="16" t="str">
        <f>IFERROR(__xludf.DUMMYFUNCTION("""COMPUTED_VALUE"""),"st3*****6.tn@mail.edu.tw")</f>
        <v>st3*****6.tn@mail.edu.tw</v>
      </c>
      <c r="E3637" s="17" t="str">
        <f>IFERROR(__xludf.DUMMYFUNCTION("""COMPUTED_VALUE"""),"臺南市安南區安順國民小學")</f>
        <v>臺南市安南區安順國民小學</v>
      </c>
      <c r="F3637" s="14" t="str">
        <f>IFERROR(__xludf.DUMMYFUNCTION("""COMPUTED_VALUE"""),"六年級")</f>
        <v>六年級</v>
      </c>
      <c r="G3637" s="14" t="str">
        <f>IFERROR(__xludf.DUMMYFUNCTION("""COMPUTED_VALUE"""),"獎狀")</f>
        <v>獎狀</v>
      </c>
      <c r="H3637" s="8"/>
    </row>
    <row r="3638">
      <c r="A3638" s="18"/>
      <c r="B3638" s="14">
        <f>IFERROR(__xludf.DUMMYFUNCTION("""COMPUTED_VALUE"""),594582.0)</f>
        <v>594582</v>
      </c>
      <c r="C3638" s="14" t="str">
        <f>IFERROR(__xludf.DUMMYFUNCTION("""COMPUTED_VALUE"""),"鄭永祥")</f>
        <v>鄭永祥</v>
      </c>
      <c r="D3638" s="16" t="str">
        <f>IFERROR(__xludf.DUMMYFUNCTION("""COMPUTED_VALUE"""),"st3*****9.tn@mail.edu.tw")</f>
        <v>st3*****9.tn@mail.edu.tw</v>
      </c>
      <c r="E3638" s="17" t="str">
        <f>IFERROR(__xludf.DUMMYFUNCTION("""COMPUTED_VALUE"""),"臺南市安南區安順國民小學")</f>
        <v>臺南市安南區安順國民小學</v>
      </c>
      <c r="F3638" s="14" t="str">
        <f>IFERROR(__xludf.DUMMYFUNCTION("""COMPUTED_VALUE"""),"六年級")</f>
        <v>六年級</v>
      </c>
      <c r="G3638" s="14" t="str">
        <f>IFERROR(__xludf.DUMMYFUNCTION("""COMPUTED_VALUE"""),"獎狀")</f>
        <v>獎狀</v>
      </c>
      <c r="H3638" s="8"/>
    </row>
    <row r="3639">
      <c r="A3639" s="18"/>
      <c r="B3639" s="14">
        <f>IFERROR(__xludf.DUMMYFUNCTION("""COMPUTED_VALUE"""),1197968.0)</f>
        <v>1197968</v>
      </c>
      <c r="C3639" s="14" t="str">
        <f>IFERROR(__xludf.DUMMYFUNCTION("""COMPUTED_VALUE"""),"鄭名惠")</f>
        <v>鄭名惠</v>
      </c>
      <c r="D3639" s="16" t="str">
        <f>IFERROR(__xludf.DUMMYFUNCTION("""COMPUTED_VALUE"""),"st3*****1.tn@mail.edu.tw")</f>
        <v>st3*****1.tn@mail.edu.tw</v>
      </c>
      <c r="E3639" s="17" t="str">
        <f>IFERROR(__xludf.DUMMYFUNCTION("""COMPUTED_VALUE"""),"臺南市安南區安順國民小學")</f>
        <v>臺南市安南區安順國民小學</v>
      </c>
      <c r="F3639" s="14" t="str">
        <f>IFERROR(__xludf.DUMMYFUNCTION("""COMPUTED_VALUE"""),"六年級")</f>
        <v>六年級</v>
      </c>
      <c r="G3639" s="14" t="str">
        <f>IFERROR(__xludf.DUMMYFUNCTION("""COMPUTED_VALUE"""),"獎狀")</f>
        <v>獎狀</v>
      </c>
      <c r="H3639" s="8"/>
    </row>
    <row r="3640">
      <c r="A3640" s="18"/>
      <c r="B3640" s="14">
        <f>IFERROR(__xludf.DUMMYFUNCTION("""COMPUTED_VALUE"""),1197975.0)</f>
        <v>1197975</v>
      </c>
      <c r="C3640" s="14" t="str">
        <f>IFERROR(__xludf.DUMMYFUNCTION("""COMPUTED_VALUE"""),"蕭瑜靚")</f>
        <v>蕭瑜靚</v>
      </c>
      <c r="D3640" s="16" t="str">
        <f>IFERROR(__xludf.DUMMYFUNCTION("""COMPUTED_VALUE"""),"st3*****1.tn@mail.edu.tw")</f>
        <v>st3*****1.tn@mail.edu.tw</v>
      </c>
      <c r="E3640" s="17" t="str">
        <f>IFERROR(__xludf.DUMMYFUNCTION("""COMPUTED_VALUE"""),"臺南市安南區安順國民小學")</f>
        <v>臺南市安南區安順國民小學</v>
      </c>
      <c r="F3640" s="14" t="str">
        <f>IFERROR(__xludf.DUMMYFUNCTION("""COMPUTED_VALUE"""),"六年級")</f>
        <v>六年級</v>
      </c>
      <c r="G3640" s="14" t="str">
        <f>IFERROR(__xludf.DUMMYFUNCTION("""COMPUTED_VALUE"""),"獎狀")</f>
        <v>獎狀</v>
      </c>
      <c r="H3640" s="8"/>
    </row>
    <row r="3641">
      <c r="A3641" s="18"/>
      <c r="B3641" s="14">
        <f>IFERROR(__xludf.DUMMYFUNCTION("""COMPUTED_VALUE"""),586615.0)</f>
        <v>586615</v>
      </c>
      <c r="C3641" s="14" t="str">
        <f>IFERROR(__xludf.DUMMYFUNCTION("""COMPUTED_VALUE"""),"吳承叡")</f>
        <v>吳承叡</v>
      </c>
      <c r="D3641" s="16" t="str">
        <f>IFERROR(__xludf.DUMMYFUNCTION("""COMPUTED_VALUE"""),"st3*****8.tn@mail.edu.tw")</f>
        <v>st3*****8.tn@mail.edu.tw</v>
      </c>
      <c r="E3641" s="17" t="str">
        <f>IFERROR(__xludf.DUMMYFUNCTION("""COMPUTED_VALUE"""),"臺南市安南區安順國民小學")</f>
        <v>臺南市安南區安順國民小學</v>
      </c>
      <c r="F3641" s="14" t="str">
        <f>IFERROR(__xludf.DUMMYFUNCTION("""COMPUTED_VALUE"""),"六年級")</f>
        <v>六年級</v>
      </c>
      <c r="G3641" s="14" t="str">
        <f>IFERROR(__xludf.DUMMYFUNCTION("""COMPUTED_VALUE"""),"●小禮物")</f>
        <v>●小禮物</v>
      </c>
      <c r="H3641" s="8"/>
    </row>
    <row r="3642">
      <c r="A3642" s="18"/>
      <c r="B3642" s="14">
        <f>IFERROR(__xludf.DUMMYFUNCTION("""COMPUTED_VALUE"""),542797.0)</f>
        <v>542797</v>
      </c>
      <c r="C3642" s="14" t="str">
        <f>IFERROR(__xludf.DUMMYFUNCTION("""COMPUTED_VALUE"""),"蔡心妍")</f>
        <v>蔡心妍</v>
      </c>
      <c r="D3642" s="16" t="str">
        <f>IFERROR(__xludf.DUMMYFUNCTION("""COMPUTED_VALUE"""),"st3*****8.tn@mail.edu.tw")</f>
        <v>st3*****8.tn@mail.edu.tw</v>
      </c>
      <c r="E3642" s="17" t="str">
        <f>IFERROR(__xludf.DUMMYFUNCTION("""COMPUTED_VALUE"""),"臺南市安南區安順國民小學")</f>
        <v>臺南市安南區安順國民小學</v>
      </c>
      <c r="F3642" s="14" t="str">
        <f>IFERROR(__xludf.DUMMYFUNCTION("""COMPUTED_VALUE"""),"六年級")</f>
        <v>六年級</v>
      </c>
      <c r="G3642" s="14" t="str">
        <f>IFERROR(__xludf.DUMMYFUNCTION("""COMPUTED_VALUE"""),"●小禮物")</f>
        <v>●小禮物</v>
      </c>
      <c r="H3642" s="8"/>
    </row>
    <row r="3643">
      <c r="A3643" s="18"/>
      <c r="B3643" s="14">
        <f>IFERROR(__xludf.DUMMYFUNCTION("""COMPUTED_VALUE"""),1208511.0)</f>
        <v>1208511</v>
      </c>
      <c r="C3643" s="14" t="str">
        <f>IFERROR(__xludf.DUMMYFUNCTION("""COMPUTED_VALUE"""),"邱詩婷")</f>
        <v>邱詩婷</v>
      </c>
      <c r="D3643" s="16" t="str">
        <f>IFERROR(__xludf.DUMMYFUNCTION("""COMPUTED_VALUE"""),"qwe*****6666@gmail.com")</f>
        <v>qwe*****6666@gmail.com</v>
      </c>
      <c r="E3643" s="17" t="str">
        <f>IFERROR(__xludf.DUMMYFUNCTION("""COMPUTED_VALUE"""),"臺南市安南區和順國民小學")</f>
        <v>臺南市安南區和順國民小學</v>
      </c>
      <c r="F3643" s="14" t="str">
        <f>IFERROR(__xludf.DUMMYFUNCTION("""COMPUTED_VALUE"""),"五年級")</f>
        <v>五年級</v>
      </c>
      <c r="G3643" s="14" t="str">
        <f>IFERROR(__xludf.DUMMYFUNCTION("""COMPUTED_VALUE"""),"獎狀")</f>
        <v>獎狀</v>
      </c>
      <c r="H3643" s="8"/>
    </row>
    <row r="3644">
      <c r="A3644" s="18"/>
      <c r="B3644" s="14">
        <f>IFERROR(__xludf.DUMMYFUNCTION("""COMPUTED_VALUE"""),715252.0)</f>
        <v>715252</v>
      </c>
      <c r="C3644" s="14" t="str">
        <f>IFERROR(__xludf.DUMMYFUNCTION("""COMPUTED_VALUE"""),"封品含")</f>
        <v>封品含</v>
      </c>
      <c r="D3644" s="16" t="str">
        <f>IFERROR(__xludf.DUMMYFUNCTION("""COMPUTED_VALUE"""),"st0*****4.tn@mail.edu.tw")</f>
        <v>st0*****4.tn@mail.edu.tw</v>
      </c>
      <c r="E3644" s="17" t="str">
        <f>IFERROR(__xludf.DUMMYFUNCTION("""COMPUTED_VALUE"""),"臺南市安南區海佃國民小學")</f>
        <v>臺南市安南區海佃國民小學</v>
      </c>
      <c r="F3644" s="14" t="str">
        <f>IFERROR(__xludf.DUMMYFUNCTION("""COMPUTED_VALUE"""),"四年級")</f>
        <v>四年級</v>
      </c>
      <c r="G3644" s="14" t="str">
        <f>IFERROR(__xludf.DUMMYFUNCTION("""COMPUTED_VALUE"""),"獎狀")</f>
        <v>獎狀</v>
      </c>
      <c r="H3644" s="8"/>
    </row>
    <row r="3645">
      <c r="A3645" s="18"/>
      <c r="B3645" s="14">
        <f>IFERROR(__xludf.DUMMYFUNCTION("""COMPUTED_VALUE"""),944561.0)</f>
        <v>944561</v>
      </c>
      <c r="C3645" s="14" t="str">
        <f>IFERROR(__xludf.DUMMYFUNCTION("""COMPUTED_VALUE"""),"王星霏")</f>
        <v>王星霏</v>
      </c>
      <c r="D3645" s="16" t="str">
        <f>IFERROR(__xludf.DUMMYFUNCTION("""COMPUTED_VALUE"""),"st2*****6.tn@mail.edu.tw")</f>
        <v>st2*****6.tn@mail.edu.tw</v>
      </c>
      <c r="E3645" s="17" t="str">
        <f>IFERROR(__xludf.DUMMYFUNCTION("""COMPUTED_VALUE"""),"臺南市永康區三村國民小學")</f>
        <v>臺南市永康區三村國民小學</v>
      </c>
      <c r="F3645" s="14" t="str">
        <f>IFERROR(__xludf.DUMMYFUNCTION("""COMPUTED_VALUE"""),"五年級")</f>
        <v>五年級</v>
      </c>
      <c r="G3645" s="14" t="str">
        <f>IFERROR(__xludf.DUMMYFUNCTION("""COMPUTED_VALUE"""),"獎狀")</f>
        <v>獎狀</v>
      </c>
      <c r="H3645" s="8"/>
    </row>
    <row r="3646">
      <c r="A3646" s="18"/>
      <c r="B3646" s="14">
        <f>IFERROR(__xludf.DUMMYFUNCTION("""COMPUTED_VALUE"""),632277.0)</f>
        <v>632277</v>
      </c>
      <c r="C3646" s="14" t="str">
        <f>IFERROR(__xludf.DUMMYFUNCTION("""COMPUTED_VALUE"""),"張宜恩")</f>
        <v>張宜恩</v>
      </c>
      <c r="D3646" s="16" t="str">
        <f>IFERROR(__xludf.DUMMYFUNCTION("""COMPUTED_VALUE"""),"106*****tes.tn.edu.tw")</f>
        <v>106*****tes.tn.edu.tw</v>
      </c>
      <c r="E3646" s="17" t="str">
        <f>IFERROR(__xludf.DUMMYFUNCTION("""COMPUTED_VALUE"""),"臺南市永康區三村國民小學")</f>
        <v>臺南市永康區三村國民小學</v>
      </c>
      <c r="F3646" s="14" t="str">
        <f>IFERROR(__xludf.DUMMYFUNCTION("""COMPUTED_VALUE"""),"六年級")</f>
        <v>六年級</v>
      </c>
      <c r="G3646" s="14" t="str">
        <f>IFERROR(__xludf.DUMMYFUNCTION("""COMPUTED_VALUE"""),"獎狀")</f>
        <v>獎狀</v>
      </c>
      <c r="H3646" s="8"/>
    </row>
    <row r="3647">
      <c r="A3647" s="18"/>
      <c r="B3647" s="14">
        <f>IFERROR(__xludf.DUMMYFUNCTION("""COMPUTED_VALUE"""),1120581.0)</f>
        <v>1120581</v>
      </c>
      <c r="C3647" s="14" t="str">
        <f>IFERROR(__xludf.DUMMYFUNCTION("""COMPUTED_VALUE"""),"李承諺")</f>
        <v>李承諺</v>
      </c>
      <c r="D3647" s="16" t="str">
        <f>IFERROR(__xludf.DUMMYFUNCTION("""COMPUTED_VALUE"""),"dri*****2011@gmail.com")</f>
        <v>dri*****2011@gmail.com</v>
      </c>
      <c r="E3647" s="17" t="str">
        <f>IFERROR(__xludf.DUMMYFUNCTION("""COMPUTED_VALUE"""),"臺南市永康區大橋國民小學")</f>
        <v>臺南市永康區大橋國民小學</v>
      </c>
      <c r="F3647" s="14" t="str">
        <f>IFERROR(__xludf.DUMMYFUNCTION("""COMPUTED_VALUE"""),"五年級")</f>
        <v>五年級</v>
      </c>
      <c r="G3647" s="14" t="str">
        <f>IFERROR(__xludf.DUMMYFUNCTION("""COMPUTED_VALUE"""),"獎狀")</f>
        <v>獎狀</v>
      </c>
      <c r="H3647" s="8"/>
    </row>
    <row r="3648">
      <c r="A3648" s="18"/>
      <c r="B3648" s="14">
        <f>IFERROR(__xludf.DUMMYFUNCTION("""COMPUTED_VALUE"""),1115513.0)</f>
        <v>1115513</v>
      </c>
      <c r="C3648" s="14" t="str">
        <f>IFERROR(__xludf.DUMMYFUNCTION("""COMPUTED_VALUE"""),"蔡炎夏")</f>
        <v>蔡炎夏</v>
      </c>
      <c r="D3648" s="16" t="str">
        <f>IFERROR(__xludf.DUMMYFUNCTION("""COMPUTED_VALUE"""),"st2*****3@mail.edu.tw")</f>
        <v>st2*****3@mail.edu.tw</v>
      </c>
      <c r="E3648" s="17" t="str">
        <f>IFERROR(__xludf.DUMMYFUNCTION("""COMPUTED_VALUE"""),"臺南市永康區大灣國民小學")</f>
        <v>臺南市永康區大灣國民小學</v>
      </c>
      <c r="F3648" s="14" t="str">
        <f>IFERROR(__xludf.DUMMYFUNCTION("""COMPUTED_VALUE"""),"五年級")</f>
        <v>五年級</v>
      </c>
      <c r="G3648" s="14" t="str">
        <f>IFERROR(__xludf.DUMMYFUNCTION("""COMPUTED_VALUE"""),"獎狀")</f>
        <v>獎狀</v>
      </c>
      <c r="H3648" s="8"/>
    </row>
    <row r="3649">
      <c r="A3649" s="18"/>
      <c r="B3649" s="14">
        <f>IFERROR(__xludf.DUMMYFUNCTION("""COMPUTED_VALUE"""),1069352.0)</f>
        <v>1069352</v>
      </c>
      <c r="C3649" s="14" t="str">
        <f>IFERROR(__xludf.DUMMYFUNCTION("""COMPUTED_VALUE"""),"林呈宇")</f>
        <v>林呈宇</v>
      </c>
      <c r="D3649" s="16" t="str">
        <f>IFERROR(__xludf.DUMMYFUNCTION("""COMPUTED_VALUE"""),"st1*****3@mail.edu.tw")</f>
        <v>st1*****3@mail.edu.tw</v>
      </c>
      <c r="E3649" s="17" t="str">
        <f>IFERROR(__xludf.DUMMYFUNCTION("""COMPUTED_VALUE"""),"臺南市永康區五王國民小學")</f>
        <v>臺南市永康區五王國民小學</v>
      </c>
      <c r="F3649" s="14" t="str">
        <f>IFERROR(__xludf.DUMMYFUNCTION("""COMPUTED_VALUE"""),"三年級")</f>
        <v>三年級</v>
      </c>
      <c r="G3649" s="14" t="str">
        <f>IFERROR(__xludf.DUMMYFUNCTION("""COMPUTED_VALUE"""),"●小禮物")</f>
        <v>●小禮物</v>
      </c>
      <c r="H3649" s="8"/>
    </row>
    <row r="3650">
      <c r="A3650" s="18"/>
      <c r="B3650" s="14">
        <f>IFERROR(__xludf.DUMMYFUNCTION("""COMPUTED_VALUE"""),712874.0)</f>
        <v>712874</v>
      </c>
      <c r="C3650" s="14" t="str">
        <f>IFERROR(__xludf.DUMMYFUNCTION("""COMPUTED_VALUE"""),"鄭沛汝")</f>
        <v>鄭沛汝</v>
      </c>
      <c r="D3650" s="16" t="str">
        <f>IFERROR(__xludf.DUMMYFUNCTION("""COMPUTED_VALUE"""),"rur*****g721@gmail.com")</f>
        <v>rur*****g721@gmail.com</v>
      </c>
      <c r="E3650" s="17" t="str">
        <f>IFERROR(__xludf.DUMMYFUNCTION("""COMPUTED_VALUE"""),"臺南市永康區五王國民小學")</f>
        <v>臺南市永康區五王國民小學</v>
      </c>
      <c r="F3650" s="14" t="str">
        <f>IFERROR(__xludf.DUMMYFUNCTION("""COMPUTED_VALUE"""),"四年級")</f>
        <v>四年級</v>
      </c>
      <c r="G3650" s="14" t="str">
        <f>IFERROR(__xludf.DUMMYFUNCTION("""COMPUTED_VALUE"""),"獎狀")</f>
        <v>獎狀</v>
      </c>
      <c r="H3650" s="8"/>
    </row>
    <row r="3651">
      <c r="A3651" s="18"/>
      <c r="B3651" s="14">
        <f>IFERROR(__xludf.DUMMYFUNCTION("""COMPUTED_VALUE"""),712875.0)</f>
        <v>712875</v>
      </c>
      <c r="C3651" s="14" t="str">
        <f>IFERROR(__xludf.DUMMYFUNCTION("""COMPUTED_VALUE"""),"鄭琨濠")</f>
        <v>鄭琨濠</v>
      </c>
      <c r="D3651" s="16" t="str">
        <f>IFERROR(__xludf.DUMMYFUNCTION("""COMPUTED_VALUE"""),"hao*****eng46@gmail.com")</f>
        <v>hao*****eng46@gmail.com</v>
      </c>
      <c r="E3651" s="17" t="str">
        <f>IFERROR(__xludf.DUMMYFUNCTION("""COMPUTED_VALUE"""),"臺南市永康區五王國民小學")</f>
        <v>臺南市永康區五王國民小學</v>
      </c>
      <c r="F3651" s="14" t="str">
        <f>IFERROR(__xludf.DUMMYFUNCTION("""COMPUTED_VALUE"""),"六年級")</f>
        <v>六年級</v>
      </c>
      <c r="G3651" s="14" t="str">
        <f>IFERROR(__xludf.DUMMYFUNCTION("""COMPUTED_VALUE"""),"●小禮物")</f>
        <v>●小禮物</v>
      </c>
      <c r="H3651" s="8"/>
    </row>
    <row r="3652">
      <c r="A3652" s="18"/>
      <c r="B3652" s="14">
        <f>IFERROR(__xludf.DUMMYFUNCTION("""COMPUTED_VALUE"""),593148.0)</f>
        <v>593148</v>
      </c>
      <c r="C3652" s="14" t="str">
        <f>IFERROR(__xludf.DUMMYFUNCTION("""COMPUTED_VALUE"""),"周昕霓")</f>
        <v>周昕霓</v>
      </c>
      <c r="D3652" s="16" t="str">
        <f>IFERROR(__xludf.DUMMYFUNCTION("""COMPUTED_VALUE"""),"st8*****4@mail.edu.tw")</f>
        <v>st8*****4@mail.edu.tw</v>
      </c>
      <c r="E3652" s="17" t="str">
        <f>IFERROR(__xludf.DUMMYFUNCTION("""COMPUTED_VALUE"""),"臺南市永康區永康國民小學")</f>
        <v>臺南市永康區永康國民小學</v>
      </c>
      <c r="F3652" s="14" t="str">
        <f>IFERROR(__xludf.DUMMYFUNCTION("""COMPUTED_VALUE"""),"六年級")</f>
        <v>六年級</v>
      </c>
      <c r="G3652" s="14" t="str">
        <f>IFERROR(__xludf.DUMMYFUNCTION("""COMPUTED_VALUE"""),"獎狀")</f>
        <v>獎狀</v>
      </c>
      <c r="H3652" s="8"/>
    </row>
    <row r="3653">
      <c r="A3653" s="18"/>
      <c r="B3653" s="14">
        <f>IFERROR(__xludf.DUMMYFUNCTION("""COMPUTED_VALUE"""),987141.0)</f>
        <v>987141</v>
      </c>
      <c r="C3653" s="14" t="str">
        <f>IFERROR(__xludf.DUMMYFUNCTION("""COMPUTED_VALUE"""),"沈泓毅")</f>
        <v>沈泓毅</v>
      </c>
      <c r="D3653" s="16" t="str">
        <f>IFERROR(__xludf.DUMMYFUNCTION("""COMPUTED_VALUE"""),"s10*****sles.tn.edu.tw")</f>
        <v>s10*****sles.tn.edu.tw</v>
      </c>
      <c r="E3653" s="17" t="str">
        <f>IFERROR(__xludf.DUMMYFUNCTION("""COMPUTED_VALUE"""),"臺南市永康區勝利國民小學")</f>
        <v>臺南市永康區勝利國民小學</v>
      </c>
      <c r="F3653" s="14" t="str">
        <f>IFERROR(__xludf.DUMMYFUNCTION("""COMPUTED_VALUE"""),"六年級")</f>
        <v>六年級</v>
      </c>
      <c r="G3653" s="14" t="str">
        <f>IFERROR(__xludf.DUMMYFUNCTION("""COMPUTED_VALUE"""),"●小禮物")</f>
        <v>●小禮物</v>
      </c>
      <c r="H3653" s="8"/>
    </row>
    <row r="3654">
      <c r="A3654" s="18"/>
      <c r="B3654" s="14">
        <f>IFERROR(__xludf.DUMMYFUNCTION("""COMPUTED_VALUE"""),561708.0)</f>
        <v>561708</v>
      </c>
      <c r="C3654" s="14" t="str">
        <f>IFERROR(__xludf.DUMMYFUNCTION("""COMPUTED_VALUE"""),"許佑申")</f>
        <v>許佑申</v>
      </c>
      <c r="D3654" s="16" t="str">
        <f>IFERROR(__xludf.DUMMYFUNCTION("""COMPUTED_VALUE"""),"st2*****5.tn@mail.edu.tw")</f>
        <v>st2*****5.tn@mail.edu.tw</v>
      </c>
      <c r="E3654" s="17" t="str">
        <f>IFERROR(__xludf.DUMMYFUNCTION("""COMPUTED_VALUE"""),"臺南市永康區永信國民小學")</f>
        <v>臺南市永康區永信國民小學</v>
      </c>
      <c r="F3654" s="14" t="str">
        <f>IFERROR(__xludf.DUMMYFUNCTION("""COMPUTED_VALUE"""),"五年級")</f>
        <v>五年級</v>
      </c>
      <c r="G3654" s="14" t="str">
        <f>IFERROR(__xludf.DUMMYFUNCTION("""COMPUTED_VALUE"""),"獎狀")</f>
        <v>獎狀</v>
      </c>
      <c r="H3654" s="8"/>
    </row>
    <row r="3655">
      <c r="A3655" s="18"/>
      <c r="B3655" s="14">
        <f>IFERROR(__xludf.DUMMYFUNCTION("""COMPUTED_VALUE"""),1217566.0)</f>
        <v>1217566</v>
      </c>
      <c r="C3655" s="14" t="str">
        <f>IFERROR(__xludf.DUMMYFUNCTION("""COMPUTED_VALUE"""),"陳奕璇")</f>
        <v>陳奕璇</v>
      </c>
      <c r="D3655" s="16" t="str">
        <f>IFERROR(__xludf.DUMMYFUNCTION("""COMPUTED_VALUE"""),"st1*****9.tn@mail.edu.tw")</f>
        <v>st1*****9.tn@mail.edu.tw</v>
      </c>
      <c r="E3655" s="17" t="str">
        <f>IFERROR(__xludf.DUMMYFUNCTION("""COMPUTED_VALUE"""),"臺南市永康區復興國民小學")</f>
        <v>臺南市永康區復興國民小學</v>
      </c>
      <c r="F3655" s="14" t="str">
        <f>IFERROR(__xludf.DUMMYFUNCTION("""COMPUTED_VALUE"""),"三年級")</f>
        <v>三年級</v>
      </c>
      <c r="G3655" s="14" t="str">
        <f>IFERROR(__xludf.DUMMYFUNCTION("""COMPUTED_VALUE"""),"獎狀")</f>
        <v>獎狀</v>
      </c>
      <c r="H3655" s="8"/>
    </row>
    <row r="3656">
      <c r="A3656" s="18"/>
      <c r="B3656" s="14">
        <f>IFERROR(__xludf.DUMMYFUNCTION("""COMPUTED_VALUE"""),520515.0)</f>
        <v>520515</v>
      </c>
      <c r="C3656" s="14" t="str">
        <f>IFERROR(__xludf.DUMMYFUNCTION("""COMPUTED_VALUE"""),"吳碩恩")</f>
        <v>吳碩恩</v>
      </c>
      <c r="D3656" s="16" t="str">
        <f>IFERROR(__xludf.DUMMYFUNCTION("""COMPUTED_VALUE"""),"st7*****7.tn@mail.edu.tw")</f>
        <v>st7*****7.tn@mail.edu.tw</v>
      </c>
      <c r="E3656" s="17" t="str">
        <f>IFERROR(__xludf.DUMMYFUNCTION("""COMPUTED_VALUE"""),"臺南市永康區復興國民小學")</f>
        <v>臺南市永康區復興國民小學</v>
      </c>
      <c r="F3656" s="14" t="str">
        <f>IFERROR(__xludf.DUMMYFUNCTION("""COMPUTED_VALUE"""),"三年級")</f>
        <v>三年級</v>
      </c>
      <c r="G3656" s="14" t="str">
        <f>IFERROR(__xludf.DUMMYFUNCTION("""COMPUTED_VALUE"""),"獎狀")</f>
        <v>獎狀</v>
      </c>
      <c r="H3656" s="8"/>
    </row>
    <row r="3657">
      <c r="A3657" s="18"/>
      <c r="B3657" s="14">
        <f>IFERROR(__xludf.DUMMYFUNCTION("""COMPUTED_VALUE"""),696750.0)</f>
        <v>696750</v>
      </c>
      <c r="C3657" s="14" t="str">
        <f>IFERROR(__xludf.DUMMYFUNCTION("""COMPUTED_VALUE"""),"李姮潔")</f>
        <v>李姮潔</v>
      </c>
      <c r="D3657" s="16" t="str">
        <f>IFERROR(__xludf.DUMMYFUNCTION("""COMPUTED_VALUE"""),"st8*****3.tn@mail.edu.tw")</f>
        <v>st8*****3.tn@mail.edu.tw</v>
      </c>
      <c r="E3657" s="17" t="str">
        <f>IFERROR(__xludf.DUMMYFUNCTION("""COMPUTED_VALUE"""),"臺南市永康區復興國民小學")</f>
        <v>臺南市永康區復興國民小學</v>
      </c>
      <c r="F3657" s="14" t="str">
        <f>IFERROR(__xludf.DUMMYFUNCTION("""COMPUTED_VALUE"""),"五年級")</f>
        <v>五年級</v>
      </c>
      <c r="G3657" s="14" t="str">
        <f>IFERROR(__xludf.DUMMYFUNCTION("""COMPUTED_VALUE"""),"獎狀")</f>
        <v>獎狀</v>
      </c>
      <c r="H3657" s="8"/>
    </row>
    <row r="3658">
      <c r="A3658" s="18"/>
      <c r="B3658" s="14">
        <f>IFERROR(__xludf.DUMMYFUNCTION("""COMPUTED_VALUE"""),1126011.0)</f>
        <v>1126011</v>
      </c>
      <c r="C3658" s="14" t="str">
        <f>IFERROR(__xludf.DUMMYFUNCTION("""COMPUTED_VALUE"""),"余宸帆")</f>
        <v>余宸帆</v>
      </c>
      <c r="D3658" s="16" t="str">
        <f>IFERROR(__xludf.DUMMYFUNCTION("""COMPUTED_VALUE"""),"st1*****5@mail.edu.tw")</f>
        <v>st1*****5@mail.edu.tw</v>
      </c>
      <c r="E3658" s="17" t="str">
        <f>IFERROR(__xludf.DUMMYFUNCTION("""COMPUTED_VALUE"""),"臺南市永康區龍潭國民小學")</f>
        <v>臺南市永康區龍潭國民小學</v>
      </c>
      <c r="F3658" s="14" t="str">
        <f>IFERROR(__xludf.DUMMYFUNCTION("""COMPUTED_VALUE"""),"三年級")</f>
        <v>三年級</v>
      </c>
      <c r="G3658" s="14" t="str">
        <f>IFERROR(__xludf.DUMMYFUNCTION("""COMPUTED_VALUE"""),"●小禮物")</f>
        <v>●小禮物</v>
      </c>
      <c r="H3658" s="8"/>
    </row>
    <row r="3659">
      <c r="A3659" s="18"/>
      <c r="B3659" s="14">
        <f>IFERROR(__xludf.DUMMYFUNCTION("""COMPUTED_VALUE"""),850556.0)</f>
        <v>850556</v>
      </c>
      <c r="C3659" s="14" t="str">
        <f>IFERROR(__xludf.DUMMYFUNCTION("""COMPUTED_VALUE"""),"林澄禹")</f>
        <v>林澄禹</v>
      </c>
      <c r="D3659" s="16" t="str">
        <f>IFERROR(__xludf.DUMMYFUNCTION("""COMPUTED_VALUE"""),"st7*****3@mail.edu.tw")</f>
        <v>st7*****3@mail.edu.tw</v>
      </c>
      <c r="E3659" s="17" t="str">
        <f>IFERROR(__xludf.DUMMYFUNCTION("""COMPUTED_VALUE"""),"臺南市永康區龍潭國民小學")</f>
        <v>臺南市永康區龍潭國民小學</v>
      </c>
      <c r="F3659" s="14" t="str">
        <f>IFERROR(__xludf.DUMMYFUNCTION("""COMPUTED_VALUE"""),"四年級")</f>
        <v>四年級</v>
      </c>
      <c r="G3659" s="14" t="str">
        <f>IFERROR(__xludf.DUMMYFUNCTION("""COMPUTED_VALUE"""),"●小禮物")</f>
        <v>●小禮物</v>
      </c>
      <c r="H3659" s="8"/>
    </row>
    <row r="3660">
      <c r="A3660" s="18"/>
      <c r="B3660" s="14">
        <f>IFERROR(__xludf.DUMMYFUNCTION("""COMPUTED_VALUE"""),960201.0)</f>
        <v>960201</v>
      </c>
      <c r="C3660" s="14" t="str">
        <f>IFERROR(__xludf.DUMMYFUNCTION("""COMPUTED_VALUE"""),"郭宸希")</f>
        <v>郭宸希</v>
      </c>
      <c r="D3660" s="16" t="str">
        <f>IFERROR(__xludf.DUMMYFUNCTION("""COMPUTED_VALUE"""),"st3*****8.tn@mail.edu.tw")</f>
        <v>st3*****8.tn@mail.edu.tw</v>
      </c>
      <c r="E3660" s="17" t="str">
        <f>IFERROR(__xludf.DUMMYFUNCTION("""COMPUTED_VALUE"""),"臺南市歸仁區文化國民小學")</f>
        <v>臺南市歸仁區文化國民小學</v>
      </c>
      <c r="F3660" s="14" t="str">
        <f>IFERROR(__xludf.DUMMYFUNCTION("""COMPUTED_VALUE"""),"三年級")</f>
        <v>三年級</v>
      </c>
      <c r="G3660" s="14" t="str">
        <f>IFERROR(__xludf.DUMMYFUNCTION("""COMPUTED_VALUE"""),"獎狀")</f>
        <v>獎狀</v>
      </c>
      <c r="H3660" s="8"/>
    </row>
    <row r="3661">
      <c r="A3661" s="18"/>
      <c r="B3661" s="14">
        <f>IFERROR(__xludf.DUMMYFUNCTION("""COMPUTED_VALUE"""),786343.0)</f>
        <v>786343</v>
      </c>
      <c r="C3661" s="14" t="str">
        <f>IFERROR(__xludf.DUMMYFUNCTION("""COMPUTED_VALUE"""),"楊雨昕")</f>
        <v>楊雨昕</v>
      </c>
      <c r="D3661" s="16" t="str">
        <f>IFERROR(__xludf.DUMMYFUNCTION("""COMPUTED_VALUE"""),"st9*****0@mail.edu.tw")</f>
        <v>st9*****0@mail.edu.tw</v>
      </c>
      <c r="E3661" s="17" t="str">
        <f>IFERROR(__xludf.DUMMYFUNCTION("""COMPUTED_VALUE"""),"臺南市歸仁區文化國民小學")</f>
        <v>臺南市歸仁區文化國民小學</v>
      </c>
      <c r="F3661" s="14" t="str">
        <f>IFERROR(__xludf.DUMMYFUNCTION("""COMPUTED_VALUE"""),"五年級")</f>
        <v>五年級</v>
      </c>
      <c r="G3661" s="14" t="str">
        <f>IFERROR(__xludf.DUMMYFUNCTION("""COMPUTED_VALUE"""),"●小禮物")</f>
        <v>●小禮物</v>
      </c>
      <c r="H3661" s="8"/>
    </row>
    <row r="3662">
      <c r="A3662" s="18"/>
      <c r="B3662" s="14">
        <f>IFERROR(__xludf.DUMMYFUNCTION("""COMPUTED_VALUE"""),518631.0)</f>
        <v>518631</v>
      </c>
      <c r="C3662" s="14" t="str">
        <f>IFERROR(__xludf.DUMMYFUNCTION("""COMPUTED_VALUE"""),"黃暄晴")</f>
        <v>黃暄晴</v>
      </c>
      <c r="D3662" s="16" t="str">
        <f>IFERROR(__xludf.DUMMYFUNCTION("""COMPUTED_VALUE"""),"st0*****7.tn@mail.edu.tw")</f>
        <v>st0*****7.tn@mail.edu.tw</v>
      </c>
      <c r="E3662" s="17" t="str">
        <f>IFERROR(__xludf.DUMMYFUNCTION("""COMPUTED_VALUE"""),"臺南市歸仁區文化國民小學")</f>
        <v>臺南市歸仁區文化國民小學</v>
      </c>
      <c r="F3662" s="14" t="str">
        <f>IFERROR(__xludf.DUMMYFUNCTION("""COMPUTED_VALUE"""),"五年級")</f>
        <v>五年級</v>
      </c>
      <c r="G3662" s="14" t="str">
        <f>IFERROR(__xludf.DUMMYFUNCTION("""COMPUTED_VALUE"""),"獎狀")</f>
        <v>獎狀</v>
      </c>
      <c r="H3662" s="8"/>
    </row>
    <row r="3663">
      <c r="A3663" s="18"/>
      <c r="B3663" s="14">
        <f>IFERROR(__xludf.DUMMYFUNCTION("""COMPUTED_VALUE"""),598424.0)</f>
        <v>598424</v>
      </c>
      <c r="C3663" s="14" t="str">
        <f>IFERROR(__xludf.DUMMYFUNCTION("""COMPUTED_VALUE"""),"蔡晏菱")</f>
        <v>蔡晏菱</v>
      </c>
      <c r="D3663" s="16" t="str">
        <f>IFERROR(__xludf.DUMMYFUNCTION("""COMPUTED_VALUE"""),"st6*****9@mail.edu.tw")</f>
        <v>st6*****9@mail.edu.tw</v>
      </c>
      <c r="E3663" s="17" t="str">
        <f>IFERROR(__xludf.DUMMYFUNCTION("""COMPUTED_VALUE"""),"臺南市歸仁區文化國民小學")</f>
        <v>臺南市歸仁區文化國民小學</v>
      </c>
      <c r="F3663" s="14" t="str">
        <f>IFERROR(__xludf.DUMMYFUNCTION("""COMPUTED_VALUE"""),"五年級")</f>
        <v>五年級</v>
      </c>
      <c r="G3663" s="14" t="str">
        <f>IFERROR(__xludf.DUMMYFUNCTION("""COMPUTED_VALUE"""),"獎狀")</f>
        <v>獎狀</v>
      </c>
      <c r="H3663" s="8"/>
    </row>
    <row r="3664">
      <c r="A3664" s="18"/>
      <c r="B3664" s="14">
        <f>IFERROR(__xludf.DUMMYFUNCTION("""COMPUTED_VALUE"""),304710.0)</f>
        <v>304710</v>
      </c>
      <c r="C3664" s="14" t="str">
        <f>IFERROR(__xludf.DUMMYFUNCTION("""COMPUTED_VALUE"""),"王清玄")</f>
        <v>王清玄</v>
      </c>
      <c r="D3664" s="16" t="str">
        <f>IFERROR(__xludf.DUMMYFUNCTION("""COMPUTED_VALUE"""),"st1*****1.tn@mail.edu.tw")</f>
        <v>st1*****1.tn@mail.edu.tw</v>
      </c>
      <c r="E3664" s="17" t="str">
        <f>IFERROR(__xludf.DUMMYFUNCTION("""COMPUTED_VALUE"""),"臺南市歸仁區文化國民小學")</f>
        <v>臺南市歸仁區文化國民小學</v>
      </c>
      <c r="F3664" s="14" t="str">
        <f>IFERROR(__xludf.DUMMYFUNCTION("""COMPUTED_VALUE"""),"六年級")</f>
        <v>六年級</v>
      </c>
      <c r="G3664" s="14" t="str">
        <f>IFERROR(__xludf.DUMMYFUNCTION("""COMPUTED_VALUE"""),"●小禮物")</f>
        <v>●小禮物</v>
      </c>
      <c r="H3664" s="8"/>
    </row>
    <row r="3665">
      <c r="A3665" s="18"/>
      <c r="B3665" s="14">
        <f>IFERROR(__xludf.DUMMYFUNCTION("""COMPUTED_VALUE"""),852750.0)</f>
        <v>852750</v>
      </c>
      <c r="C3665" s="14" t="str">
        <f>IFERROR(__xludf.DUMMYFUNCTION("""COMPUTED_VALUE"""),"王品涵")</f>
        <v>王品涵</v>
      </c>
      <c r="D3665" s="16" t="str">
        <f>IFERROR(__xludf.DUMMYFUNCTION("""COMPUTED_VALUE"""),"hwc*****7@hwces.tn.edu.tw")</f>
        <v>hwc*****7@hwces.tn.edu.tw</v>
      </c>
      <c r="E3665" s="17" t="str">
        <f>IFERROR(__xludf.DUMMYFUNCTION("""COMPUTED_VALUE"""),"臺南市歸仁區紅瓦厝國民小學")</f>
        <v>臺南市歸仁區紅瓦厝國民小學</v>
      </c>
      <c r="F3665" s="14" t="str">
        <f>IFERROR(__xludf.DUMMYFUNCTION("""COMPUTED_VALUE"""),"四年級")</f>
        <v>四年級</v>
      </c>
      <c r="G3665" s="14" t="str">
        <f>IFERROR(__xludf.DUMMYFUNCTION("""COMPUTED_VALUE"""),"●小禮物")</f>
        <v>●小禮物</v>
      </c>
      <c r="H3665" s="8"/>
    </row>
    <row r="3666">
      <c r="A3666" s="18"/>
      <c r="B3666" s="14">
        <f>IFERROR(__xludf.DUMMYFUNCTION("""COMPUTED_VALUE"""),951347.0)</f>
        <v>951347</v>
      </c>
      <c r="C3666" s="14" t="str">
        <f>IFERROR(__xludf.DUMMYFUNCTION("""COMPUTED_VALUE"""),"卓勁佟")</f>
        <v>卓勁佟</v>
      </c>
      <c r="D3666" s="16" t="str">
        <f>IFERROR(__xludf.DUMMYFUNCTION("""COMPUTED_VALUE"""),"st2*****5.tn@mail.edu.tw")</f>
        <v>st2*****5.tn@mail.edu.tw</v>
      </c>
      <c r="E3666" s="17" t="str">
        <f>IFERROR(__xludf.DUMMYFUNCTION("""COMPUTED_VALUE"""),"臺南市歸仁區歸仁國民小學")</f>
        <v>臺南市歸仁區歸仁國民小學</v>
      </c>
      <c r="F3666" s="14" t="str">
        <f>IFERROR(__xludf.DUMMYFUNCTION("""COMPUTED_VALUE"""),"四年級")</f>
        <v>四年級</v>
      </c>
      <c r="G3666" s="14" t="str">
        <f>IFERROR(__xludf.DUMMYFUNCTION("""COMPUTED_VALUE"""),"獎狀")</f>
        <v>獎狀</v>
      </c>
      <c r="H3666" s="8"/>
    </row>
    <row r="3667">
      <c r="A3667" s="18"/>
      <c r="B3667" s="14">
        <f>IFERROR(__xludf.DUMMYFUNCTION("""COMPUTED_VALUE"""),600386.0)</f>
        <v>600386</v>
      </c>
      <c r="C3667" s="14" t="str">
        <f>IFERROR(__xludf.DUMMYFUNCTION("""COMPUTED_VALUE"""),"劉明得")</f>
        <v>劉明得</v>
      </c>
      <c r="D3667" s="16" t="str">
        <f>IFERROR(__xludf.DUMMYFUNCTION("""COMPUTED_VALUE"""),"and*****@mail.edu.tw")</f>
        <v>and*****@mail.edu.tw</v>
      </c>
      <c r="E3667" s="17" t="str">
        <f>IFERROR(__xludf.DUMMYFUNCTION("""COMPUTED_VALUE"""),"臺南市歸仁區歸仁國民小學")</f>
        <v>臺南市歸仁區歸仁國民小學</v>
      </c>
      <c r="F3667" s="14" t="str">
        <f>IFERROR(__xludf.DUMMYFUNCTION("""COMPUTED_VALUE"""),"四年級")</f>
        <v>四年級</v>
      </c>
      <c r="G3667" s="14" t="str">
        <f>IFERROR(__xludf.DUMMYFUNCTION("""COMPUTED_VALUE"""),"獎狀")</f>
        <v>獎狀</v>
      </c>
      <c r="H3667" s="8"/>
    </row>
    <row r="3668">
      <c r="A3668" s="18"/>
      <c r="B3668" s="14">
        <f>IFERROR(__xludf.DUMMYFUNCTION("""COMPUTED_VALUE"""),717688.0)</f>
        <v>717688</v>
      </c>
      <c r="C3668" s="14" t="str">
        <f>IFERROR(__xludf.DUMMYFUNCTION("""COMPUTED_VALUE"""),"劉柏鋐")</f>
        <v>劉柏鋐</v>
      </c>
      <c r="D3668" s="16" t="str">
        <f>IFERROR(__xludf.DUMMYFUNCTION("""COMPUTED_VALUE"""),"st9*****1@mail.edu.tw")</f>
        <v>st9*****1@mail.edu.tw</v>
      </c>
      <c r="E3668" s="17" t="str">
        <f>IFERROR(__xludf.DUMMYFUNCTION("""COMPUTED_VALUE"""),"臺南市歸仁區歸仁國民小學")</f>
        <v>臺南市歸仁區歸仁國民小學</v>
      </c>
      <c r="F3668" s="14" t="str">
        <f>IFERROR(__xludf.DUMMYFUNCTION("""COMPUTED_VALUE"""),"五年級")</f>
        <v>五年級</v>
      </c>
      <c r="G3668" s="14" t="str">
        <f>IFERROR(__xludf.DUMMYFUNCTION("""COMPUTED_VALUE"""),"獎狀")</f>
        <v>獎狀</v>
      </c>
      <c r="H3668" s="8"/>
    </row>
    <row r="3669">
      <c r="A3669" s="18"/>
      <c r="B3669" s="14">
        <f>IFERROR(__xludf.DUMMYFUNCTION("""COMPUTED_VALUE"""),555503.0)</f>
        <v>555503</v>
      </c>
      <c r="C3669" s="14" t="str">
        <f>IFERROR(__xludf.DUMMYFUNCTION("""COMPUTED_VALUE"""),"李育陞")</f>
        <v>李育陞</v>
      </c>
      <c r="D3669" s="16" t="str">
        <f>IFERROR(__xludf.DUMMYFUNCTION("""COMPUTED_VALUE"""),"197*****g@gmail.com")</f>
        <v>197*****g@gmail.com</v>
      </c>
      <c r="E3669" s="17" t="str">
        <f>IFERROR(__xludf.DUMMYFUNCTION("""COMPUTED_VALUE"""),"臺南市歸仁區歸仁國民小學")</f>
        <v>臺南市歸仁區歸仁國民小學</v>
      </c>
      <c r="F3669" s="14" t="str">
        <f>IFERROR(__xludf.DUMMYFUNCTION("""COMPUTED_VALUE"""),"五年級")</f>
        <v>五年級</v>
      </c>
      <c r="G3669" s="14" t="str">
        <f>IFERROR(__xludf.DUMMYFUNCTION("""COMPUTED_VALUE"""),"●小禮物")</f>
        <v>●小禮物</v>
      </c>
      <c r="H3669" s="8"/>
    </row>
    <row r="3670">
      <c r="A3670" s="18"/>
      <c r="B3670" s="14">
        <f>IFERROR(__xludf.DUMMYFUNCTION("""COMPUTED_VALUE"""),951567.0)</f>
        <v>951567</v>
      </c>
      <c r="C3670" s="14" t="str">
        <f>IFERROR(__xludf.DUMMYFUNCTION("""COMPUTED_VALUE"""),"何亦倢")</f>
        <v>何亦倢</v>
      </c>
      <c r="D3670" s="16" t="str">
        <f>IFERROR(__xludf.DUMMYFUNCTION("""COMPUTED_VALUE"""),"st2*****8.tn@mail.edu.tw")</f>
        <v>st2*****8.tn@mail.edu.tw</v>
      </c>
      <c r="E3670" s="17" t="str">
        <f>IFERROR(__xludf.DUMMYFUNCTION("""COMPUTED_VALUE"""),"臺南市歸仁區歸仁國民小學")</f>
        <v>臺南市歸仁區歸仁國民小學</v>
      </c>
      <c r="F3670" s="14" t="str">
        <f>IFERROR(__xludf.DUMMYFUNCTION("""COMPUTED_VALUE"""),"五年級")</f>
        <v>五年級</v>
      </c>
      <c r="G3670" s="14" t="str">
        <f>IFERROR(__xludf.DUMMYFUNCTION("""COMPUTED_VALUE"""),"獎狀")</f>
        <v>獎狀</v>
      </c>
      <c r="H3670" s="8"/>
    </row>
    <row r="3671">
      <c r="A3671" s="18"/>
      <c r="B3671" s="14">
        <f>IFERROR(__xludf.DUMMYFUNCTION("""COMPUTED_VALUE"""),1179490.0)</f>
        <v>1179490</v>
      </c>
      <c r="C3671" s="14" t="str">
        <f>IFERROR(__xludf.DUMMYFUNCTION("""COMPUTED_VALUE"""),"周韋岑")</f>
        <v>周韋岑</v>
      </c>
      <c r="D3671" s="16" t="str">
        <f>IFERROR(__xludf.DUMMYFUNCTION("""COMPUTED_VALUE"""),"st3*****1.tn@mail.edu.tw")</f>
        <v>st3*****1.tn@mail.edu.tw</v>
      </c>
      <c r="E3671" s="17" t="str">
        <f>IFERROR(__xludf.DUMMYFUNCTION("""COMPUTED_VALUE"""),"臺南市歸仁區歸仁國民小學")</f>
        <v>臺南市歸仁區歸仁國民小學</v>
      </c>
      <c r="F3671" s="14" t="str">
        <f>IFERROR(__xludf.DUMMYFUNCTION("""COMPUTED_VALUE"""),"五年級")</f>
        <v>五年級</v>
      </c>
      <c r="G3671" s="14" t="str">
        <f>IFERROR(__xludf.DUMMYFUNCTION("""COMPUTED_VALUE"""),"獎狀")</f>
        <v>獎狀</v>
      </c>
      <c r="H3671" s="8"/>
    </row>
    <row r="3672">
      <c r="A3672" s="18"/>
      <c r="B3672" s="14">
        <f>IFERROR(__xludf.DUMMYFUNCTION("""COMPUTED_VALUE"""),1189848.0)</f>
        <v>1189848</v>
      </c>
      <c r="C3672" s="14" t="str">
        <f>IFERROR(__xludf.DUMMYFUNCTION("""COMPUTED_VALUE"""),"姚景皓")</f>
        <v>姚景皓</v>
      </c>
      <c r="D3672" s="16" t="str">
        <f>IFERROR(__xludf.DUMMYFUNCTION("""COMPUTED_VALUE"""),"st1*****1@mail.edu.tw")</f>
        <v>st1*****1@mail.edu.tw</v>
      </c>
      <c r="E3672" s="17" t="str">
        <f>IFERROR(__xludf.DUMMYFUNCTION("""COMPUTED_VALUE"""),"臺南市歸仁區歸仁國民小學")</f>
        <v>臺南市歸仁區歸仁國民小學</v>
      </c>
      <c r="F3672" s="14" t="str">
        <f>IFERROR(__xludf.DUMMYFUNCTION("""COMPUTED_VALUE"""),"五年級")</f>
        <v>五年級</v>
      </c>
      <c r="G3672" s="14" t="str">
        <f>IFERROR(__xludf.DUMMYFUNCTION("""COMPUTED_VALUE"""),"獎狀")</f>
        <v>獎狀</v>
      </c>
      <c r="H3672" s="8"/>
    </row>
    <row r="3673">
      <c r="A3673" s="18"/>
      <c r="B3673" s="14">
        <f>IFERROR(__xludf.DUMMYFUNCTION("""COMPUTED_VALUE"""),603802.0)</f>
        <v>603802</v>
      </c>
      <c r="C3673" s="14" t="str">
        <f>IFERROR(__xludf.DUMMYFUNCTION("""COMPUTED_VALUE"""),"鄭向芸")</f>
        <v>鄭向芸</v>
      </c>
      <c r="D3673" s="16" t="str">
        <f>IFERROR(__xludf.DUMMYFUNCTION("""COMPUTED_VALUE"""),"st0*****5@mail.edu.tw")</f>
        <v>st0*****5@mail.edu.tw</v>
      </c>
      <c r="E3673" s="17" t="str">
        <f>IFERROR(__xludf.DUMMYFUNCTION("""COMPUTED_VALUE"""),"臺南市歸仁區歸仁國民小學")</f>
        <v>臺南市歸仁區歸仁國民小學</v>
      </c>
      <c r="F3673" s="14" t="str">
        <f>IFERROR(__xludf.DUMMYFUNCTION("""COMPUTED_VALUE"""),"五年級")</f>
        <v>五年級</v>
      </c>
      <c r="G3673" s="14" t="str">
        <f>IFERROR(__xludf.DUMMYFUNCTION("""COMPUTED_VALUE"""),"獎狀")</f>
        <v>獎狀</v>
      </c>
      <c r="H3673" s="8"/>
    </row>
    <row r="3674">
      <c r="A3674" s="18"/>
      <c r="B3674" s="14">
        <f>IFERROR(__xludf.DUMMYFUNCTION("""COMPUTED_VALUE"""),914839.0)</f>
        <v>914839</v>
      </c>
      <c r="C3674" s="14" t="str">
        <f>IFERROR(__xludf.DUMMYFUNCTION("""COMPUTED_VALUE"""),"吳沛純")</f>
        <v>吳沛純</v>
      </c>
      <c r="D3674" s="16" t="str">
        <f>IFERROR(__xludf.DUMMYFUNCTION("""COMPUTED_VALUE"""),"st1*****0.tn@mail.edu.tw")</f>
        <v>st1*****0.tn@mail.edu.tw</v>
      </c>
      <c r="E3674" s="17" t="str">
        <f>IFERROR(__xludf.DUMMYFUNCTION("""COMPUTED_VALUE"""),"臺南市歸仁區歸仁國民小學")</f>
        <v>臺南市歸仁區歸仁國民小學</v>
      </c>
      <c r="F3674" s="14" t="str">
        <f>IFERROR(__xludf.DUMMYFUNCTION("""COMPUTED_VALUE"""),"六年級")</f>
        <v>六年級</v>
      </c>
      <c r="G3674" s="14" t="str">
        <f>IFERROR(__xludf.DUMMYFUNCTION("""COMPUTED_VALUE"""),"●小禮物")</f>
        <v>●小禮物</v>
      </c>
      <c r="H3674" s="8"/>
    </row>
    <row r="3675">
      <c r="A3675" s="18"/>
      <c r="B3675" s="14">
        <f>IFERROR(__xludf.DUMMYFUNCTION("""COMPUTED_VALUE"""),1093103.0)</f>
        <v>1093103</v>
      </c>
      <c r="C3675" s="14" t="str">
        <f>IFERROR(__xludf.DUMMYFUNCTION("""COMPUTED_VALUE"""),"郭雅瑄")</f>
        <v>郭雅瑄</v>
      </c>
      <c r="D3675" s="16" t="str">
        <f>IFERROR(__xludf.DUMMYFUNCTION("""COMPUTED_VALUE"""),"st1*****0@mail.edu.tw")</f>
        <v>st1*****0@mail.edu.tw</v>
      </c>
      <c r="E3675" s="17" t="str">
        <f>IFERROR(__xludf.DUMMYFUNCTION("""COMPUTED_VALUE"""),"臺南市新化區大新國民小學")</f>
        <v>臺南市新化區大新國民小學</v>
      </c>
      <c r="F3675" s="14" t="str">
        <f>IFERROR(__xludf.DUMMYFUNCTION("""COMPUTED_VALUE"""),"三年級")</f>
        <v>三年級</v>
      </c>
      <c r="G3675" s="14" t="str">
        <f>IFERROR(__xludf.DUMMYFUNCTION("""COMPUTED_VALUE"""),"獎狀")</f>
        <v>獎狀</v>
      </c>
      <c r="H3675" s="8"/>
    </row>
    <row r="3676">
      <c r="A3676" s="18"/>
      <c r="B3676" s="14">
        <f>IFERROR(__xludf.DUMMYFUNCTION("""COMPUTED_VALUE"""),1039789.0)</f>
        <v>1039789</v>
      </c>
      <c r="C3676" s="14" t="str">
        <f>IFERROR(__xludf.DUMMYFUNCTION("""COMPUTED_VALUE"""),"郭雅萍")</f>
        <v>郭雅萍</v>
      </c>
      <c r="D3676" s="16" t="str">
        <f>IFERROR(__xludf.DUMMYFUNCTION("""COMPUTED_VALUE"""),"npp*****23@mail.edu.tw")</f>
        <v>npp*****23@mail.edu.tw</v>
      </c>
      <c r="E3676" s="17" t="str">
        <f>IFERROR(__xludf.DUMMYFUNCTION("""COMPUTED_VALUE"""),"臺南市新化區大新國民小學")</f>
        <v>臺南市新化區大新國民小學</v>
      </c>
      <c r="F3676" s="14" t="str">
        <f>IFERROR(__xludf.DUMMYFUNCTION("""COMPUTED_VALUE"""),"四年級")</f>
        <v>四年級</v>
      </c>
      <c r="G3676" s="14" t="str">
        <f>IFERROR(__xludf.DUMMYFUNCTION("""COMPUTED_VALUE"""),"●小禮物")</f>
        <v>●小禮物</v>
      </c>
      <c r="H3676" s="8"/>
    </row>
    <row r="3677">
      <c r="A3677" s="18"/>
      <c r="B3677" s="14">
        <f>IFERROR(__xludf.DUMMYFUNCTION("""COMPUTED_VALUE"""),640661.0)</f>
        <v>640661</v>
      </c>
      <c r="C3677" s="14" t="str">
        <f>IFERROR(__xludf.DUMMYFUNCTION("""COMPUTED_VALUE"""),"裴迦恩")</f>
        <v>裴迦恩</v>
      </c>
      <c r="D3677" s="16" t="str">
        <f>IFERROR(__xludf.DUMMYFUNCTION("""COMPUTED_VALUE"""),"st3*****1.tn@mail.edu.tw")</f>
        <v>st3*****1.tn@mail.edu.tw</v>
      </c>
      <c r="E3677" s="17" t="str">
        <f>IFERROR(__xludf.DUMMYFUNCTION("""COMPUTED_VALUE"""),"臺南市南化區玉山國民小學")</f>
        <v>臺南市南化區玉山國民小學</v>
      </c>
      <c r="F3677" s="14" t="str">
        <f>IFERROR(__xludf.DUMMYFUNCTION("""COMPUTED_VALUE"""),"三年級")</f>
        <v>三年級</v>
      </c>
      <c r="G3677" s="14" t="str">
        <f>IFERROR(__xludf.DUMMYFUNCTION("""COMPUTED_VALUE"""),"●小禮物")</f>
        <v>●小禮物</v>
      </c>
      <c r="H3677" s="8"/>
    </row>
    <row r="3678">
      <c r="A3678" s="18"/>
      <c r="B3678" s="14">
        <f>IFERROR(__xludf.DUMMYFUNCTION("""COMPUTED_VALUE"""),597078.0)</f>
        <v>597078</v>
      </c>
      <c r="C3678" s="14" t="str">
        <f>IFERROR(__xludf.DUMMYFUNCTION("""COMPUTED_VALUE"""),"江鴻承")</f>
        <v>江鴻承</v>
      </c>
      <c r="D3678" s="16" t="str">
        <f>IFERROR(__xludf.DUMMYFUNCTION("""COMPUTED_VALUE"""),"st3*****6.tn@mail.edu.tw")</f>
        <v>st3*****6.tn@mail.edu.tw</v>
      </c>
      <c r="E3678" s="17" t="str">
        <f>IFERROR(__xludf.DUMMYFUNCTION("""COMPUTED_VALUE"""),"臺南市南化區玉山國民小學")</f>
        <v>臺南市南化區玉山國民小學</v>
      </c>
      <c r="F3678" s="14" t="str">
        <f>IFERROR(__xludf.DUMMYFUNCTION("""COMPUTED_VALUE"""),"五年級")</f>
        <v>五年級</v>
      </c>
      <c r="G3678" s="14" t="str">
        <f>IFERROR(__xludf.DUMMYFUNCTION("""COMPUTED_VALUE"""),"●小禮物")</f>
        <v>●小禮物</v>
      </c>
      <c r="H3678" s="8"/>
    </row>
    <row r="3679">
      <c r="A3679" s="18"/>
      <c r="B3679" s="14">
        <f>IFERROR(__xludf.DUMMYFUNCTION("""COMPUTED_VALUE"""),640953.0)</f>
        <v>640953</v>
      </c>
      <c r="C3679" s="14" t="str">
        <f>IFERROR(__xludf.DUMMYFUNCTION("""COMPUTED_VALUE"""),"陳又瑄")</f>
        <v>陳又瑄</v>
      </c>
      <c r="D3679" s="16" t="str">
        <f>IFERROR(__xludf.DUMMYFUNCTION("""COMPUTED_VALUE"""),"st3*****7@mail.edu.tw")</f>
        <v>st3*****7@mail.edu.tw</v>
      </c>
      <c r="E3679" s="17" t="str">
        <f>IFERROR(__xludf.DUMMYFUNCTION("""COMPUTED_VALUE"""),"臺南市南化區玉山國民小學")</f>
        <v>臺南市南化區玉山國民小學</v>
      </c>
      <c r="F3679" s="14" t="str">
        <f>IFERROR(__xludf.DUMMYFUNCTION("""COMPUTED_VALUE"""),"五年級")</f>
        <v>五年級</v>
      </c>
      <c r="G3679" s="14" t="str">
        <f>IFERROR(__xludf.DUMMYFUNCTION("""COMPUTED_VALUE"""),"●小禮物")</f>
        <v>●小禮物</v>
      </c>
      <c r="H3679" s="8"/>
    </row>
    <row r="3680">
      <c r="A3680" s="18"/>
      <c r="B3680" s="14">
        <f>IFERROR(__xludf.DUMMYFUNCTION("""COMPUTED_VALUE"""),597944.0)</f>
        <v>597944</v>
      </c>
      <c r="C3680" s="14" t="str">
        <f>IFERROR(__xludf.DUMMYFUNCTION("""COMPUTED_VALUE"""),"陳名敬")</f>
        <v>陳名敬</v>
      </c>
      <c r="D3680" s="16" t="str">
        <f>IFERROR(__xludf.DUMMYFUNCTION("""COMPUTED_VALUE"""),"st1*****6.tn@mail.edu.tw")</f>
        <v>st1*****6.tn@mail.edu.tw</v>
      </c>
      <c r="E3680" s="17" t="str">
        <f>IFERROR(__xludf.DUMMYFUNCTION("""COMPUTED_VALUE"""),"臺南市南化區玉山國民小學")</f>
        <v>臺南市南化區玉山國民小學</v>
      </c>
      <c r="F3680" s="14" t="str">
        <f>IFERROR(__xludf.DUMMYFUNCTION("""COMPUTED_VALUE"""),"五年級")</f>
        <v>五年級</v>
      </c>
      <c r="G3680" s="14" t="str">
        <f>IFERROR(__xludf.DUMMYFUNCTION("""COMPUTED_VALUE"""),"獎狀")</f>
        <v>獎狀</v>
      </c>
      <c r="H3680" s="8"/>
    </row>
    <row r="3681">
      <c r="A3681" s="18"/>
      <c r="B3681" s="14">
        <f>IFERROR(__xludf.DUMMYFUNCTION("""COMPUTED_VALUE"""),638936.0)</f>
        <v>638936</v>
      </c>
      <c r="C3681" s="14" t="str">
        <f>IFERROR(__xludf.DUMMYFUNCTION("""COMPUTED_VALUE"""),"江錡蒝")</f>
        <v>江錡蒝</v>
      </c>
      <c r="D3681" s="16" t="str">
        <f>IFERROR(__xludf.DUMMYFUNCTION("""COMPUTED_VALUE"""),"st3*****6@mail.edu.tw")</f>
        <v>st3*****6@mail.edu.tw</v>
      </c>
      <c r="E3681" s="17" t="str">
        <f>IFERROR(__xludf.DUMMYFUNCTION("""COMPUTED_VALUE"""),"臺南市南化區玉山國民小學")</f>
        <v>臺南市南化區玉山國民小學</v>
      </c>
      <c r="F3681" s="14" t="str">
        <f>IFERROR(__xludf.DUMMYFUNCTION("""COMPUTED_VALUE"""),"六年級")</f>
        <v>六年級</v>
      </c>
      <c r="G3681" s="14" t="str">
        <f>IFERROR(__xludf.DUMMYFUNCTION("""COMPUTED_VALUE"""),"●小禮物")</f>
        <v>●小禮物</v>
      </c>
      <c r="H3681" s="8"/>
    </row>
    <row r="3682">
      <c r="A3682" s="18"/>
      <c r="B3682" s="14">
        <f>IFERROR(__xludf.DUMMYFUNCTION("""COMPUTED_VALUE"""),383558.0)</f>
        <v>383558</v>
      </c>
      <c r="C3682" s="14" t="str">
        <f>IFERROR(__xludf.DUMMYFUNCTION("""COMPUTED_VALUE"""),"張芷晴")</f>
        <v>張芷晴</v>
      </c>
      <c r="D3682" s="16" t="str">
        <f>IFERROR(__xludf.DUMMYFUNCTION("""COMPUTED_VALUE"""),"st3*****8.tn@mail.edu.tw")</f>
        <v>st3*****8.tn@mail.edu.tw</v>
      </c>
      <c r="E3682" s="17" t="str">
        <f>IFERROR(__xludf.DUMMYFUNCTION("""COMPUTED_VALUE"""),"臺南市南化區玉山國民小學")</f>
        <v>臺南市南化區玉山國民小學</v>
      </c>
      <c r="F3682" s="14" t="str">
        <f>IFERROR(__xludf.DUMMYFUNCTION("""COMPUTED_VALUE"""),"六年級")</f>
        <v>六年級</v>
      </c>
      <c r="G3682" s="14" t="str">
        <f>IFERROR(__xludf.DUMMYFUNCTION("""COMPUTED_VALUE"""),"●小禮物")</f>
        <v>●小禮物</v>
      </c>
      <c r="H3682" s="8"/>
    </row>
    <row r="3683">
      <c r="A3683" s="18"/>
      <c r="B3683" s="14">
        <f>IFERROR(__xludf.DUMMYFUNCTION("""COMPUTED_VALUE"""),383557.0)</f>
        <v>383557</v>
      </c>
      <c r="C3683" s="14" t="str">
        <f>IFERROR(__xludf.DUMMYFUNCTION("""COMPUTED_VALUE"""),"郭恩禎")</f>
        <v>郭恩禎</v>
      </c>
      <c r="D3683" s="16" t="str">
        <f>IFERROR(__xludf.DUMMYFUNCTION("""COMPUTED_VALUE"""),"st3*****3.tn@mail.edu.tw")</f>
        <v>st3*****3.tn@mail.edu.tw</v>
      </c>
      <c r="E3683" s="17" t="str">
        <f>IFERROR(__xludf.DUMMYFUNCTION("""COMPUTED_VALUE"""),"臺南市南化區玉山國民小學")</f>
        <v>臺南市南化區玉山國民小學</v>
      </c>
      <c r="F3683" s="14" t="str">
        <f>IFERROR(__xludf.DUMMYFUNCTION("""COMPUTED_VALUE"""),"六年級")</f>
        <v>六年級</v>
      </c>
      <c r="G3683" s="14" t="str">
        <f>IFERROR(__xludf.DUMMYFUNCTION("""COMPUTED_VALUE"""),"●小禮物")</f>
        <v>●小禮物</v>
      </c>
      <c r="H3683" s="8"/>
    </row>
    <row r="3684">
      <c r="A3684" s="18"/>
      <c r="B3684" s="14">
        <f>IFERROR(__xludf.DUMMYFUNCTION("""COMPUTED_VALUE"""),383561.0)</f>
        <v>383561</v>
      </c>
      <c r="C3684" s="14" t="str">
        <f>IFERROR(__xludf.DUMMYFUNCTION("""COMPUTED_VALUE"""),"陳柏崴")</f>
        <v>陳柏崴</v>
      </c>
      <c r="D3684" s="16" t="str">
        <f>IFERROR(__xludf.DUMMYFUNCTION("""COMPUTED_VALUE"""),"st5*****6.tn@mail.edu.tw")</f>
        <v>st5*****6.tn@mail.edu.tw</v>
      </c>
      <c r="E3684" s="17" t="str">
        <f>IFERROR(__xludf.DUMMYFUNCTION("""COMPUTED_VALUE"""),"臺南市南化區玉山國民小學")</f>
        <v>臺南市南化區玉山國民小學</v>
      </c>
      <c r="F3684" s="14" t="str">
        <f>IFERROR(__xludf.DUMMYFUNCTION("""COMPUTED_VALUE"""),"六年級")</f>
        <v>六年級</v>
      </c>
      <c r="G3684" s="14" t="str">
        <f>IFERROR(__xludf.DUMMYFUNCTION("""COMPUTED_VALUE"""),"●小禮物")</f>
        <v>●小禮物</v>
      </c>
      <c r="H3684" s="8"/>
    </row>
    <row r="3685">
      <c r="A3685" s="18"/>
      <c r="B3685" s="14">
        <f>IFERROR(__xludf.DUMMYFUNCTION("""COMPUTED_VALUE"""),383560.0)</f>
        <v>383560</v>
      </c>
      <c r="C3685" s="14" t="str">
        <f>IFERROR(__xludf.DUMMYFUNCTION("""COMPUTED_VALUE"""),"林紅玉")</f>
        <v>林紅玉</v>
      </c>
      <c r="D3685" s="16" t="str">
        <f>IFERROR(__xludf.DUMMYFUNCTION("""COMPUTED_VALUE"""),"st3*****8.tn@mail.edu.tw")</f>
        <v>st3*****8.tn@mail.edu.tw</v>
      </c>
      <c r="E3685" s="17" t="str">
        <f>IFERROR(__xludf.DUMMYFUNCTION("""COMPUTED_VALUE"""),"臺南市南化區玉山國民小學")</f>
        <v>臺南市南化區玉山國民小學</v>
      </c>
      <c r="F3685" s="14" t="str">
        <f>IFERROR(__xludf.DUMMYFUNCTION("""COMPUTED_VALUE"""),"六年級")</f>
        <v>六年級</v>
      </c>
      <c r="G3685" s="14" t="str">
        <f>IFERROR(__xludf.DUMMYFUNCTION("""COMPUTED_VALUE"""),"獎狀")</f>
        <v>獎狀</v>
      </c>
      <c r="H3685" s="8"/>
    </row>
    <row r="3686">
      <c r="A3686" s="18"/>
      <c r="B3686" s="14">
        <f>IFERROR(__xludf.DUMMYFUNCTION("""COMPUTED_VALUE"""),883250.0)</f>
        <v>883250</v>
      </c>
      <c r="C3686" s="14" t="str">
        <f>IFERROR(__xludf.DUMMYFUNCTION("""COMPUTED_VALUE"""),"詹博勛")</f>
        <v>詹博勛</v>
      </c>
      <c r="D3686" s="16" t="str">
        <f>IFERROR(__xludf.DUMMYFUNCTION("""COMPUTED_VALUE"""),"st7*****3.tn@mail.edu.tw")</f>
        <v>st7*****3.tn@mail.edu.tw</v>
      </c>
      <c r="E3686" s="17" t="str">
        <f>IFERROR(__xludf.DUMMYFUNCTION("""COMPUTED_VALUE"""),"臺南市南化區南化國民小學")</f>
        <v>臺南市南化區南化國民小學</v>
      </c>
      <c r="F3686" s="14" t="str">
        <f>IFERROR(__xludf.DUMMYFUNCTION("""COMPUTED_VALUE"""),"四年級")</f>
        <v>四年級</v>
      </c>
      <c r="G3686" s="14" t="str">
        <f>IFERROR(__xludf.DUMMYFUNCTION("""COMPUTED_VALUE"""),"獎狀")</f>
        <v>獎狀</v>
      </c>
      <c r="H3686" s="8"/>
    </row>
    <row r="3687">
      <c r="A3687" s="18"/>
      <c r="B3687" s="14">
        <f>IFERROR(__xludf.DUMMYFUNCTION("""COMPUTED_VALUE"""),662450.0)</f>
        <v>662450</v>
      </c>
      <c r="C3687" s="14" t="str">
        <f>IFERROR(__xludf.DUMMYFUNCTION("""COMPUTED_VALUE"""),"蘇禹志")</f>
        <v>蘇禹志</v>
      </c>
      <c r="D3687" s="16" t="str">
        <f>IFERROR(__xludf.DUMMYFUNCTION("""COMPUTED_VALUE"""),"st6*****9@rdes.tn.edu.tw")</f>
        <v>st6*****9@rdes.tn.edu.tw</v>
      </c>
      <c r="E3687" s="17" t="str">
        <f>IFERROR(__xludf.DUMMYFUNCTION("""COMPUTED_VALUE"""),"臺南市仁德區仁德國民小學")</f>
        <v>臺南市仁德區仁德國民小學</v>
      </c>
      <c r="F3687" s="14" t="str">
        <f>IFERROR(__xludf.DUMMYFUNCTION("""COMPUTED_VALUE"""),"五年級")</f>
        <v>五年級</v>
      </c>
      <c r="G3687" s="14" t="str">
        <f>IFERROR(__xludf.DUMMYFUNCTION("""COMPUTED_VALUE"""),"●小禮物")</f>
        <v>●小禮物</v>
      </c>
      <c r="H3687" s="8"/>
    </row>
    <row r="3688">
      <c r="A3688" s="18"/>
      <c r="B3688" s="14">
        <f>IFERROR(__xludf.DUMMYFUNCTION("""COMPUTED_VALUE"""),273532.0)</f>
        <v>273532</v>
      </c>
      <c r="C3688" s="14" t="str">
        <f>IFERROR(__xludf.DUMMYFUNCTION("""COMPUTED_VALUE"""),"黃鎵葰")</f>
        <v>黃鎵葰</v>
      </c>
      <c r="D3688" s="16" t="str">
        <f>IFERROR(__xludf.DUMMYFUNCTION("""COMPUTED_VALUE"""),"jim*****1@gmail.com")</f>
        <v>jim*****1@gmail.com</v>
      </c>
      <c r="E3688" s="17" t="str">
        <f>IFERROR(__xludf.DUMMYFUNCTION("""COMPUTED_VALUE"""),"臺南市仁德區仁德國民小學")</f>
        <v>臺南市仁德區仁德國民小學</v>
      </c>
      <c r="F3688" s="14" t="str">
        <f>IFERROR(__xludf.DUMMYFUNCTION("""COMPUTED_VALUE"""),"六年級")</f>
        <v>六年級</v>
      </c>
      <c r="G3688" s="14" t="str">
        <f>IFERROR(__xludf.DUMMYFUNCTION("""COMPUTED_VALUE"""),"獎狀")</f>
        <v>獎狀</v>
      </c>
      <c r="H3688" s="8"/>
    </row>
    <row r="3689">
      <c r="A3689" s="18"/>
      <c r="B3689" s="14">
        <f>IFERROR(__xludf.DUMMYFUNCTION("""COMPUTED_VALUE"""),673145.0)</f>
        <v>673145</v>
      </c>
      <c r="C3689" s="14" t="str">
        <f>IFERROR(__xludf.DUMMYFUNCTION("""COMPUTED_VALUE"""),"張茪竣")</f>
        <v>張茪竣</v>
      </c>
      <c r="D3689" s="16" t="str">
        <f>IFERROR(__xludf.DUMMYFUNCTION("""COMPUTED_VALUE"""),"pot*****06036@mail.edu.tw")</f>
        <v>pot*****06036@mail.edu.tw</v>
      </c>
      <c r="E3689" s="17" t="str">
        <f>IFERROR(__xludf.DUMMYFUNCTION("""COMPUTED_VALUE"""),"臺南市仁德區仁和國民小學")</f>
        <v>臺南市仁德區仁和國民小學</v>
      </c>
      <c r="F3689" s="14" t="str">
        <f>IFERROR(__xludf.DUMMYFUNCTION("""COMPUTED_VALUE"""),"六年級")</f>
        <v>六年級</v>
      </c>
      <c r="G3689" s="14" t="str">
        <f>IFERROR(__xludf.DUMMYFUNCTION("""COMPUTED_VALUE"""),"獎狀")</f>
        <v>獎狀</v>
      </c>
      <c r="H3689" s="8"/>
    </row>
    <row r="3690">
      <c r="A3690" s="18"/>
      <c r="B3690" s="14">
        <f>IFERROR(__xludf.DUMMYFUNCTION("""COMPUTED_VALUE"""),420244.0)</f>
        <v>420244</v>
      </c>
      <c r="C3690" s="14" t="str">
        <f>IFERROR(__xludf.DUMMYFUNCTION("""COMPUTED_VALUE"""),"陳彥華")</f>
        <v>陳彥華</v>
      </c>
      <c r="D3690" s="16" t="str">
        <f>IFERROR(__xludf.DUMMYFUNCTION("""COMPUTED_VALUE"""),"st1*****5.tn@mail.edu.tw")</f>
        <v>st1*****5.tn@mail.edu.tw</v>
      </c>
      <c r="E3690" s="17" t="str">
        <f>IFERROR(__xludf.DUMMYFUNCTION("""COMPUTED_VALUE"""),"臺南市仁德區仁和國民小學")</f>
        <v>臺南市仁德區仁和國民小學</v>
      </c>
      <c r="F3690" s="14" t="str">
        <f>IFERROR(__xludf.DUMMYFUNCTION("""COMPUTED_VALUE"""),"六年級")</f>
        <v>六年級</v>
      </c>
      <c r="G3690" s="14" t="str">
        <f>IFERROR(__xludf.DUMMYFUNCTION("""COMPUTED_VALUE"""),"獎狀")</f>
        <v>獎狀</v>
      </c>
      <c r="H3690" s="8"/>
    </row>
    <row r="3691">
      <c r="A3691" s="18"/>
      <c r="B3691" s="14">
        <f>IFERROR(__xludf.DUMMYFUNCTION("""COMPUTED_VALUE"""),335744.0)</f>
        <v>335744</v>
      </c>
      <c r="C3691" s="14" t="str">
        <f>IFERROR(__xludf.DUMMYFUNCTION("""COMPUTED_VALUE"""),"陳彥勳")</f>
        <v>陳彥勳</v>
      </c>
      <c r="D3691" s="16" t="str">
        <f>IFERROR(__xludf.DUMMYFUNCTION("""COMPUTED_VALUE"""),"st1*****1.tn@mail.edu.tw")</f>
        <v>st1*****1.tn@mail.edu.tw</v>
      </c>
      <c r="E3691" s="17" t="str">
        <f>IFERROR(__xludf.DUMMYFUNCTION("""COMPUTED_VALUE"""),"臺南市仁德區仁和國民小學")</f>
        <v>臺南市仁德區仁和國民小學</v>
      </c>
      <c r="F3691" s="14" t="str">
        <f>IFERROR(__xludf.DUMMYFUNCTION("""COMPUTED_VALUE"""),"六年級")</f>
        <v>六年級</v>
      </c>
      <c r="G3691" s="14" t="str">
        <f>IFERROR(__xludf.DUMMYFUNCTION("""COMPUTED_VALUE"""),"獎狀")</f>
        <v>獎狀</v>
      </c>
      <c r="H3691" s="8"/>
    </row>
    <row r="3692">
      <c r="A3692" s="18"/>
      <c r="B3692" s="14">
        <f>IFERROR(__xludf.DUMMYFUNCTION("""COMPUTED_VALUE"""),936531.0)</f>
        <v>936531</v>
      </c>
      <c r="C3692" s="14" t="str">
        <f>IFERROR(__xludf.DUMMYFUNCTION("""COMPUTED_VALUE"""),"陳欣婕")</f>
        <v>陳欣婕</v>
      </c>
      <c r="D3692" s="16" t="str">
        <f>IFERROR(__xludf.DUMMYFUNCTION("""COMPUTED_VALUE"""),"st1*****3@mail.edu.tw")</f>
        <v>st1*****3@mail.edu.tw</v>
      </c>
      <c r="E3692" s="17" t="str">
        <f>IFERROR(__xludf.DUMMYFUNCTION("""COMPUTED_VALUE"""),"臺南市仁德區德南國民小學")</f>
        <v>臺南市仁德區德南國民小學</v>
      </c>
      <c r="F3692" s="14" t="str">
        <f>IFERROR(__xludf.DUMMYFUNCTION("""COMPUTED_VALUE"""),"三年級")</f>
        <v>三年級</v>
      </c>
      <c r="G3692" s="14" t="str">
        <f>IFERROR(__xludf.DUMMYFUNCTION("""COMPUTED_VALUE"""),"●小禮物")</f>
        <v>●小禮物</v>
      </c>
      <c r="H3692" s="8"/>
    </row>
    <row r="3693">
      <c r="A3693" s="18"/>
      <c r="B3693" s="14">
        <f>IFERROR(__xludf.DUMMYFUNCTION("""COMPUTED_VALUE"""),542532.0)</f>
        <v>542532</v>
      </c>
      <c r="C3693" s="14" t="str">
        <f>IFERROR(__xludf.DUMMYFUNCTION("""COMPUTED_VALUE"""),"陳豊豫")</f>
        <v>陳豊豫</v>
      </c>
      <c r="D3693" s="16" t="str">
        <f>IFERROR(__xludf.DUMMYFUNCTION("""COMPUTED_VALUE"""),"st1*****3.tn@mail.edu.tw")</f>
        <v>st1*****3.tn@mail.edu.tw</v>
      </c>
      <c r="E3693" s="17" t="str">
        <f>IFERROR(__xludf.DUMMYFUNCTION("""COMPUTED_VALUE"""),"臺南市仁德區德南國民小學")</f>
        <v>臺南市仁德區德南國民小學</v>
      </c>
      <c r="F3693" s="14" t="str">
        <f>IFERROR(__xludf.DUMMYFUNCTION("""COMPUTED_VALUE"""),"五年級")</f>
        <v>五年級</v>
      </c>
      <c r="G3693" s="14" t="str">
        <f>IFERROR(__xludf.DUMMYFUNCTION("""COMPUTED_VALUE"""),"獎狀")</f>
        <v>獎狀</v>
      </c>
      <c r="H3693" s="8"/>
    </row>
    <row r="3694">
      <c r="A3694" s="18"/>
      <c r="B3694" s="14">
        <f>IFERROR(__xludf.DUMMYFUNCTION("""COMPUTED_VALUE"""),1000844.0)</f>
        <v>1000844</v>
      </c>
      <c r="C3694" s="14" t="str">
        <f>IFERROR(__xludf.DUMMYFUNCTION("""COMPUTED_VALUE"""),"李柔璇")</f>
        <v>李柔璇</v>
      </c>
      <c r="D3694" s="16" t="str">
        <f>IFERROR(__xludf.DUMMYFUNCTION("""COMPUTED_VALUE"""),"st4*****0.tn@mail.edu.tw")</f>
        <v>st4*****0.tn@mail.edu.tw</v>
      </c>
      <c r="E3694" s="17" t="str">
        <f>IFERROR(__xludf.DUMMYFUNCTION("""COMPUTED_VALUE"""),"臺南市關廟區崇和國民小學")</f>
        <v>臺南市關廟區崇和國民小學</v>
      </c>
      <c r="F3694" s="14" t="str">
        <f>IFERROR(__xludf.DUMMYFUNCTION("""COMPUTED_VALUE"""),"三年級")</f>
        <v>三年級</v>
      </c>
      <c r="G3694" s="14" t="str">
        <f>IFERROR(__xludf.DUMMYFUNCTION("""COMPUTED_VALUE"""),"獎狀")</f>
        <v>獎狀</v>
      </c>
      <c r="H3694" s="8"/>
    </row>
    <row r="3695">
      <c r="A3695" s="18"/>
      <c r="B3695" s="14">
        <f>IFERROR(__xludf.DUMMYFUNCTION("""COMPUTED_VALUE"""),711410.0)</f>
        <v>711410</v>
      </c>
      <c r="C3695" s="14" t="str">
        <f>IFERROR(__xludf.DUMMYFUNCTION("""COMPUTED_VALUE"""),"周妍")</f>
        <v>周妍</v>
      </c>
      <c r="D3695" s="16" t="str">
        <f>IFERROR(__xludf.DUMMYFUNCTION("""COMPUTED_VALUE"""),"st3*****1.tn@mail.edu.tw")</f>
        <v>st3*****1.tn@mail.edu.tw</v>
      </c>
      <c r="E3695" s="17" t="str">
        <f>IFERROR(__xludf.DUMMYFUNCTION("""COMPUTED_VALUE"""),"臺南市關廟區五甲國民小學")</f>
        <v>臺南市關廟區五甲國民小學</v>
      </c>
      <c r="F3695" s="14" t="str">
        <f>IFERROR(__xludf.DUMMYFUNCTION("""COMPUTED_VALUE"""),"四年級")</f>
        <v>四年級</v>
      </c>
      <c r="G3695" s="14" t="str">
        <f>IFERROR(__xludf.DUMMYFUNCTION("""COMPUTED_VALUE"""),"獎狀")</f>
        <v>獎狀</v>
      </c>
      <c r="H3695" s="8"/>
    </row>
    <row r="3696">
      <c r="A3696" s="18"/>
      <c r="B3696" s="14">
        <f>IFERROR(__xludf.DUMMYFUNCTION("""COMPUTED_VALUE"""),555808.0)</f>
        <v>555808</v>
      </c>
      <c r="C3696" s="14" t="str">
        <f>IFERROR(__xludf.DUMMYFUNCTION("""COMPUTED_VALUE"""),"陳怡秀")</f>
        <v>陳怡秀</v>
      </c>
      <c r="D3696" s="16" t="str">
        <f>IFERROR(__xludf.DUMMYFUNCTION("""COMPUTED_VALUE"""),"st3*****8@mail.edu.tw")</f>
        <v>st3*****8@mail.edu.tw</v>
      </c>
      <c r="E3696" s="17" t="str">
        <f>IFERROR(__xludf.DUMMYFUNCTION("""COMPUTED_VALUE"""),"臺南市關廟區五甲國民小學")</f>
        <v>臺南市關廟區五甲國民小學</v>
      </c>
      <c r="F3696" s="14" t="str">
        <f>IFERROR(__xludf.DUMMYFUNCTION("""COMPUTED_VALUE"""),"五年級")</f>
        <v>五年級</v>
      </c>
      <c r="G3696" s="14" t="str">
        <f>IFERROR(__xludf.DUMMYFUNCTION("""COMPUTED_VALUE"""),"●小禮物")</f>
        <v>●小禮物</v>
      </c>
      <c r="H3696" s="8"/>
    </row>
    <row r="3697">
      <c r="A3697" s="18"/>
      <c r="B3697" s="14">
        <f>IFERROR(__xludf.DUMMYFUNCTION("""COMPUTED_VALUE"""),877357.0)</f>
        <v>877357</v>
      </c>
      <c r="C3697" s="14" t="str">
        <f>IFERROR(__xludf.DUMMYFUNCTION("""COMPUTED_VALUE"""),"郭俐彤")</f>
        <v>郭俐彤</v>
      </c>
      <c r="D3697" s="16" t="str">
        <f>IFERROR(__xludf.DUMMYFUNCTION("""COMPUTED_VALUE"""),"st3*****1@mail.edu.tw")</f>
        <v>st3*****1@mail.edu.tw</v>
      </c>
      <c r="E3697" s="17" t="str">
        <f>IFERROR(__xludf.DUMMYFUNCTION("""COMPUTED_VALUE"""),"臺南市關廟區五甲國民小學")</f>
        <v>臺南市關廟區五甲國民小學</v>
      </c>
      <c r="F3697" s="14" t="str">
        <f>IFERROR(__xludf.DUMMYFUNCTION("""COMPUTED_VALUE"""),"五年級")</f>
        <v>五年級</v>
      </c>
      <c r="G3697" s="14" t="str">
        <f>IFERROR(__xludf.DUMMYFUNCTION("""COMPUTED_VALUE"""),"獎狀")</f>
        <v>獎狀</v>
      </c>
      <c r="H3697" s="8"/>
    </row>
    <row r="3698">
      <c r="A3698" s="18"/>
      <c r="B3698" s="14">
        <f>IFERROR(__xludf.DUMMYFUNCTION("""COMPUTED_VALUE"""),816613.0)</f>
        <v>816613</v>
      </c>
      <c r="C3698" s="14" t="str">
        <f>IFERROR(__xludf.DUMMYFUNCTION("""COMPUTED_VALUE"""),"梁真禎")</f>
        <v>梁真禎</v>
      </c>
      <c r="D3698" s="16" t="str">
        <f>IFERROR(__xludf.DUMMYFUNCTION("""COMPUTED_VALUE"""),"st1*****7@mail.edu.tw")</f>
        <v>st1*****7@mail.edu.tw</v>
      </c>
      <c r="E3698" s="17" t="str">
        <f>IFERROR(__xludf.DUMMYFUNCTION("""COMPUTED_VALUE"""),"臺南市關廟區保東國民小學")</f>
        <v>臺南市關廟區保東國民小學</v>
      </c>
      <c r="F3698" s="14" t="str">
        <f>IFERROR(__xludf.DUMMYFUNCTION("""COMPUTED_VALUE"""),"四年級")</f>
        <v>四年級</v>
      </c>
      <c r="G3698" s="14" t="str">
        <f>IFERROR(__xludf.DUMMYFUNCTION("""COMPUTED_VALUE"""),"獎狀")</f>
        <v>獎狀</v>
      </c>
      <c r="H3698" s="8"/>
    </row>
    <row r="3699">
      <c r="A3699" s="18"/>
      <c r="B3699" s="14">
        <f>IFERROR(__xludf.DUMMYFUNCTION("""COMPUTED_VALUE"""),599776.0)</f>
        <v>599776</v>
      </c>
      <c r="C3699" s="14" t="str">
        <f>IFERROR(__xludf.DUMMYFUNCTION("""COMPUTED_VALUE"""),"徐睿妤")</f>
        <v>徐睿妤</v>
      </c>
      <c r="D3699" s="16" t="str">
        <f>IFERROR(__xludf.DUMMYFUNCTION("""COMPUTED_VALUE"""),"st0*****3.tn@mail.edu.tw")</f>
        <v>st0*****3.tn@mail.edu.tw</v>
      </c>
      <c r="E3699" s="17" t="str">
        <f>IFERROR(__xludf.DUMMYFUNCTION("""COMPUTED_VALUE"""),"臺南市關廟區保東國民小學")</f>
        <v>臺南市關廟區保東國民小學</v>
      </c>
      <c r="F3699" s="14" t="str">
        <f>IFERROR(__xludf.DUMMYFUNCTION("""COMPUTED_VALUE"""),"六年級")</f>
        <v>六年級</v>
      </c>
      <c r="G3699" s="14" t="str">
        <f>IFERROR(__xludf.DUMMYFUNCTION("""COMPUTED_VALUE"""),"●小禮物")</f>
        <v>●小禮物</v>
      </c>
      <c r="H3699" s="8"/>
    </row>
    <row r="3700">
      <c r="A3700" s="18"/>
      <c r="B3700" s="14">
        <f>IFERROR(__xludf.DUMMYFUNCTION("""COMPUTED_VALUE"""),631959.0)</f>
        <v>631959</v>
      </c>
      <c r="C3700" s="14" t="str">
        <f>IFERROR(__xludf.DUMMYFUNCTION("""COMPUTED_VALUE"""),"陳杰騁")</f>
        <v>陳杰騁</v>
      </c>
      <c r="D3700" s="16" t="str">
        <f>IFERROR(__xludf.DUMMYFUNCTION("""COMPUTED_VALUE"""),"st1*****6.tn@mail.edu.tw")</f>
        <v>st1*****6.tn@mail.edu.tw</v>
      </c>
      <c r="E3700" s="17" t="str">
        <f>IFERROR(__xludf.DUMMYFUNCTION("""COMPUTED_VALUE"""),"臺南市官田區官田國民小學")</f>
        <v>臺南市官田區官田國民小學</v>
      </c>
      <c r="F3700" s="14" t="str">
        <f>IFERROR(__xludf.DUMMYFUNCTION("""COMPUTED_VALUE"""),"五年級")</f>
        <v>五年級</v>
      </c>
      <c r="G3700" s="14" t="str">
        <f>IFERROR(__xludf.DUMMYFUNCTION("""COMPUTED_VALUE"""),"獎狀")</f>
        <v>獎狀</v>
      </c>
      <c r="H3700" s="8"/>
    </row>
    <row r="3701">
      <c r="A3701" s="18"/>
      <c r="B3701" s="14">
        <f>IFERROR(__xludf.DUMMYFUNCTION("""COMPUTED_VALUE"""),628251.0)</f>
        <v>628251</v>
      </c>
      <c r="C3701" s="14" t="str">
        <f>IFERROR(__xludf.DUMMYFUNCTION("""COMPUTED_VALUE"""),"吳冠勳")</f>
        <v>吳冠勳</v>
      </c>
      <c r="D3701" s="16" t="str">
        <f>IFERROR(__xludf.DUMMYFUNCTION("""COMPUTED_VALUE"""),"st5*****1.tn@mail.edu.tw")</f>
        <v>st5*****1.tn@mail.edu.tw</v>
      </c>
      <c r="E3701" s="17" t="str">
        <f>IFERROR(__xludf.DUMMYFUNCTION("""COMPUTED_VALUE"""),"臺南市麻豆區麻豆國民小學")</f>
        <v>臺南市麻豆區麻豆國民小學</v>
      </c>
      <c r="F3701" s="14" t="str">
        <f>IFERROR(__xludf.DUMMYFUNCTION("""COMPUTED_VALUE"""),"六年級")</f>
        <v>六年級</v>
      </c>
      <c r="G3701" s="14" t="str">
        <f>IFERROR(__xludf.DUMMYFUNCTION("""COMPUTED_VALUE"""),"★禮券$200")</f>
        <v>★禮券$200</v>
      </c>
      <c r="H3701" s="8"/>
    </row>
    <row r="3702">
      <c r="A3702" s="18"/>
      <c r="B3702" s="14">
        <f>IFERROR(__xludf.DUMMYFUNCTION("""COMPUTED_VALUE"""),1135467.0)</f>
        <v>1135467</v>
      </c>
      <c r="C3702" s="14" t="str">
        <f>IFERROR(__xludf.DUMMYFUNCTION("""COMPUTED_VALUE"""),"林橙諺")</f>
        <v>林橙諺</v>
      </c>
      <c r="D3702" s="16" t="str">
        <f>IFERROR(__xludf.DUMMYFUNCTION("""COMPUTED_VALUE"""),"st2*****0.tn@mail.edu.tw")</f>
        <v>st2*****0.tn@mail.edu.tw</v>
      </c>
      <c r="E3702" s="17" t="str">
        <f>IFERROR(__xludf.DUMMYFUNCTION("""COMPUTED_VALUE"""),"臺南市佳里區仁愛國民小學")</f>
        <v>臺南市佳里區仁愛國民小學</v>
      </c>
      <c r="F3702" s="14" t="str">
        <f>IFERROR(__xludf.DUMMYFUNCTION("""COMPUTED_VALUE"""),"三年級")</f>
        <v>三年級</v>
      </c>
      <c r="G3702" s="14" t="str">
        <f>IFERROR(__xludf.DUMMYFUNCTION("""COMPUTED_VALUE"""),"●小禮物")</f>
        <v>●小禮物</v>
      </c>
      <c r="H3702" s="8"/>
    </row>
    <row r="3703">
      <c r="A3703" s="18"/>
      <c r="B3703" s="14">
        <f>IFERROR(__xludf.DUMMYFUNCTION("""COMPUTED_VALUE"""),1198589.0)</f>
        <v>1198589</v>
      </c>
      <c r="C3703" s="14" t="str">
        <f>IFERROR(__xludf.DUMMYFUNCTION("""COMPUTED_VALUE"""),"沈炳翰")</f>
        <v>沈炳翰</v>
      </c>
      <c r="D3703" s="16" t="str">
        <f>IFERROR(__xludf.DUMMYFUNCTION("""COMPUTED_VALUE"""),"st7*****5.tn@mail.edu.tw")</f>
        <v>st7*****5.tn@mail.edu.tw</v>
      </c>
      <c r="E3703" s="17" t="str">
        <f>IFERROR(__xludf.DUMMYFUNCTION("""COMPUTED_VALUE"""),"臺南市佳里區仁愛國民小學")</f>
        <v>臺南市佳里區仁愛國民小學</v>
      </c>
      <c r="F3703" s="14" t="str">
        <f>IFERROR(__xludf.DUMMYFUNCTION("""COMPUTED_VALUE"""),"四年級")</f>
        <v>四年級</v>
      </c>
      <c r="G3703" s="14" t="str">
        <f>IFERROR(__xludf.DUMMYFUNCTION("""COMPUTED_VALUE"""),"●小禮物")</f>
        <v>●小禮物</v>
      </c>
      <c r="H3703" s="8"/>
    </row>
    <row r="3704">
      <c r="A3704" s="18"/>
      <c r="B3704" s="14">
        <f>IFERROR(__xludf.DUMMYFUNCTION("""COMPUTED_VALUE"""),1094861.0)</f>
        <v>1094861</v>
      </c>
      <c r="C3704" s="14" t="str">
        <f>IFERROR(__xludf.DUMMYFUNCTION("""COMPUTED_VALUE"""),"黃睿宸")</f>
        <v>黃睿宸</v>
      </c>
      <c r="D3704" s="16" t="str">
        <f>IFERROR(__xludf.DUMMYFUNCTION("""COMPUTED_VALUE"""),"st7*****9.tn@mail.edu.tw")</f>
        <v>st7*****9.tn@mail.edu.tw</v>
      </c>
      <c r="E3704" s="17" t="str">
        <f>IFERROR(__xludf.DUMMYFUNCTION("""COMPUTED_VALUE"""),"臺南市佳里區仁愛國民小學")</f>
        <v>臺南市佳里區仁愛國民小學</v>
      </c>
      <c r="F3704" s="14" t="str">
        <f>IFERROR(__xludf.DUMMYFUNCTION("""COMPUTED_VALUE"""),"四年級")</f>
        <v>四年級</v>
      </c>
      <c r="G3704" s="14" t="str">
        <f>IFERROR(__xludf.DUMMYFUNCTION("""COMPUTED_VALUE"""),"●小禮物")</f>
        <v>●小禮物</v>
      </c>
      <c r="H3704" s="8"/>
    </row>
    <row r="3705">
      <c r="A3705" s="18"/>
      <c r="B3705" s="14">
        <f>IFERROR(__xludf.DUMMYFUNCTION("""COMPUTED_VALUE"""),867536.0)</f>
        <v>867536</v>
      </c>
      <c r="C3705" s="14" t="str">
        <f>IFERROR(__xludf.DUMMYFUNCTION("""COMPUTED_VALUE"""),"賴昱宇")</f>
        <v>賴昱宇</v>
      </c>
      <c r="D3705" s="16" t="str">
        <f>IFERROR(__xludf.DUMMYFUNCTION("""COMPUTED_VALUE"""),"st0*****7.tn@mail.edu.tw")</f>
        <v>st0*****7.tn@mail.edu.tw</v>
      </c>
      <c r="E3705" s="17" t="str">
        <f>IFERROR(__xludf.DUMMYFUNCTION("""COMPUTED_VALUE"""),"臺南市佳里區仁愛國民小學")</f>
        <v>臺南市佳里區仁愛國民小學</v>
      </c>
      <c r="F3705" s="14" t="str">
        <f>IFERROR(__xludf.DUMMYFUNCTION("""COMPUTED_VALUE"""),"四年級")</f>
        <v>四年級</v>
      </c>
      <c r="G3705" s="14" t="str">
        <f>IFERROR(__xludf.DUMMYFUNCTION("""COMPUTED_VALUE"""),"●小禮物")</f>
        <v>●小禮物</v>
      </c>
      <c r="H3705" s="8"/>
    </row>
    <row r="3706">
      <c r="A3706" s="18"/>
      <c r="B3706" s="14">
        <f>IFERROR(__xludf.DUMMYFUNCTION("""COMPUTED_VALUE"""),1030557.0)</f>
        <v>1030557</v>
      </c>
      <c r="C3706" s="14" t="str">
        <f>IFERROR(__xludf.DUMMYFUNCTION("""COMPUTED_VALUE"""),"林琪惠")</f>
        <v>林琪惠</v>
      </c>
      <c r="D3706" s="16" t="str">
        <f>IFERROR(__xludf.DUMMYFUNCTION("""COMPUTED_VALUE"""),"st3*****9.tn@mail.edu.tw")</f>
        <v>st3*****9.tn@mail.edu.tw</v>
      </c>
      <c r="E3706" s="17" t="str">
        <f>IFERROR(__xludf.DUMMYFUNCTION("""COMPUTED_VALUE"""),"臺南市佳里區仁愛國民小學")</f>
        <v>臺南市佳里區仁愛國民小學</v>
      </c>
      <c r="F3706" s="14" t="str">
        <f>IFERROR(__xludf.DUMMYFUNCTION("""COMPUTED_VALUE"""),"四年級")</f>
        <v>四年級</v>
      </c>
      <c r="G3706" s="14" t="str">
        <f>IFERROR(__xludf.DUMMYFUNCTION("""COMPUTED_VALUE"""),"●小禮物")</f>
        <v>●小禮物</v>
      </c>
      <c r="H3706" s="8"/>
    </row>
    <row r="3707">
      <c r="A3707" s="18"/>
      <c r="B3707" s="14">
        <f>IFERROR(__xludf.DUMMYFUNCTION("""COMPUTED_VALUE"""),1124333.0)</f>
        <v>1124333</v>
      </c>
      <c r="C3707" s="14" t="str">
        <f>IFERROR(__xludf.DUMMYFUNCTION("""COMPUTED_VALUE"""),"林昱維")</f>
        <v>林昱維</v>
      </c>
      <c r="D3707" s="16" t="str">
        <f>IFERROR(__xludf.DUMMYFUNCTION("""COMPUTED_VALUE"""),"st7*****3.tn@mail.edu.tw")</f>
        <v>st7*****3.tn@mail.edu.tw</v>
      </c>
      <c r="E3707" s="17" t="str">
        <f>IFERROR(__xludf.DUMMYFUNCTION("""COMPUTED_VALUE"""),"臺南市佳里區仁愛國民小學")</f>
        <v>臺南市佳里區仁愛國民小學</v>
      </c>
      <c r="F3707" s="14" t="str">
        <f>IFERROR(__xludf.DUMMYFUNCTION("""COMPUTED_VALUE"""),"四年級")</f>
        <v>四年級</v>
      </c>
      <c r="G3707" s="14" t="str">
        <f>IFERROR(__xludf.DUMMYFUNCTION("""COMPUTED_VALUE"""),"獎狀")</f>
        <v>獎狀</v>
      </c>
      <c r="H3707" s="8"/>
    </row>
    <row r="3708">
      <c r="A3708" s="18"/>
      <c r="B3708" s="14">
        <f>IFERROR(__xludf.DUMMYFUNCTION("""COMPUTED_VALUE"""),1124529.0)</f>
        <v>1124529</v>
      </c>
      <c r="C3708" s="14" t="str">
        <f>IFERROR(__xludf.DUMMYFUNCTION("""COMPUTED_VALUE"""),"林苡晴")</f>
        <v>林苡晴</v>
      </c>
      <c r="D3708" s="16" t="str">
        <f>IFERROR(__xludf.DUMMYFUNCTION("""COMPUTED_VALUE"""),"st1*****4.tn@mail.edu.tw")</f>
        <v>st1*****4.tn@mail.edu.tw</v>
      </c>
      <c r="E3708" s="17" t="str">
        <f>IFERROR(__xludf.DUMMYFUNCTION("""COMPUTED_VALUE"""),"臺南市佳里區仁愛國民小學")</f>
        <v>臺南市佳里區仁愛國民小學</v>
      </c>
      <c r="F3708" s="14" t="str">
        <f>IFERROR(__xludf.DUMMYFUNCTION("""COMPUTED_VALUE"""),"四年級")</f>
        <v>四年級</v>
      </c>
      <c r="G3708" s="14" t="str">
        <f>IFERROR(__xludf.DUMMYFUNCTION("""COMPUTED_VALUE"""),"獎狀")</f>
        <v>獎狀</v>
      </c>
      <c r="H3708" s="8"/>
    </row>
    <row r="3709">
      <c r="A3709" s="18"/>
      <c r="B3709" s="14">
        <f>IFERROR(__xludf.DUMMYFUNCTION("""COMPUTED_VALUE"""),490560.0)</f>
        <v>490560</v>
      </c>
      <c r="C3709" s="14" t="str">
        <f>IFERROR(__xludf.DUMMYFUNCTION("""COMPUTED_VALUE"""),"林子珈")</f>
        <v>林子珈</v>
      </c>
      <c r="D3709" s="16" t="str">
        <f>IFERROR(__xludf.DUMMYFUNCTION("""COMPUTED_VALUE"""),"st1*****0.tn@mail.edu.tw")</f>
        <v>st1*****0.tn@mail.edu.tw</v>
      </c>
      <c r="E3709" s="17" t="str">
        <f>IFERROR(__xludf.DUMMYFUNCTION("""COMPUTED_VALUE"""),"臺南市佳里區仁愛國民小學")</f>
        <v>臺南市佳里區仁愛國民小學</v>
      </c>
      <c r="F3709" s="14" t="str">
        <f>IFERROR(__xludf.DUMMYFUNCTION("""COMPUTED_VALUE"""),"五年級")</f>
        <v>五年級</v>
      </c>
      <c r="G3709" s="14" t="str">
        <f>IFERROR(__xludf.DUMMYFUNCTION("""COMPUTED_VALUE"""),"獎狀")</f>
        <v>獎狀</v>
      </c>
      <c r="H3709" s="8"/>
    </row>
    <row r="3710">
      <c r="A3710" s="18"/>
      <c r="B3710" s="14">
        <f>IFERROR(__xludf.DUMMYFUNCTION("""COMPUTED_VALUE"""),491101.0)</f>
        <v>491101</v>
      </c>
      <c r="C3710" s="14" t="str">
        <f>IFERROR(__xludf.DUMMYFUNCTION("""COMPUTED_VALUE"""),"陳繪羽")</f>
        <v>陳繪羽</v>
      </c>
      <c r="D3710" s="16" t="str">
        <f>IFERROR(__xludf.DUMMYFUNCTION("""COMPUTED_VALUE"""),"st1*****2.tn@mail.edu.tw")</f>
        <v>st1*****2.tn@mail.edu.tw</v>
      </c>
      <c r="E3710" s="17" t="str">
        <f>IFERROR(__xludf.DUMMYFUNCTION("""COMPUTED_VALUE"""),"臺南市佳里區仁愛國民小學")</f>
        <v>臺南市佳里區仁愛國民小學</v>
      </c>
      <c r="F3710" s="14" t="str">
        <f>IFERROR(__xludf.DUMMYFUNCTION("""COMPUTED_VALUE"""),"五年級")</f>
        <v>五年級</v>
      </c>
      <c r="G3710" s="14" t="str">
        <f>IFERROR(__xludf.DUMMYFUNCTION("""COMPUTED_VALUE"""),"獎狀")</f>
        <v>獎狀</v>
      </c>
      <c r="H3710" s="8"/>
    </row>
    <row r="3711">
      <c r="A3711" s="18"/>
      <c r="B3711" s="14">
        <f>IFERROR(__xludf.DUMMYFUNCTION("""COMPUTED_VALUE"""),490964.0)</f>
        <v>490964</v>
      </c>
      <c r="C3711" s="14" t="str">
        <f>IFERROR(__xludf.DUMMYFUNCTION("""COMPUTED_VALUE"""),"楊承叡")</f>
        <v>楊承叡</v>
      </c>
      <c r="D3711" s="16" t="str">
        <f>IFERROR(__xludf.DUMMYFUNCTION("""COMPUTED_VALUE"""),"st1*****9.tn@mail.edu.tw")</f>
        <v>st1*****9.tn@mail.edu.tw</v>
      </c>
      <c r="E3711" s="17" t="str">
        <f>IFERROR(__xludf.DUMMYFUNCTION("""COMPUTED_VALUE"""),"臺南市佳里區仁愛國民小學")</f>
        <v>臺南市佳里區仁愛國民小學</v>
      </c>
      <c r="F3711" s="14" t="str">
        <f>IFERROR(__xludf.DUMMYFUNCTION("""COMPUTED_VALUE"""),"五年級")</f>
        <v>五年級</v>
      </c>
      <c r="G3711" s="14" t="str">
        <f>IFERROR(__xludf.DUMMYFUNCTION("""COMPUTED_VALUE"""),"獎狀")</f>
        <v>獎狀</v>
      </c>
      <c r="H3711" s="8"/>
    </row>
    <row r="3712">
      <c r="A3712" s="18"/>
      <c r="B3712" s="14">
        <f>IFERROR(__xludf.DUMMYFUNCTION("""COMPUTED_VALUE"""),421260.0)</f>
        <v>421260</v>
      </c>
      <c r="C3712" s="14" t="str">
        <f>IFERROR(__xludf.DUMMYFUNCTION("""COMPUTED_VALUE"""),"林妤辰")</f>
        <v>林妤辰</v>
      </c>
      <c r="D3712" s="16" t="str">
        <f>IFERROR(__xludf.DUMMYFUNCTION("""COMPUTED_VALUE"""),"st7*****0.tn@mail.edu.tw")</f>
        <v>st7*****0.tn@mail.edu.tw</v>
      </c>
      <c r="E3712" s="17" t="str">
        <f>IFERROR(__xludf.DUMMYFUNCTION("""COMPUTED_VALUE"""),"臺南市佳里區仁愛國民小學")</f>
        <v>臺南市佳里區仁愛國民小學</v>
      </c>
      <c r="F3712" s="14" t="str">
        <f>IFERROR(__xludf.DUMMYFUNCTION("""COMPUTED_VALUE"""),"六年級")</f>
        <v>六年級</v>
      </c>
      <c r="G3712" s="14" t="str">
        <f>IFERROR(__xludf.DUMMYFUNCTION("""COMPUTED_VALUE"""),"獎狀")</f>
        <v>獎狀</v>
      </c>
      <c r="H3712" s="8"/>
    </row>
    <row r="3713">
      <c r="A3713" s="18"/>
      <c r="B3713" s="14">
        <f>IFERROR(__xludf.DUMMYFUNCTION("""COMPUTED_VALUE"""),420672.0)</f>
        <v>420672</v>
      </c>
      <c r="C3713" s="14" t="str">
        <f>IFERROR(__xludf.DUMMYFUNCTION("""COMPUTED_VALUE"""),"林欣霏")</f>
        <v>林欣霏</v>
      </c>
      <c r="D3713" s="16" t="str">
        <f>IFERROR(__xludf.DUMMYFUNCTION("""COMPUTED_VALUE"""),"st0*****8@mail.edu.tw")</f>
        <v>st0*****8@mail.edu.tw</v>
      </c>
      <c r="E3713" s="17" t="str">
        <f>IFERROR(__xludf.DUMMYFUNCTION("""COMPUTED_VALUE"""),"臺南市佳里區仁愛國民小學")</f>
        <v>臺南市佳里區仁愛國民小學</v>
      </c>
      <c r="F3713" s="14" t="str">
        <f>IFERROR(__xludf.DUMMYFUNCTION("""COMPUTED_VALUE"""),"六年級")</f>
        <v>六年級</v>
      </c>
      <c r="G3713" s="14" t="str">
        <f>IFERROR(__xludf.DUMMYFUNCTION("""COMPUTED_VALUE"""),"●小禮物")</f>
        <v>●小禮物</v>
      </c>
      <c r="H3713" s="8"/>
    </row>
    <row r="3714">
      <c r="A3714" s="18"/>
      <c r="B3714" s="14">
        <f>IFERROR(__xludf.DUMMYFUNCTION("""COMPUTED_VALUE"""),862793.0)</f>
        <v>862793</v>
      </c>
      <c r="C3714" s="14" t="str">
        <f>IFERROR(__xludf.DUMMYFUNCTION("""COMPUTED_VALUE"""),"吳育哲")</f>
        <v>吳育哲</v>
      </c>
      <c r="D3714" s="16" t="str">
        <f>IFERROR(__xludf.DUMMYFUNCTION("""COMPUTED_VALUE"""),"st1*****9.tn@mail.edu.tw")</f>
        <v>st1*****9.tn@mail.edu.tw</v>
      </c>
      <c r="E3714" s="17" t="str">
        <f>IFERROR(__xludf.DUMMYFUNCTION("""COMPUTED_VALUE"""),"臺南市佳里區仁愛國民小學")</f>
        <v>臺南市佳里區仁愛國民小學</v>
      </c>
      <c r="F3714" s="14" t="str">
        <f>IFERROR(__xludf.DUMMYFUNCTION("""COMPUTED_VALUE"""),"六年級")</f>
        <v>六年級</v>
      </c>
      <c r="G3714" s="14" t="str">
        <f>IFERROR(__xludf.DUMMYFUNCTION("""COMPUTED_VALUE"""),"獎狀")</f>
        <v>獎狀</v>
      </c>
      <c r="H3714" s="8"/>
    </row>
    <row r="3715">
      <c r="A3715" s="18"/>
      <c r="B3715" s="14">
        <f>IFERROR(__xludf.DUMMYFUNCTION("""COMPUTED_VALUE"""),1126277.0)</f>
        <v>1126277</v>
      </c>
      <c r="C3715" s="14" t="str">
        <f>IFERROR(__xludf.DUMMYFUNCTION("""COMPUTED_VALUE"""),"周宥辰")</f>
        <v>周宥辰</v>
      </c>
      <c r="D3715" s="16" t="str">
        <f>IFERROR(__xludf.DUMMYFUNCTION("""COMPUTED_VALUE"""),"st2*****5.tn@mail.edu.tw")</f>
        <v>st2*****5.tn@mail.edu.tw</v>
      </c>
      <c r="E3715" s="17" t="str">
        <f>IFERROR(__xludf.DUMMYFUNCTION("""COMPUTED_VALUE"""),"臺南市佳里區佳里國民小學")</f>
        <v>臺南市佳里區佳里國民小學</v>
      </c>
      <c r="F3715" s="14" t="str">
        <f>IFERROR(__xludf.DUMMYFUNCTION("""COMPUTED_VALUE"""),"三年級")</f>
        <v>三年級</v>
      </c>
      <c r="G3715" s="14" t="str">
        <f>IFERROR(__xludf.DUMMYFUNCTION("""COMPUTED_VALUE"""),"獎狀")</f>
        <v>獎狀</v>
      </c>
      <c r="H3715" s="8"/>
    </row>
    <row r="3716">
      <c r="A3716" s="18"/>
      <c r="B3716" s="14">
        <f>IFERROR(__xludf.DUMMYFUNCTION("""COMPUTED_VALUE"""),565053.0)</f>
        <v>565053</v>
      </c>
      <c r="C3716" s="14" t="str">
        <f>IFERROR(__xludf.DUMMYFUNCTION("""COMPUTED_VALUE"""),"許書瑀")</f>
        <v>許書瑀</v>
      </c>
      <c r="D3716" s="16" t="str">
        <f>IFERROR(__xludf.DUMMYFUNCTION("""COMPUTED_VALUE"""),"st1*****8.tn@mail.edu.tw")</f>
        <v>st1*****8.tn@mail.edu.tw</v>
      </c>
      <c r="E3716" s="17" t="str">
        <f>IFERROR(__xludf.DUMMYFUNCTION("""COMPUTED_VALUE"""),"臺南市佳里區佳里國民小學")</f>
        <v>臺南市佳里區佳里國民小學</v>
      </c>
      <c r="F3716" s="14" t="str">
        <f>IFERROR(__xludf.DUMMYFUNCTION("""COMPUTED_VALUE"""),"四年級")</f>
        <v>四年級</v>
      </c>
      <c r="G3716" s="14" t="str">
        <f>IFERROR(__xludf.DUMMYFUNCTION("""COMPUTED_VALUE"""),"●小禮物")</f>
        <v>●小禮物</v>
      </c>
      <c r="H3716" s="8"/>
    </row>
    <row r="3717">
      <c r="A3717" s="18"/>
      <c r="B3717" s="14">
        <f>IFERROR(__xludf.DUMMYFUNCTION("""COMPUTED_VALUE"""),1121534.0)</f>
        <v>1121534</v>
      </c>
      <c r="C3717" s="14" t="str">
        <f>IFERROR(__xludf.DUMMYFUNCTION("""COMPUTED_VALUE"""),"李培甄")</f>
        <v>李培甄</v>
      </c>
      <c r="D3717" s="16" t="str">
        <f>IFERROR(__xludf.DUMMYFUNCTION("""COMPUTED_VALUE"""),"st1*****6.tn@mail.edu.tw")</f>
        <v>st1*****6.tn@mail.edu.tw</v>
      </c>
      <c r="E3717" s="17" t="str">
        <f>IFERROR(__xludf.DUMMYFUNCTION("""COMPUTED_VALUE"""),"臺南市佳里區佳里國民小學")</f>
        <v>臺南市佳里區佳里國民小學</v>
      </c>
      <c r="F3717" s="14" t="str">
        <f>IFERROR(__xludf.DUMMYFUNCTION("""COMPUTED_VALUE"""),"四年級")</f>
        <v>四年級</v>
      </c>
      <c r="G3717" s="14" t="str">
        <f>IFERROR(__xludf.DUMMYFUNCTION("""COMPUTED_VALUE"""),"●小禮物")</f>
        <v>●小禮物</v>
      </c>
      <c r="H3717" s="8"/>
    </row>
    <row r="3718">
      <c r="A3718" s="18"/>
      <c r="B3718" s="14">
        <f>IFERROR(__xludf.DUMMYFUNCTION("""COMPUTED_VALUE"""),1124566.0)</f>
        <v>1124566</v>
      </c>
      <c r="C3718" s="14" t="str">
        <f>IFERROR(__xludf.DUMMYFUNCTION("""COMPUTED_VALUE"""),"王憶晨")</f>
        <v>王憶晨</v>
      </c>
      <c r="D3718" s="16" t="str">
        <f>IFERROR(__xludf.DUMMYFUNCTION("""COMPUTED_VALUE"""),"st7*****6.tn@mail.edu.tw")</f>
        <v>st7*****6.tn@mail.edu.tw</v>
      </c>
      <c r="E3718" s="17" t="str">
        <f>IFERROR(__xludf.DUMMYFUNCTION("""COMPUTED_VALUE"""),"臺南市佳里區佳里國民小學")</f>
        <v>臺南市佳里區佳里國民小學</v>
      </c>
      <c r="F3718" s="14" t="str">
        <f>IFERROR(__xludf.DUMMYFUNCTION("""COMPUTED_VALUE"""),"四年級")</f>
        <v>四年級</v>
      </c>
      <c r="G3718" s="14" t="str">
        <f>IFERROR(__xludf.DUMMYFUNCTION("""COMPUTED_VALUE"""),"●小禮物")</f>
        <v>●小禮物</v>
      </c>
      <c r="H3718" s="8"/>
    </row>
    <row r="3719">
      <c r="A3719" s="18"/>
      <c r="B3719" s="14">
        <f>IFERROR(__xludf.DUMMYFUNCTION("""COMPUTED_VALUE"""),986988.0)</f>
        <v>986988</v>
      </c>
      <c r="C3719" s="14" t="str">
        <f>IFERROR(__xludf.DUMMYFUNCTION("""COMPUTED_VALUE"""),"李培愉")</f>
        <v>李培愉</v>
      </c>
      <c r="D3719" s="16" t="str">
        <f>IFERROR(__xludf.DUMMYFUNCTION("""COMPUTED_VALUE"""),"st1*****1.tn@mail.edu.tw")</f>
        <v>st1*****1.tn@mail.edu.tw</v>
      </c>
      <c r="E3719" s="17" t="str">
        <f>IFERROR(__xludf.DUMMYFUNCTION("""COMPUTED_VALUE"""),"臺南市佳里區佳里國民小學")</f>
        <v>臺南市佳里區佳里國民小學</v>
      </c>
      <c r="F3719" s="14" t="str">
        <f>IFERROR(__xludf.DUMMYFUNCTION("""COMPUTED_VALUE"""),"六年級")</f>
        <v>六年級</v>
      </c>
      <c r="G3719" s="14" t="str">
        <f>IFERROR(__xludf.DUMMYFUNCTION("""COMPUTED_VALUE"""),"獎狀")</f>
        <v>獎狀</v>
      </c>
      <c r="H3719" s="8"/>
    </row>
    <row r="3720">
      <c r="A3720" s="18"/>
      <c r="B3720" s="14">
        <f>IFERROR(__xludf.DUMMYFUNCTION("""COMPUTED_VALUE"""),438820.0)</f>
        <v>438820</v>
      </c>
      <c r="C3720" s="14" t="str">
        <f>IFERROR(__xludf.DUMMYFUNCTION("""COMPUTED_VALUE"""),"許展耀")</f>
        <v>許展耀</v>
      </c>
      <c r="D3720" s="16" t="str">
        <f>IFERROR(__xludf.DUMMYFUNCTION("""COMPUTED_VALUE"""),"st1*****3.tn@mail.edu.tw")</f>
        <v>st1*****3.tn@mail.edu.tw</v>
      </c>
      <c r="E3720" s="17" t="str">
        <f>IFERROR(__xludf.DUMMYFUNCTION("""COMPUTED_VALUE"""),"臺南市佳里區佳里國民小學")</f>
        <v>臺南市佳里區佳里國民小學</v>
      </c>
      <c r="F3720" s="14" t="str">
        <f>IFERROR(__xludf.DUMMYFUNCTION("""COMPUTED_VALUE"""),"六年級")</f>
        <v>六年級</v>
      </c>
      <c r="G3720" s="14" t="str">
        <f>IFERROR(__xludf.DUMMYFUNCTION("""COMPUTED_VALUE"""),"獎狀")</f>
        <v>獎狀</v>
      </c>
      <c r="H3720" s="8"/>
    </row>
    <row r="3721">
      <c r="A3721" s="18"/>
      <c r="B3721" s="14">
        <f>IFERROR(__xludf.DUMMYFUNCTION("""COMPUTED_VALUE"""),1192031.0)</f>
        <v>1192031</v>
      </c>
      <c r="C3721" s="14" t="str">
        <f>IFERROR(__xludf.DUMMYFUNCTION("""COMPUTED_VALUE"""),"林歆甯")</f>
        <v>林歆甯</v>
      </c>
      <c r="D3721" s="16" t="str">
        <f>IFERROR(__xludf.DUMMYFUNCTION("""COMPUTED_VALUE"""),"st7*****9.tn@go.edu.tw")</f>
        <v>st7*****9.tn@go.edu.tw</v>
      </c>
      <c r="E3721" s="17" t="str">
        <f>IFERROR(__xludf.DUMMYFUNCTION("""COMPUTED_VALUE"""),"臺南市佳里區佳里國民小學")</f>
        <v>臺南市佳里區佳里國民小學</v>
      </c>
      <c r="F3721" s="14" t="str">
        <f>IFERROR(__xludf.DUMMYFUNCTION("""COMPUTED_VALUE"""),"六年級")</f>
        <v>六年級</v>
      </c>
      <c r="G3721" s="14" t="str">
        <f>IFERROR(__xludf.DUMMYFUNCTION("""COMPUTED_VALUE"""),"獎狀")</f>
        <v>獎狀</v>
      </c>
      <c r="H3721" s="8"/>
    </row>
    <row r="3722">
      <c r="A3722" s="18"/>
      <c r="B3722" s="14">
        <f>IFERROR(__xludf.DUMMYFUNCTION("""COMPUTED_VALUE"""),1123787.0)</f>
        <v>1123787</v>
      </c>
      <c r="C3722" s="14" t="str">
        <f>IFERROR(__xludf.DUMMYFUNCTION("""COMPUTED_VALUE"""),"王正宇")</f>
        <v>王正宇</v>
      </c>
      <c r="D3722" s="16" t="str">
        <f>IFERROR(__xludf.DUMMYFUNCTION("""COMPUTED_VALUE"""),"st2*****5.tn@mail.edu.tw")</f>
        <v>st2*****5.tn@mail.edu.tw</v>
      </c>
      <c r="E3722" s="17" t="str">
        <f>IFERROR(__xludf.DUMMYFUNCTION("""COMPUTED_VALUE"""),"臺南市佳里區佳里國民小學")</f>
        <v>臺南市佳里區佳里國民小學</v>
      </c>
      <c r="F3722" s="14" t="str">
        <f>IFERROR(__xludf.DUMMYFUNCTION("""COMPUTED_VALUE"""),"六年級")</f>
        <v>六年級</v>
      </c>
      <c r="G3722" s="14" t="str">
        <f>IFERROR(__xludf.DUMMYFUNCTION("""COMPUTED_VALUE"""),"獎狀")</f>
        <v>獎狀</v>
      </c>
      <c r="H3722" s="8"/>
    </row>
    <row r="3723">
      <c r="A3723" s="18"/>
      <c r="B3723" s="14">
        <f>IFERROR(__xludf.DUMMYFUNCTION("""COMPUTED_VALUE"""),1125299.0)</f>
        <v>1125299</v>
      </c>
      <c r="C3723" s="14" t="str">
        <f>IFERROR(__xludf.DUMMYFUNCTION("""COMPUTED_VALUE"""),"周宥寧")</f>
        <v>周宥寧</v>
      </c>
      <c r="D3723" s="16" t="str">
        <f>IFERROR(__xludf.DUMMYFUNCTION("""COMPUTED_VALUE"""),"st0*****8.tn@mail.edu.tw")</f>
        <v>st0*****8.tn@mail.edu.tw</v>
      </c>
      <c r="E3723" s="17" t="str">
        <f>IFERROR(__xludf.DUMMYFUNCTION("""COMPUTED_VALUE"""),"臺南市佳里區佳里國民小學")</f>
        <v>臺南市佳里區佳里國民小學</v>
      </c>
      <c r="F3723" s="14" t="str">
        <f>IFERROR(__xludf.DUMMYFUNCTION("""COMPUTED_VALUE"""),"六年級")</f>
        <v>六年級</v>
      </c>
      <c r="G3723" s="14" t="str">
        <f>IFERROR(__xludf.DUMMYFUNCTION("""COMPUTED_VALUE"""),"獎狀")</f>
        <v>獎狀</v>
      </c>
      <c r="H3723" s="8"/>
    </row>
    <row r="3724">
      <c r="A3724" s="18"/>
      <c r="B3724" s="14">
        <f>IFERROR(__xludf.DUMMYFUNCTION("""COMPUTED_VALUE"""),1002864.0)</f>
        <v>1002864</v>
      </c>
      <c r="C3724" s="14" t="str">
        <f>IFERROR(__xludf.DUMMYFUNCTION("""COMPUTED_VALUE"""),"李侑衡")</f>
        <v>李侑衡</v>
      </c>
      <c r="D3724" s="16" t="str">
        <f>IFERROR(__xludf.DUMMYFUNCTION("""COMPUTED_VALUE"""),"han*****ail.edu.tw")</f>
        <v>han*****ail.edu.tw</v>
      </c>
      <c r="E3724" s="17" t="str">
        <f>IFERROR(__xludf.DUMMYFUNCTION("""COMPUTED_VALUE"""),"臺南市佳里區信義國民小學")</f>
        <v>臺南市佳里區信義國民小學</v>
      </c>
      <c r="F3724" s="14" t="str">
        <f>IFERROR(__xludf.DUMMYFUNCTION("""COMPUTED_VALUE"""),"四年級")</f>
        <v>四年級</v>
      </c>
      <c r="G3724" s="14" t="str">
        <f>IFERROR(__xludf.DUMMYFUNCTION("""COMPUTED_VALUE"""),"獎狀")</f>
        <v>獎狀</v>
      </c>
      <c r="H3724" s="8"/>
    </row>
    <row r="3725">
      <c r="A3725" s="18"/>
      <c r="B3725" s="14">
        <f>IFERROR(__xludf.DUMMYFUNCTION("""COMPUTED_VALUE"""),350489.0)</f>
        <v>350489</v>
      </c>
      <c r="C3725" s="14" t="str">
        <f>IFERROR(__xludf.DUMMYFUNCTION("""COMPUTED_VALUE"""),"陳冠亦")</f>
        <v>陳冠亦</v>
      </c>
      <c r="D3725" s="16" t="str">
        <f>IFERROR(__xludf.DUMMYFUNCTION("""COMPUTED_VALUE"""),"st7*****1.tn@mail.edu.tw")</f>
        <v>st7*****1.tn@mail.edu.tw</v>
      </c>
      <c r="E3725" s="17" t="str">
        <f>IFERROR(__xludf.DUMMYFUNCTION("""COMPUTED_VALUE"""),"臺南市西港區後營國小金砂分校")</f>
        <v>臺南市西港區後營國小金砂分校</v>
      </c>
      <c r="F3725" s="14" t="str">
        <f>IFERROR(__xludf.DUMMYFUNCTION("""COMPUTED_VALUE"""),"六年級")</f>
        <v>六年級</v>
      </c>
      <c r="G3725" s="14" t="str">
        <f>IFERROR(__xludf.DUMMYFUNCTION("""COMPUTED_VALUE"""),"獎狀")</f>
        <v>獎狀</v>
      </c>
      <c r="H3725" s="8"/>
    </row>
    <row r="3726">
      <c r="A3726" s="18"/>
      <c r="B3726" s="14">
        <f>IFERROR(__xludf.DUMMYFUNCTION("""COMPUTED_VALUE"""),297366.0)</f>
        <v>297366</v>
      </c>
      <c r="C3726" s="14" t="str">
        <f>IFERROR(__xludf.DUMMYFUNCTION("""COMPUTED_VALUE"""),"許心玥")</f>
        <v>許心玥</v>
      </c>
      <c r="D3726" s="16" t="str">
        <f>IFERROR(__xludf.DUMMYFUNCTION("""COMPUTED_VALUE"""),"ele*****@mail.edu.tw")</f>
        <v>ele*****@mail.edu.tw</v>
      </c>
      <c r="E3726" s="17" t="str">
        <f>IFERROR(__xludf.DUMMYFUNCTION("""COMPUTED_VALUE"""),"臺南市西港區松林國民小學")</f>
        <v>臺南市西港區松林國民小學</v>
      </c>
      <c r="F3726" s="14" t="str">
        <f>IFERROR(__xludf.DUMMYFUNCTION("""COMPUTED_VALUE"""),"四年級")</f>
        <v>四年級</v>
      </c>
      <c r="G3726" s="14" t="str">
        <f>IFERROR(__xludf.DUMMYFUNCTION("""COMPUTED_VALUE"""),"獎狀")</f>
        <v>獎狀</v>
      </c>
      <c r="H3726" s="8"/>
    </row>
    <row r="3727">
      <c r="A3727" s="18"/>
      <c r="B3727" s="14">
        <f>IFERROR(__xludf.DUMMYFUNCTION("""COMPUTED_VALUE"""),948706.0)</f>
        <v>948706</v>
      </c>
      <c r="C3727" s="14" t="str">
        <f>IFERROR(__xludf.DUMMYFUNCTION("""COMPUTED_VALUE"""),"連卉晴")</f>
        <v>連卉晴</v>
      </c>
      <c r="D3727" s="16" t="str">
        <f>IFERROR(__xludf.DUMMYFUNCTION("""COMPUTED_VALUE"""),"st0*****1@mail.edu.tw")</f>
        <v>st0*****1@mail.edu.tw</v>
      </c>
      <c r="E3727" s="17" t="str">
        <f>IFERROR(__xludf.DUMMYFUNCTION("""COMPUTED_VALUE"""),"臺南市七股區光復生態實驗小學")</f>
        <v>臺南市七股區光復生態實驗小學</v>
      </c>
      <c r="F3727" s="14" t="str">
        <f>IFERROR(__xludf.DUMMYFUNCTION("""COMPUTED_VALUE"""),"六年級")</f>
        <v>六年級</v>
      </c>
      <c r="G3727" s="14" t="str">
        <f>IFERROR(__xludf.DUMMYFUNCTION("""COMPUTED_VALUE"""),"●小禮物")</f>
        <v>●小禮物</v>
      </c>
      <c r="H3727" s="8"/>
    </row>
    <row r="3728">
      <c r="A3728" s="18"/>
      <c r="B3728" s="14">
        <f>IFERROR(__xludf.DUMMYFUNCTION("""COMPUTED_VALUE"""),708959.0)</f>
        <v>708959</v>
      </c>
      <c r="C3728" s="14" t="str">
        <f>IFERROR(__xludf.DUMMYFUNCTION("""COMPUTED_VALUE"""),"周宥勳")</f>
        <v>周宥勳</v>
      </c>
      <c r="D3728" s="16" t="str">
        <f>IFERROR(__xludf.DUMMYFUNCTION("""COMPUTED_VALUE"""),"st7*****8.tn@mail.edu.tw")</f>
        <v>st7*****8.tn@mail.edu.tw</v>
      </c>
      <c r="E3728" s="17" t="str">
        <f>IFERROR(__xludf.DUMMYFUNCTION("""COMPUTED_VALUE"""),"臺南市將軍區鯤鯓國民小學")</f>
        <v>臺南市將軍區鯤鯓國民小學</v>
      </c>
      <c r="F3728" s="14" t="str">
        <f>IFERROR(__xludf.DUMMYFUNCTION("""COMPUTED_VALUE"""),"六年級")</f>
        <v>六年級</v>
      </c>
      <c r="G3728" s="14" t="str">
        <f>IFERROR(__xludf.DUMMYFUNCTION("""COMPUTED_VALUE"""),"●小禮物")</f>
        <v>●小禮物</v>
      </c>
      <c r="H3728" s="8"/>
    </row>
    <row r="3729">
      <c r="A3729" s="18"/>
      <c r="B3729" s="14">
        <f>IFERROR(__xludf.DUMMYFUNCTION("""COMPUTED_VALUE"""),1141749.0)</f>
        <v>1141749</v>
      </c>
      <c r="C3729" s="14" t="str">
        <f>IFERROR(__xludf.DUMMYFUNCTION("""COMPUTED_VALUE"""),"蔡依廷")</f>
        <v>蔡依廷</v>
      </c>
      <c r="D3729" s="16" t="str">
        <f>IFERROR(__xludf.DUMMYFUNCTION("""COMPUTED_VALUE"""),"st0*****2@mail.edu.tw")</f>
        <v>st0*****2@mail.edu.tw</v>
      </c>
      <c r="E3729" s="17" t="str">
        <f>IFERROR(__xludf.DUMMYFUNCTION("""COMPUTED_VALUE"""),"臺南市新營區新進國民小學")</f>
        <v>臺南市新營區新進國民小學</v>
      </c>
      <c r="F3729" s="14" t="str">
        <f>IFERROR(__xludf.DUMMYFUNCTION("""COMPUTED_VALUE"""),"三年級")</f>
        <v>三年級</v>
      </c>
      <c r="G3729" s="14" t="str">
        <f>IFERROR(__xludf.DUMMYFUNCTION("""COMPUTED_VALUE"""),"●小禮物")</f>
        <v>●小禮物</v>
      </c>
      <c r="H3729" s="8"/>
    </row>
    <row r="3730">
      <c r="A3730" s="18"/>
      <c r="B3730" s="14">
        <f>IFERROR(__xludf.DUMMYFUNCTION("""COMPUTED_VALUE"""),334656.0)</f>
        <v>334656</v>
      </c>
      <c r="C3730" s="14" t="str">
        <f>IFERROR(__xludf.DUMMYFUNCTION("""COMPUTED_VALUE"""),"莊名雁")</f>
        <v>莊名雁</v>
      </c>
      <c r="D3730" s="16" t="str">
        <f>IFERROR(__xludf.DUMMYFUNCTION("""COMPUTED_VALUE"""),"swe*****reen@gmail.com")</f>
        <v>swe*****reen@gmail.com</v>
      </c>
      <c r="E3730" s="17" t="str">
        <f>IFERROR(__xludf.DUMMYFUNCTION("""COMPUTED_VALUE"""),"臺南市新營區新進國民小學")</f>
        <v>臺南市新營區新進國民小學</v>
      </c>
      <c r="F3730" s="14" t="str">
        <f>IFERROR(__xludf.DUMMYFUNCTION("""COMPUTED_VALUE"""),"四年級")</f>
        <v>四年級</v>
      </c>
      <c r="G3730" s="14" t="str">
        <f>IFERROR(__xludf.DUMMYFUNCTION("""COMPUTED_VALUE"""),"獎狀")</f>
        <v>獎狀</v>
      </c>
      <c r="H3730" s="8"/>
    </row>
    <row r="3731">
      <c r="A3731" s="18"/>
      <c r="B3731" s="14">
        <f>IFERROR(__xludf.DUMMYFUNCTION("""COMPUTED_VALUE"""),908820.0)</f>
        <v>908820</v>
      </c>
      <c r="C3731" s="14" t="str">
        <f>IFERROR(__xludf.DUMMYFUNCTION("""COMPUTED_VALUE"""),"陳璿安")</f>
        <v>陳璿安</v>
      </c>
      <c r="D3731" s="16" t="str">
        <f>IFERROR(__xludf.DUMMYFUNCTION("""COMPUTED_VALUE"""),"st1*****4.tn@mail.edu.tw")</f>
        <v>st1*****4.tn@mail.edu.tw</v>
      </c>
      <c r="E3731" s="17" t="str">
        <f>IFERROR(__xludf.DUMMYFUNCTION("""COMPUTED_VALUE"""),"臺南市新營區新進國民小學")</f>
        <v>臺南市新營區新進國民小學</v>
      </c>
      <c r="F3731" s="14" t="str">
        <f>IFERROR(__xludf.DUMMYFUNCTION("""COMPUTED_VALUE"""),"五年級")</f>
        <v>五年級</v>
      </c>
      <c r="G3731" s="14" t="str">
        <f>IFERROR(__xludf.DUMMYFUNCTION("""COMPUTED_VALUE"""),"●小禮物")</f>
        <v>●小禮物</v>
      </c>
      <c r="H3731" s="8"/>
    </row>
    <row r="3732">
      <c r="A3732" s="18"/>
      <c r="B3732" s="14">
        <f>IFERROR(__xludf.DUMMYFUNCTION("""COMPUTED_VALUE"""),1001153.0)</f>
        <v>1001153</v>
      </c>
      <c r="C3732" s="14" t="str">
        <f>IFERROR(__xludf.DUMMYFUNCTION("""COMPUTED_VALUE"""),"張淙鈞")</f>
        <v>張淙鈞</v>
      </c>
      <c r="D3732" s="16" t="str">
        <f>IFERROR(__xludf.DUMMYFUNCTION("""COMPUTED_VALUE"""),"jim*****0818@gmail.com")</f>
        <v>jim*****0818@gmail.com</v>
      </c>
      <c r="E3732" s="17" t="str">
        <f>IFERROR(__xludf.DUMMYFUNCTION("""COMPUTED_VALUE"""),"臺南市新營區新營國民小學")</f>
        <v>臺南市新營區新營國民小學</v>
      </c>
      <c r="F3732" s="14" t="str">
        <f>IFERROR(__xludf.DUMMYFUNCTION("""COMPUTED_VALUE"""),"三年級")</f>
        <v>三年級</v>
      </c>
      <c r="G3732" s="14" t="str">
        <f>IFERROR(__xludf.DUMMYFUNCTION("""COMPUTED_VALUE"""),"獎狀")</f>
        <v>獎狀</v>
      </c>
      <c r="H3732" s="8"/>
    </row>
    <row r="3733">
      <c r="A3733" s="18"/>
      <c r="B3733" s="14">
        <f>IFERROR(__xludf.DUMMYFUNCTION("""COMPUTED_VALUE"""),1001143.0)</f>
        <v>1001143</v>
      </c>
      <c r="C3733" s="14" t="str">
        <f>IFERROR(__xludf.DUMMYFUNCTION("""COMPUTED_VALUE"""),"張淙翔")</f>
        <v>張淙翔</v>
      </c>
      <c r="D3733" s="16" t="str">
        <f>IFERROR(__xludf.DUMMYFUNCTION("""COMPUTED_VALUE"""),"ala*****204@gmail.com")</f>
        <v>ala*****204@gmail.com</v>
      </c>
      <c r="E3733" s="17" t="str">
        <f>IFERROR(__xludf.DUMMYFUNCTION("""COMPUTED_VALUE"""),"臺南市新營區新營國民小學")</f>
        <v>臺南市新營區新營國民小學</v>
      </c>
      <c r="F3733" s="14" t="str">
        <f>IFERROR(__xludf.DUMMYFUNCTION("""COMPUTED_VALUE"""),"四年級")</f>
        <v>四年級</v>
      </c>
      <c r="G3733" s="14" t="str">
        <f>IFERROR(__xludf.DUMMYFUNCTION("""COMPUTED_VALUE"""),"獎狀")</f>
        <v>獎狀</v>
      </c>
      <c r="H3733" s="8"/>
    </row>
    <row r="3734">
      <c r="A3734" s="18"/>
      <c r="B3734" s="14">
        <f>IFERROR(__xludf.DUMMYFUNCTION("""COMPUTED_VALUE"""),691508.0)</f>
        <v>691508</v>
      </c>
      <c r="C3734" s="14" t="str">
        <f>IFERROR(__xludf.DUMMYFUNCTION("""COMPUTED_VALUE"""),"晁苡晴")</f>
        <v>晁苡晴</v>
      </c>
      <c r="D3734" s="16" t="str">
        <f>IFERROR(__xludf.DUMMYFUNCTION("""COMPUTED_VALUE"""),"st1*****3.tn@mail.edu.tw")</f>
        <v>st1*****3.tn@mail.edu.tw</v>
      </c>
      <c r="E3734" s="17" t="str">
        <f>IFERROR(__xludf.DUMMYFUNCTION("""COMPUTED_VALUE"""),"臺南市新營區新泰國民小學")</f>
        <v>臺南市新營區新泰國民小學</v>
      </c>
      <c r="F3734" s="14" t="str">
        <f>IFERROR(__xludf.DUMMYFUNCTION("""COMPUTED_VALUE"""),"三年級")</f>
        <v>三年級</v>
      </c>
      <c r="G3734" s="14" t="str">
        <f>IFERROR(__xludf.DUMMYFUNCTION("""COMPUTED_VALUE"""),"●小禮物")</f>
        <v>●小禮物</v>
      </c>
      <c r="H3734" s="8"/>
    </row>
    <row r="3735">
      <c r="A3735" s="18"/>
      <c r="B3735" s="14">
        <f>IFERROR(__xludf.DUMMYFUNCTION("""COMPUTED_VALUE"""),473248.0)</f>
        <v>473248</v>
      </c>
      <c r="C3735" s="14" t="str">
        <f>IFERROR(__xludf.DUMMYFUNCTION("""COMPUTED_VALUE"""),"吳奕瑾")</f>
        <v>吳奕瑾</v>
      </c>
      <c r="D3735" s="16" t="str">
        <f>IFERROR(__xludf.DUMMYFUNCTION("""COMPUTED_VALUE"""),"lil*****369@gmail.com")</f>
        <v>lil*****369@gmail.com</v>
      </c>
      <c r="E3735" s="17" t="str">
        <f>IFERROR(__xludf.DUMMYFUNCTION("""COMPUTED_VALUE"""),"臺南市新營區南梓實驗小學")</f>
        <v>臺南市新營區南梓實驗小學</v>
      </c>
      <c r="F3735" s="14" t="str">
        <f>IFERROR(__xludf.DUMMYFUNCTION("""COMPUTED_VALUE"""),"三年級")</f>
        <v>三年級</v>
      </c>
      <c r="G3735" s="14" t="str">
        <f>IFERROR(__xludf.DUMMYFUNCTION("""COMPUTED_VALUE"""),"獎狀")</f>
        <v>獎狀</v>
      </c>
      <c r="H3735" s="8"/>
    </row>
    <row r="3736">
      <c r="A3736" s="18"/>
      <c r="B3736" s="14">
        <f>IFERROR(__xludf.DUMMYFUNCTION("""COMPUTED_VALUE"""),1017020.0)</f>
        <v>1017020</v>
      </c>
      <c r="C3736" s="14" t="str">
        <f>IFERROR(__xludf.DUMMYFUNCTION("""COMPUTED_VALUE"""),"王綵緹")</f>
        <v>王綵緹</v>
      </c>
      <c r="D3736" s="16" t="str">
        <f>IFERROR(__xludf.DUMMYFUNCTION("""COMPUTED_VALUE"""),"st1*****0.tn@mail.edu.tw")</f>
        <v>st1*****0.tn@mail.edu.tw</v>
      </c>
      <c r="E3736" s="17" t="str">
        <f>IFERROR(__xludf.DUMMYFUNCTION("""COMPUTED_VALUE"""),"臺南市新營區南梓實驗小學")</f>
        <v>臺南市新營區南梓實驗小學</v>
      </c>
      <c r="F3736" s="14" t="str">
        <f>IFERROR(__xludf.DUMMYFUNCTION("""COMPUTED_VALUE"""),"四年級")</f>
        <v>四年級</v>
      </c>
      <c r="G3736" s="14" t="str">
        <f>IFERROR(__xludf.DUMMYFUNCTION("""COMPUTED_VALUE"""),"★禮券$200")</f>
        <v>★禮券$200</v>
      </c>
      <c r="H3736" s="8"/>
    </row>
    <row r="3737">
      <c r="A3737" s="18"/>
      <c r="B3737" s="14">
        <f>IFERROR(__xludf.DUMMYFUNCTION("""COMPUTED_VALUE"""),1002887.0)</f>
        <v>1002887</v>
      </c>
      <c r="C3737" s="14" t="str">
        <f>IFERROR(__xludf.DUMMYFUNCTION("""COMPUTED_VALUE"""),"魏浚承")</f>
        <v>魏浚承</v>
      </c>
      <c r="D3737" s="16" t="str">
        <f>IFERROR(__xludf.DUMMYFUNCTION("""COMPUTED_VALUE"""),"st1*****7.tn@mail.edu.tw")</f>
        <v>st1*****7.tn@mail.edu.tw</v>
      </c>
      <c r="E3737" s="17" t="str">
        <f>IFERROR(__xludf.DUMMYFUNCTION("""COMPUTED_VALUE"""),"臺南市新營區南梓實驗小學")</f>
        <v>臺南市新營區南梓實驗小學</v>
      </c>
      <c r="F3737" s="14" t="str">
        <f>IFERROR(__xludf.DUMMYFUNCTION("""COMPUTED_VALUE"""),"四年級")</f>
        <v>四年級</v>
      </c>
      <c r="G3737" s="14" t="str">
        <f>IFERROR(__xludf.DUMMYFUNCTION("""COMPUTED_VALUE"""),"獎狀")</f>
        <v>獎狀</v>
      </c>
      <c r="H3737" s="8"/>
    </row>
    <row r="3738">
      <c r="A3738" s="18"/>
      <c r="B3738" s="14">
        <f>IFERROR(__xludf.DUMMYFUNCTION("""COMPUTED_VALUE"""),1017018.0)</f>
        <v>1017018</v>
      </c>
      <c r="C3738" s="14" t="str">
        <f>IFERROR(__xludf.DUMMYFUNCTION("""COMPUTED_VALUE"""),"林裕軒")</f>
        <v>林裕軒</v>
      </c>
      <c r="D3738" s="16" t="str">
        <f>IFERROR(__xludf.DUMMYFUNCTION("""COMPUTED_VALUE"""),"st1*****2.tn@mail.edu.tw")</f>
        <v>st1*****2.tn@mail.edu.tw</v>
      </c>
      <c r="E3738" s="17" t="str">
        <f>IFERROR(__xludf.DUMMYFUNCTION("""COMPUTED_VALUE"""),"臺南市新營區南梓實驗小學")</f>
        <v>臺南市新營區南梓實驗小學</v>
      </c>
      <c r="F3738" s="14" t="str">
        <f>IFERROR(__xludf.DUMMYFUNCTION("""COMPUTED_VALUE"""),"四年級")</f>
        <v>四年級</v>
      </c>
      <c r="G3738" s="14" t="str">
        <f>IFERROR(__xludf.DUMMYFUNCTION("""COMPUTED_VALUE"""),"獎狀")</f>
        <v>獎狀</v>
      </c>
      <c r="H3738" s="8"/>
    </row>
    <row r="3739">
      <c r="A3739" s="18"/>
      <c r="B3739" s="14">
        <f>IFERROR(__xludf.DUMMYFUNCTION("""COMPUTED_VALUE"""),939158.0)</f>
        <v>939158</v>
      </c>
      <c r="C3739" s="14" t="str">
        <f>IFERROR(__xludf.DUMMYFUNCTION("""COMPUTED_VALUE"""),"薛鈞元")</f>
        <v>薛鈞元</v>
      </c>
      <c r="D3739" s="16" t="str">
        <f>IFERROR(__xludf.DUMMYFUNCTION("""COMPUTED_VALUE"""),"st2*****9.tn@mail.edu.tw")</f>
        <v>st2*****9.tn@mail.edu.tw</v>
      </c>
      <c r="E3739" s="17" t="str">
        <f>IFERROR(__xludf.DUMMYFUNCTION("""COMPUTED_VALUE"""),"臺南市新營區南梓實驗小學")</f>
        <v>臺南市新營區南梓實驗小學</v>
      </c>
      <c r="F3739" s="14" t="str">
        <f>IFERROR(__xludf.DUMMYFUNCTION("""COMPUTED_VALUE"""),"五年級")</f>
        <v>五年級</v>
      </c>
      <c r="G3739" s="14" t="str">
        <f>IFERROR(__xludf.DUMMYFUNCTION("""COMPUTED_VALUE"""),"●小禮物")</f>
        <v>●小禮物</v>
      </c>
      <c r="H3739" s="8"/>
    </row>
    <row r="3740">
      <c r="A3740" s="18"/>
      <c r="B3740" s="14">
        <f>IFERROR(__xludf.DUMMYFUNCTION("""COMPUTED_VALUE"""),790658.0)</f>
        <v>790658</v>
      </c>
      <c r="C3740" s="14" t="str">
        <f>IFERROR(__xludf.DUMMYFUNCTION("""COMPUTED_VALUE"""),"李佳睿")</f>
        <v>李佳睿</v>
      </c>
      <c r="D3740" s="16" t="str">
        <f>IFERROR(__xludf.DUMMYFUNCTION("""COMPUTED_VALUE"""),"st3*****2.tn@mail.edu.tw")</f>
        <v>st3*****2.tn@mail.edu.tw</v>
      </c>
      <c r="E3740" s="17" t="str">
        <f>IFERROR(__xludf.DUMMYFUNCTION("""COMPUTED_VALUE"""),"臺南市新營區南梓實驗小學")</f>
        <v>臺南市新營區南梓實驗小學</v>
      </c>
      <c r="F3740" s="14" t="str">
        <f>IFERROR(__xludf.DUMMYFUNCTION("""COMPUTED_VALUE"""),"六年級")</f>
        <v>六年級</v>
      </c>
      <c r="G3740" s="14" t="str">
        <f>IFERROR(__xludf.DUMMYFUNCTION("""COMPUTED_VALUE"""),"●小禮物")</f>
        <v>●小禮物</v>
      </c>
      <c r="H3740" s="8"/>
    </row>
    <row r="3741">
      <c r="A3741" s="18"/>
      <c r="B3741" s="14">
        <f>IFERROR(__xludf.DUMMYFUNCTION("""COMPUTED_VALUE"""),921693.0)</f>
        <v>921693</v>
      </c>
      <c r="C3741" s="14" t="str">
        <f>IFERROR(__xludf.DUMMYFUNCTION("""COMPUTED_VALUE"""),"李芷彤")</f>
        <v>李芷彤</v>
      </c>
      <c r="D3741" s="16" t="str">
        <f>IFERROR(__xludf.DUMMYFUNCTION("""COMPUTED_VALUE"""),"st3*****5.tn@mail.edu.tw")</f>
        <v>st3*****5.tn@mail.edu.tw</v>
      </c>
      <c r="E3741" s="17" t="str">
        <f>IFERROR(__xludf.DUMMYFUNCTION("""COMPUTED_VALUE"""),"臺南市新營區南梓實驗小學")</f>
        <v>臺南市新營區南梓實驗小學</v>
      </c>
      <c r="F3741" s="14" t="str">
        <f>IFERROR(__xludf.DUMMYFUNCTION("""COMPUTED_VALUE"""),"六年級")</f>
        <v>六年級</v>
      </c>
      <c r="G3741" s="14" t="str">
        <f>IFERROR(__xludf.DUMMYFUNCTION("""COMPUTED_VALUE"""),"●小禮物")</f>
        <v>●小禮物</v>
      </c>
      <c r="H3741" s="8"/>
    </row>
    <row r="3742">
      <c r="A3742" s="18"/>
      <c r="B3742" s="14">
        <f>IFERROR(__xludf.DUMMYFUNCTION("""COMPUTED_VALUE"""),921760.0)</f>
        <v>921760</v>
      </c>
      <c r="C3742" s="14" t="str">
        <f>IFERROR(__xludf.DUMMYFUNCTION("""COMPUTED_VALUE"""),"沈宥慈")</f>
        <v>沈宥慈</v>
      </c>
      <c r="D3742" s="16" t="str">
        <f>IFERROR(__xludf.DUMMYFUNCTION("""COMPUTED_VALUE"""),"st3*****8.tn@mail.edu.tw")</f>
        <v>st3*****8.tn@mail.edu.tw</v>
      </c>
      <c r="E3742" s="17" t="str">
        <f>IFERROR(__xludf.DUMMYFUNCTION("""COMPUTED_VALUE"""),"臺南市新營區南梓實驗小學")</f>
        <v>臺南市新營區南梓實驗小學</v>
      </c>
      <c r="F3742" s="14" t="str">
        <f>IFERROR(__xludf.DUMMYFUNCTION("""COMPUTED_VALUE"""),"六年級")</f>
        <v>六年級</v>
      </c>
      <c r="G3742" s="14" t="str">
        <f>IFERROR(__xludf.DUMMYFUNCTION("""COMPUTED_VALUE"""),"●小禮物")</f>
        <v>●小禮物</v>
      </c>
      <c r="H3742" s="8"/>
    </row>
    <row r="3743">
      <c r="A3743" s="18"/>
      <c r="B3743" s="14">
        <f>IFERROR(__xludf.DUMMYFUNCTION("""COMPUTED_VALUE"""),921697.0)</f>
        <v>921697</v>
      </c>
      <c r="C3743" s="14" t="str">
        <f>IFERROR(__xludf.DUMMYFUNCTION("""COMPUTED_VALUE"""),"林建安")</f>
        <v>林建安</v>
      </c>
      <c r="D3743" s="16" t="str">
        <f>IFERROR(__xludf.DUMMYFUNCTION("""COMPUTED_VALUE"""),"st3*****3.tn@mail.edu.tw")</f>
        <v>st3*****3.tn@mail.edu.tw</v>
      </c>
      <c r="E3743" s="17" t="str">
        <f>IFERROR(__xludf.DUMMYFUNCTION("""COMPUTED_VALUE"""),"臺南市新營區南梓實驗小學")</f>
        <v>臺南市新營區南梓實驗小學</v>
      </c>
      <c r="F3743" s="14" t="str">
        <f>IFERROR(__xludf.DUMMYFUNCTION("""COMPUTED_VALUE"""),"六年級")</f>
        <v>六年級</v>
      </c>
      <c r="G3743" s="14" t="str">
        <f>IFERROR(__xludf.DUMMYFUNCTION("""COMPUTED_VALUE"""),"●小禮物")</f>
        <v>●小禮物</v>
      </c>
      <c r="H3743" s="8"/>
    </row>
    <row r="3744">
      <c r="A3744" s="18"/>
      <c r="B3744" s="14">
        <f>IFERROR(__xludf.DUMMYFUNCTION("""COMPUTED_VALUE"""),921722.0)</f>
        <v>921722</v>
      </c>
      <c r="C3744" s="14" t="str">
        <f>IFERROR(__xludf.DUMMYFUNCTION("""COMPUTED_VALUE"""),"林意娟")</f>
        <v>林意娟</v>
      </c>
      <c r="D3744" s="16" t="str">
        <f>IFERROR(__xludf.DUMMYFUNCTION("""COMPUTED_VALUE"""),"st3*****6.tn@mail.edu.tw")</f>
        <v>st3*****6.tn@mail.edu.tw</v>
      </c>
      <c r="E3744" s="17" t="str">
        <f>IFERROR(__xludf.DUMMYFUNCTION("""COMPUTED_VALUE"""),"臺南市新營區南梓實驗小學")</f>
        <v>臺南市新營區南梓實驗小學</v>
      </c>
      <c r="F3744" s="14" t="str">
        <f>IFERROR(__xludf.DUMMYFUNCTION("""COMPUTED_VALUE"""),"六年級")</f>
        <v>六年級</v>
      </c>
      <c r="G3744" s="14" t="str">
        <f>IFERROR(__xludf.DUMMYFUNCTION("""COMPUTED_VALUE"""),"●小禮物")</f>
        <v>●小禮物</v>
      </c>
      <c r="H3744" s="8"/>
    </row>
    <row r="3745">
      <c r="A3745" s="18"/>
      <c r="B3745" s="14">
        <f>IFERROR(__xludf.DUMMYFUNCTION("""COMPUTED_VALUE"""),921732.0)</f>
        <v>921732</v>
      </c>
      <c r="C3745" s="14" t="str">
        <f>IFERROR(__xludf.DUMMYFUNCTION("""COMPUTED_VALUE"""),"梅桐富")</f>
        <v>梅桐富</v>
      </c>
      <c r="D3745" s="16" t="str">
        <f>IFERROR(__xludf.DUMMYFUNCTION("""COMPUTED_VALUE"""),"st3*****6.tn@mail.edu.tw")</f>
        <v>st3*****6.tn@mail.edu.tw</v>
      </c>
      <c r="E3745" s="17" t="str">
        <f>IFERROR(__xludf.DUMMYFUNCTION("""COMPUTED_VALUE"""),"臺南市新營區南梓實驗小學")</f>
        <v>臺南市新營區南梓實驗小學</v>
      </c>
      <c r="F3745" s="14" t="str">
        <f>IFERROR(__xludf.DUMMYFUNCTION("""COMPUTED_VALUE"""),"六年級")</f>
        <v>六年級</v>
      </c>
      <c r="G3745" s="14" t="str">
        <f>IFERROR(__xludf.DUMMYFUNCTION("""COMPUTED_VALUE"""),"●小禮物")</f>
        <v>●小禮物</v>
      </c>
      <c r="H3745" s="8"/>
    </row>
    <row r="3746">
      <c r="A3746" s="18"/>
      <c r="B3746" s="14">
        <f>IFERROR(__xludf.DUMMYFUNCTION("""COMPUTED_VALUE"""),921762.0)</f>
        <v>921762</v>
      </c>
      <c r="C3746" s="14" t="str">
        <f>IFERROR(__xludf.DUMMYFUNCTION("""COMPUTED_VALUE"""),"陳巧翎")</f>
        <v>陳巧翎</v>
      </c>
      <c r="D3746" s="16" t="str">
        <f>IFERROR(__xludf.DUMMYFUNCTION("""COMPUTED_VALUE"""),"st3*****0.tn@mail.edu.tw")</f>
        <v>st3*****0.tn@mail.edu.tw</v>
      </c>
      <c r="E3746" s="17" t="str">
        <f>IFERROR(__xludf.DUMMYFUNCTION("""COMPUTED_VALUE"""),"臺南市新營區南梓實驗小學")</f>
        <v>臺南市新營區南梓實驗小學</v>
      </c>
      <c r="F3746" s="14" t="str">
        <f>IFERROR(__xludf.DUMMYFUNCTION("""COMPUTED_VALUE"""),"六年級")</f>
        <v>六年級</v>
      </c>
      <c r="G3746" s="14" t="str">
        <f>IFERROR(__xludf.DUMMYFUNCTION("""COMPUTED_VALUE"""),"●小禮物")</f>
        <v>●小禮物</v>
      </c>
      <c r="H3746" s="8"/>
    </row>
    <row r="3747">
      <c r="A3747" s="18"/>
      <c r="B3747" s="14">
        <f>IFERROR(__xludf.DUMMYFUNCTION("""COMPUTED_VALUE"""),921721.0)</f>
        <v>921721</v>
      </c>
      <c r="C3747" s="14" t="str">
        <f>IFERROR(__xludf.DUMMYFUNCTION("""COMPUTED_VALUE"""),"陳玉恬")</f>
        <v>陳玉恬</v>
      </c>
      <c r="D3747" s="16" t="str">
        <f>IFERROR(__xludf.DUMMYFUNCTION("""COMPUTED_VALUE"""),"st3*****5.tn@mail.edu.tw")</f>
        <v>st3*****5.tn@mail.edu.tw</v>
      </c>
      <c r="E3747" s="17" t="str">
        <f>IFERROR(__xludf.DUMMYFUNCTION("""COMPUTED_VALUE"""),"臺南市新營區南梓實驗小學")</f>
        <v>臺南市新營區南梓實驗小學</v>
      </c>
      <c r="F3747" s="14" t="str">
        <f>IFERROR(__xludf.DUMMYFUNCTION("""COMPUTED_VALUE"""),"六年級")</f>
        <v>六年級</v>
      </c>
      <c r="G3747" s="14" t="str">
        <f>IFERROR(__xludf.DUMMYFUNCTION("""COMPUTED_VALUE"""),"●小禮物")</f>
        <v>●小禮物</v>
      </c>
      <c r="H3747" s="8"/>
    </row>
    <row r="3748">
      <c r="A3748" s="18"/>
      <c r="B3748" s="14">
        <f>IFERROR(__xludf.DUMMYFUNCTION("""COMPUTED_VALUE"""),921669.0)</f>
        <v>921669</v>
      </c>
      <c r="C3748" s="14" t="str">
        <f>IFERROR(__xludf.DUMMYFUNCTION("""COMPUTED_VALUE"""),"楊子欣")</f>
        <v>楊子欣</v>
      </c>
      <c r="D3748" s="16" t="str">
        <f>IFERROR(__xludf.DUMMYFUNCTION("""COMPUTED_VALUE"""),"st3*****6.tn@mail.edu.tw")</f>
        <v>st3*****6.tn@mail.edu.tw</v>
      </c>
      <c r="E3748" s="17" t="str">
        <f>IFERROR(__xludf.DUMMYFUNCTION("""COMPUTED_VALUE"""),"臺南市新營區南梓實驗小學")</f>
        <v>臺南市新營區南梓實驗小學</v>
      </c>
      <c r="F3748" s="14" t="str">
        <f>IFERROR(__xludf.DUMMYFUNCTION("""COMPUTED_VALUE"""),"六年級")</f>
        <v>六年級</v>
      </c>
      <c r="G3748" s="14" t="str">
        <f>IFERROR(__xludf.DUMMYFUNCTION("""COMPUTED_VALUE"""),"●小禮物")</f>
        <v>●小禮物</v>
      </c>
      <c r="H3748" s="8"/>
    </row>
    <row r="3749">
      <c r="A3749" s="18"/>
      <c r="B3749" s="14">
        <f>IFERROR(__xludf.DUMMYFUNCTION("""COMPUTED_VALUE"""),921771.0)</f>
        <v>921771</v>
      </c>
      <c r="C3749" s="14" t="str">
        <f>IFERROR(__xludf.DUMMYFUNCTION("""COMPUTED_VALUE"""),"許沛欣")</f>
        <v>許沛欣</v>
      </c>
      <c r="D3749" s="16" t="str">
        <f>IFERROR(__xludf.DUMMYFUNCTION("""COMPUTED_VALUE"""),"st3*****2.tn@mail.edu.tw")</f>
        <v>st3*****2.tn@mail.edu.tw</v>
      </c>
      <c r="E3749" s="17" t="str">
        <f>IFERROR(__xludf.DUMMYFUNCTION("""COMPUTED_VALUE"""),"臺南市新營區南梓實驗小學")</f>
        <v>臺南市新營區南梓實驗小學</v>
      </c>
      <c r="F3749" s="14" t="str">
        <f>IFERROR(__xludf.DUMMYFUNCTION("""COMPUTED_VALUE"""),"六年級")</f>
        <v>六年級</v>
      </c>
      <c r="G3749" s="14" t="str">
        <f>IFERROR(__xludf.DUMMYFUNCTION("""COMPUTED_VALUE"""),"★禮券$200")</f>
        <v>★禮券$200</v>
      </c>
      <c r="H3749" s="8"/>
    </row>
    <row r="3750">
      <c r="A3750" s="18"/>
      <c r="B3750" s="14">
        <f>IFERROR(__xludf.DUMMYFUNCTION("""COMPUTED_VALUE"""),921716.0)</f>
        <v>921716</v>
      </c>
      <c r="C3750" s="14" t="str">
        <f>IFERROR(__xludf.DUMMYFUNCTION("""COMPUTED_VALUE"""),"吳東諺")</f>
        <v>吳東諺</v>
      </c>
      <c r="D3750" s="16" t="str">
        <f>IFERROR(__xludf.DUMMYFUNCTION("""COMPUTED_VALUE"""),"st3*****5.tn@mail.edu.tw")</f>
        <v>st3*****5.tn@mail.edu.tw</v>
      </c>
      <c r="E3750" s="17" t="str">
        <f>IFERROR(__xludf.DUMMYFUNCTION("""COMPUTED_VALUE"""),"臺南市新營區南梓實驗小學")</f>
        <v>臺南市新營區南梓實驗小學</v>
      </c>
      <c r="F3750" s="14" t="str">
        <f>IFERROR(__xludf.DUMMYFUNCTION("""COMPUTED_VALUE"""),"六年級")</f>
        <v>六年級</v>
      </c>
      <c r="G3750" s="14" t="str">
        <f>IFERROR(__xludf.DUMMYFUNCTION("""COMPUTED_VALUE"""),"★禮券$500")</f>
        <v>★禮券$500</v>
      </c>
      <c r="H3750" s="8"/>
    </row>
    <row r="3751">
      <c r="A3751" s="18"/>
      <c r="B3751" s="14">
        <f>IFERROR(__xludf.DUMMYFUNCTION("""COMPUTED_VALUE"""),921689.0)</f>
        <v>921689</v>
      </c>
      <c r="C3751" s="14" t="str">
        <f>IFERROR(__xludf.DUMMYFUNCTION("""COMPUTED_VALUE"""),"毛玫瑄")</f>
        <v>毛玫瑄</v>
      </c>
      <c r="D3751" s="16" t="str">
        <f>IFERROR(__xludf.DUMMYFUNCTION("""COMPUTED_VALUE"""),"st3*****5.tn@mail.edu.tw")</f>
        <v>st3*****5.tn@mail.edu.tw</v>
      </c>
      <c r="E3751" s="17" t="str">
        <f>IFERROR(__xludf.DUMMYFUNCTION("""COMPUTED_VALUE"""),"臺南市新營區南梓實驗小學")</f>
        <v>臺南市新營區南梓實驗小學</v>
      </c>
      <c r="F3751" s="14" t="str">
        <f>IFERROR(__xludf.DUMMYFUNCTION("""COMPUTED_VALUE"""),"六年級")</f>
        <v>六年級</v>
      </c>
      <c r="G3751" s="14" t="str">
        <f>IFERROR(__xludf.DUMMYFUNCTION("""COMPUTED_VALUE"""),"獎狀")</f>
        <v>獎狀</v>
      </c>
      <c r="H3751" s="8"/>
    </row>
    <row r="3752">
      <c r="A3752" s="18"/>
      <c r="B3752" s="14">
        <f>IFERROR(__xludf.DUMMYFUNCTION("""COMPUTED_VALUE"""),921671.0)</f>
        <v>921671</v>
      </c>
      <c r="C3752" s="14" t="str">
        <f>IFERROR(__xludf.DUMMYFUNCTION("""COMPUTED_VALUE"""),"江韶恩")</f>
        <v>江韶恩</v>
      </c>
      <c r="D3752" s="16" t="str">
        <f>IFERROR(__xludf.DUMMYFUNCTION("""COMPUTED_VALUE"""),"st3*****8.tn@mail.edu.tw")</f>
        <v>st3*****8.tn@mail.edu.tw</v>
      </c>
      <c r="E3752" s="17" t="str">
        <f>IFERROR(__xludf.DUMMYFUNCTION("""COMPUTED_VALUE"""),"臺南市新營區南梓實驗小學")</f>
        <v>臺南市新營區南梓實驗小學</v>
      </c>
      <c r="F3752" s="14" t="str">
        <f>IFERROR(__xludf.DUMMYFUNCTION("""COMPUTED_VALUE"""),"六年級")</f>
        <v>六年級</v>
      </c>
      <c r="G3752" s="14" t="str">
        <f>IFERROR(__xludf.DUMMYFUNCTION("""COMPUTED_VALUE"""),"獎狀")</f>
        <v>獎狀</v>
      </c>
      <c r="H3752" s="8"/>
    </row>
    <row r="3753">
      <c r="A3753" s="18"/>
      <c r="B3753" s="14">
        <f>IFERROR(__xludf.DUMMYFUNCTION("""COMPUTED_VALUE"""),921662.0)</f>
        <v>921662</v>
      </c>
      <c r="C3753" s="14" t="str">
        <f>IFERROR(__xludf.DUMMYFUNCTION("""COMPUTED_VALUE"""),"李允柔")</f>
        <v>李允柔</v>
      </c>
      <c r="D3753" s="16" t="str">
        <f>IFERROR(__xludf.DUMMYFUNCTION("""COMPUTED_VALUE"""),"st3*****9.tn@mail.edu.tw")</f>
        <v>st3*****9.tn@mail.edu.tw</v>
      </c>
      <c r="E3753" s="17" t="str">
        <f>IFERROR(__xludf.DUMMYFUNCTION("""COMPUTED_VALUE"""),"臺南市新營區南梓實驗小學")</f>
        <v>臺南市新營區南梓實驗小學</v>
      </c>
      <c r="F3753" s="14" t="str">
        <f>IFERROR(__xludf.DUMMYFUNCTION("""COMPUTED_VALUE"""),"六年級")</f>
        <v>六年級</v>
      </c>
      <c r="G3753" s="14" t="str">
        <f>IFERROR(__xludf.DUMMYFUNCTION("""COMPUTED_VALUE"""),"獎狀")</f>
        <v>獎狀</v>
      </c>
      <c r="H3753" s="8"/>
    </row>
    <row r="3754">
      <c r="A3754" s="18"/>
      <c r="B3754" s="14">
        <f>IFERROR(__xludf.DUMMYFUNCTION("""COMPUTED_VALUE"""),921705.0)</f>
        <v>921705</v>
      </c>
      <c r="C3754" s="14" t="str">
        <f>IFERROR(__xludf.DUMMYFUNCTION("""COMPUTED_VALUE"""),"倪采蔆")</f>
        <v>倪采蔆</v>
      </c>
      <c r="D3754" s="16" t="str">
        <f>IFERROR(__xludf.DUMMYFUNCTION("""COMPUTED_VALUE"""),"st3*****7.tn@mail.edu.tw")</f>
        <v>st3*****7.tn@mail.edu.tw</v>
      </c>
      <c r="E3754" s="17" t="str">
        <f>IFERROR(__xludf.DUMMYFUNCTION("""COMPUTED_VALUE"""),"臺南市新營區南梓實驗小學")</f>
        <v>臺南市新營區南梓實驗小學</v>
      </c>
      <c r="F3754" s="14" t="str">
        <f>IFERROR(__xludf.DUMMYFUNCTION("""COMPUTED_VALUE"""),"六年級")</f>
        <v>六年級</v>
      </c>
      <c r="G3754" s="14" t="str">
        <f>IFERROR(__xludf.DUMMYFUNCTION("""COMPUTED_VALUE"""),"獎狀")</f>
        <v>獎狀</v>
      </c>
      <c r="H3754" s="8"/>
    </row>
    <row r="3755">
      <c r="A3755" s="18"/>
      <c r="B3755" s="14">
        <f>IFERROR(__xludf.DUMMYFUNCTION("""COMPUTED_VALUE"""),921731.0)</f>
        <v>921731</v>
      </c>
      <c r="C3755" s="14" t="str">
        <f>IFERROR(__xludf.DUMMYFUNCTION("""COMPUTED_VALUE"""),"張愉婕")</f>
        <v>張愉婕</v>
      </c>
      <c r="D3755" s="16" t="str">
        <f>IFERROR(__xludf.DUMMYFUNCTION("""COMPUTED_VALUE"""),"st3*****7.tn@mail.edu.tw")</f>
        <v>st3*****7.tn@mail.edu.tw</v>
      </c>
      <c r="E3755" s="17" t="str">
        <f>IFERROR(__xludf.DUMMYFUNCTION("""COMPUTED_VALUE"""),"臺南市新營區南梓實驗小學")</f>
        <v>臺南市新營區南梓實驗小學</v>
      </c>
      <c r="F3755" s="14" t="str">
        <f>IFERROR(__xludf.DUMMYFUNCTION("""COMPUTED_VALUE"""),"六年級")</f>
        <v>六年級</v>
      </c>
      <c r="G3755" s="14" t="str">
        <f>IFERROR(__xludf.DUMMYFUNCTION("""COMPUTED_VALUE"""),"獎狀")</f>
        <v>獎狀</v>
      </c>
      <c r="H3755" s="8"/>
    </row>
    <row r="3756">
      <c r="A3756" s="18"/>
      <c r="B3756" s="14">
        <f>IFERROR(__xludf.DUMMYFUNCTION("""COMPUTED_VALUE"""),921713.0)</f>
        <v>921713</v>
      </c>
      <c r="C3756" s="14" t="str">
        <f>IFERROR(__xludf.DUMMYFUNCTION("""COMPUTED_VALUE"""),"陳芓茵")</f>
        <v>陳芓茵</v>
      </c>
      <c r="D3756" s="16" t="str">
        <f>IFERROR(__xludf.DUMMYFUNCTION("""COMPUTED_VALUE"""),"st3*****8.tn@mail.edu.tw")</f>
        <v>st3*****8.tn@mail.edu.tw</v>
      </c>
      <c r="E3756" s="17" t="str">
        <f>IFERROR(__xludf.DUMMYFUNCTION("""COMPUTED_VALUE"""),"臺南市新營區南梓實驗小學")</f>
        <v>臺南市新營區南梓實驗小學</v>
      </c>
      <c r="F3756" s="14" t="str">
        <f>IFERROR(__xludf.DUMMYFUNCTION("""COMPUTED_VALUE"""),"六年級")</f>
        <v>六年級</v>
      </c>
      <c r="G3756" s="14" t="str">
        <f>IFERROR(__xludf.DUMMYFUNCTION("""COMPUTED_VALUE"""),"獎狀")</f>
        <v>獎狀</v>
      </c>
      <c r="H3756" s="8"/>
    </row>
    <row r="3757">
      <c r="A3757" s="18"/>
      <c r="B3757" s="14">
        <f>IFERROR(__xludf.DUMMYFUNCTION("""COMPUTED_VALUE"""),603844.0)</f>
        <v>603844</v>
      </c>
      <c r="C3757" s="14" t="str">
        <f>IFERROR(__xludf.DUMMYFUNCTION("""COMPUTED_VALUE"""),"黃筠雅")</f>
        <v>黃筠雅</v>
      </c>
      <c r="D3757" s="16" t="str">
        <f>IFERROR(__xludf.DUMMYFUNCTION("""COMPUTED_VALUE"""),"st3*****8.tn@mail.edu.tw")</f>
        <v>st3*****8.tn@mail.edu.tw</v>
      </c>
      <c r="E3757" s="17" t="str">
        <f>IFERROR(__xludf.DUMMYFUNCTION("""COMPUTED_VALUE"""),"臺南市新營區南梓實驗小學")</f>
        <v>臺南市新營區南梓實驗小學</v>
      </c>
      <c r="F3757" s="14" t="str">
        <f>IFERROR(__xludf.DUMMYFUNCTION("""COMPUTED_VALUE"""),"六年級")</f>
        <v>六年級</v>
      </c>
      <c r="G3757" s="14" t="str">
        <f>IFERROR(__xludf.DUMMYFUNCTION("""COMPUTED_VALUE"""),"獎狀")</f>
        <v>獎狀</v>
      </c>
      <c r="H3757" s="8"/>
    </row>
    <row r="3758">
      <c r="A3758" s="18"/>
      <c r="B3758" s="14">
        <f>IFERROR(__xludf.DUMMYFUNCTION("""COMPUTED_VALUE"""),921698.0)</f>
        <v>921698</v>
      </c>
      <c r="C3758" s="14" t="str">
        <f>IFERROR(__xludf.DUMMYFUNCTION("""COMPUTED_VALUE"""),"蔡世育")</f>
        <v>蔡世育</v>
      </c>
      <c r="D3758" s="16" t="str">
        <f>IFERROR(__xludf.DUMMYFUNCTION("""COMPUTED_VALUE"""),"st4*****5.tn@mail.edu.tw")</f>
        <v>st4*****5.tn@mail.edu.tw</v>
      </c>
      <c r="E3758" s="17" t="str">
        <f>IFERROR(__xludf.DUMMYFUNCTION("""COMPUTED_VALUE"""),"臺南市新營區南梓實驗小學")</f>
        <v>臺南市新營區南梓實驗小學</v>
      </c>
      <c r="F3758" s="14" t="str">
        <f>IFERROR(__xludf.DUMMYFUNCTION("""COMPUTED_VALUE"""),"六年級")</f>
        <v>六年級</v>
      </c>
      <c r="G3758" s="14" t="str">
        <f>IFERROR(__xludf.DUMMYFUNCTION("""COMPUTED_VALUE"""),"獎狀")</f>
        <v>獎狀</v>
      </c>
      <c r="H3758" s="8"/>
    </row>
    <row r="3759">
      <c r="A3759" s="18"/>
      <c r="B3759" s="14">
        <f>IFERROR(__xludf.DUMMYFUNCTION("""COMPUTED_VALUE"""),921670.0)</f>
        <v>921670</v>
      </c>
      <c r="C3759" s="14" t="str">
        <f>IFERROR(__xludf.DUMMYFUNCTION("""COMPUTED_VALUE"""),"賴忻宜")</f>
        <v>賴忻宜</v>
      </c>
      <c r="D3759" s="16" t="str">
        <f>IFERROR(__xludf.DUMMYFUNCTION("""COMPUTED_VALUE"""),"st4*****6.tn@mail.edu.tw")</f>
        <v>st4*****6.tn@mail.edu.tw</v>
      </c>
      <c r="E3759" s="17" t="str">
        <f>IFERROR(__xludf.DUMMYFUNCTION("""COMPUTED_VALUE"""),"臺南市新營區南梓實驗小學")</f>
        <v>臺南市新營區南梓實驗小學</v>
      </c>
      <c r="F3759" s="14" t="str">
        <f>IFERROR(__xludf.DUMMYFUNCTION("""COMPUTED_VALUE"""),"六年級")</f>
        <v>六年級</v>
      </c>
      <c r="G3759" s="14" t="str">
        <f>IFERROR(__xludf.DUMMYFUNCTION("""COMPUTED_VALUE"""),"獎狀")</f>
        <v>獎狀</v>
      </c>
      <c r="H3759" s="8"/>
    </row>
    <row r="3760">
      <c r="A3760" s="18"/>
      <c r="B3760" s="14">
        <f>IFERROR(__xludf.DUMMYFUNCTION("""COMPUTED_VALUE"""),921707.0)</f>
        <v>921707</v>
      </c>
      <c r="C3760" s="14" t="str">
        <f>IFERROR(__xludf.DUMMYFUNCTION("""COMPUTED_VALUE"""),"顏凱祥")</f>
        <v>顏凱祥</v>
      </c>
      <c r="D3760" s="16" t="str">
        <f>IFERROR(__xludf.DUMMYFUNCTION("""COMPUTED_VALUE"""),"st3*****3.tn@mail.edu.tw")</f>
        <v>st3*****3.tn@mail.edu.tw</v>
      </c>
      <c r="E3760" s="17" t="str">
        <f>IFERROR(__xludf.DUMMYFUNCTION("""COMPUTED_VALUE"""),"臺南市新營區南梓實驗小學")</f>
        <v>臺南市新營區南梓實驗小學</v>
      </c>
      <c r="F3760" s="14" t="str">
        <f>IFERROR(__xludf.DUMMYFUNCTION("""COMPUTED_VALUE"""),"六年級")</f>
        <v>六年級</v>
      </c>
      <c r="G3760" s="14" t="str">
        <f>IFERROR(__xludf.DUMMYFUNCTION("""COMPUTED_VALUE"""),"獎狀")</f>
        <v>獎狀</v>
      </c>
      <c r="H3760" s="8"/>
    </row>
    <row r="3761">
      <c r="A3761" s="18"/>
      <c r="B3761" s="14">
        <f>IFERROR(__xludf.DUMMYFUNCTION("""COMPUTED_VALUE"""),960199.0)</f>
        <v>960199</v>
      </c>
      <c r="C3761" s="14" t="str">
        <f>IFERROR(__xludf.DUMMYFUNCTION("""COMPUTED_VALUE"""),"朱佑哲")</f>
        <v>朱佑哲</v>
      </c>
      <c r="D3761" s="16" t="str">
        <f>IFERROR(__xludf.DUMMYFUNCTION("""COMPUTED_VALUE"""),"st6*****1.tn@mail.edu.tw")</f>
        <v>st6*****1.tn@mail.edu.tw</v>
      </c>
      <c r="E3761" s="17" t="str">
        <f>IFERROR(__xludf.DUMMYFUNCTION("""COMPUTED_VALUE"""),"臺南市後壁區後壁國民小學")</f>
        <v>臺南市後壁區後壁國民小學</v>
      </c>
      <c r="F3761" s="14" t="str">
        <f>IFERROR(__xludf.DUMMYFUNCTION("""COMPUTED_VALUE"""),"五年級")</f>
        <v>五年級</v>
      </c>
      <c r="G3761" s="14" t="str">
        <f>IFERROR(__xludf.DUMMYFUNCTION("""COMPUTED_VALUE"""),"●小禮物")</f>
        <v>●小禮物</v>
      </c>
      <c r="H3761" s="8"/>
    </row>
    <row r="3762">
      <c r="A3762" s="18"/>
      <c r="B3762" s="14">
        <f>IFERROR(__xludf.DUMMYFUNCTION("""COMPUTED_VALUE"""),1177821.0)</f>
        <v>1177821</v>
      </c>
      <c r="C3762" s="14" t="str">
        <f>IFERROR(__xludf.DUMMYFUNCTION("""COMPUTED_VALUE"""),"李映彤")</f>
        <v>李映彤</v>
      </c>
      <c r="D3762" s="16" t="str">
        <f>IFERROR(__xludf.DUMMYFUNCTION("""COMPUTED_VALUE"""),"st3*****6.tn@mail.edu.tw")</f>
        <v>st3*****6.tn@mail.edu.tw</v>
      </c>
      <c r="E3762" s="17" t="str">
        <f>IFERROR(__xludf.DUMMYFUNCTION("""COMPUTED_VALUE"""),"臺南市白河區內角國民小學")</f>
        <v>臺南市白河區內角國民小學</v>
      </c>
      <c r="F3762" s="14" t="str">
        <f>IFERROR(__xludf.DUMMYFUNCTION("""COMPUTED_VALUE"""),"三年級")</f>
        <v>三年級</v>
      </c>
      <c r="G3762" s="14" t="str">
        <f>IFERROR(__xludf.DUMMYFUNCTION("""COMPUTED_VALUE"""),"獎狀")</f>
        <v>獎狀</v>
      </c>
      <c r="H3762" s="8"/>
    </row>
    <row r="3763">
      <c r="A3763" s="18"/>
      <c r="B3763" s="14">
        <f>IFERROR(__xludf.DUMMYFUNCTION("""COMPUTED_VALUE"""),1178679.0)</f>
        <v>1178679</v>
      </c>
      <c r="C3763" s="14" t="str">
        <f>IFERROR(__xludf.DUMMYFUNCTION("""COMPUTED_VALUE"""),"盧冠祥")</f>
        <v>盧冠祥</v>
      </c>
      <c r="D3763" s="16" t="str">
        <f>IFERROR(__xludf.DUMMYFUNCTION("""COMPUTED_VALUE"""),"st4*****0.tn@mail.edu.tw")</f>
        <v>st4*****0.tn@mail.edu.tw</v>
      </c>
      <c r="E3763" s="17" t="str">
        <f>IFERROR(__xludf.DUMMYFUNCTION("""COMPUTED_VALUE"""),"臺南市白河區內角國民小學")</f>
        <v>臺南市白河區內角國民小學</v>
      </c>
      <c r="F3763" s="14" t="str">
        <f>IFERROR(__xludf.DUMMYFUNCTION("""COMPUTED_VALUE"""),"三年級")</f>
        <v>三年級</v>
      </c>
      <c r="G3763" s="14" t="str">
        <f>IFERROR(__xludf.DUMMYFUNCTION("""COMPUTED_VALUE"""),"獎狀")</f>
        <v>獎狀</v>
      </c>
      <c r="H3763" s="8"/>
    </row>
    <row r="3764">
      <c r="A3764" s="18"/>
      <c r="B3764" s="14">
        <f>IFERROR(__xludf.DUMMYFUNCTION("""COMPUTED_VALUE"""),742150.0)</f>
        <v>742150</v>
      </c>
      <c r="C3764" s="14" t="str">
        <f>IFERROR(__xludf.DUMMYFUNCTION("""COMPUTED_VALUE"""),"吳宜峰")</f>
        <v>吳宜峰</v>
      </c>
      <c r="D3764" s="16" t="str">
        <f>IFERROR(__xludf.DUMMYFUNCTION("""COMPUTED_VALUE"""),"st3*****7.tn@mail.edu.tw")</f>
        <v>st3*****7.tn@mail.edu.tw</v>
      </c>
      <c r="E3764" s="17" t="str">
        <f>IFERROR(__xludf.DUMMYFUNCTION("""COMPUTED_VALUE"""),"臺南市白河區白河國民小學")</f>
        <v>臺南市白河區白河國民小學</v>
      </c>
      <c r="F3764" s="14" t="str">
        <f>IFERROR(__xludf.DUMMYFUNCTION("""COMPUTED_VALUE"""),"六年級")</f>
        <v>六年級</v>
      </c>
      <c r="G3764" s="14" t="str">
        <f>IFERROR(__xludf.DUMMYFUNCTION("""COMPUTED_VALUE"""),"●小禮物")</f>
        <v>●小禮物</v>
      </c>
      <c r="H3764" s="8"/>
    </row>
    <row r="3765">
      <c r="A3765" s="18"/>
      <c r="B3765" s="14">
        <f>IFERROR(__xludf.DUMMYFUNCTION("""COMPUTED_VALUE"""),637685.0)</f>
        <v>637685</v>
      </c>
      <c r="C3765" s="14" t="str">
        <f>IFERROR(__xludf.DUMMYFUNCTION("""COMPUTED_VALUE"""),"李恩溥")</f>
        <v>李恩溥</v>
      </c>
      <c r="D3765" s="16" t="str">
        <f>IFERROR(__xludf.DUMMYFUNCTION("""COMPUTED_VALUE"""),"st3*****3.tn@mail.edu.tw")</f>
        <v>st3*****3.tn@mail.edu.tw</v>
      </c>
      <c r="E3765" s="17" t="str">
        <f>IFERROR(__xludf.DUMMYFUNCTION("""COMPUTED_VALUE"""),"臺南市白河區白河國民小學")</f>
        <v>臺南市白河區白河國民小學</v>
      </c>
      <c r="F3765" s="14" t="str">
        <f>IFERROR(__xludf.DUMMYFUNCTION("""COMPUTED_VALUE"""),"六年級")</f>
        <v>六年級</v>
      </c>
      <c r="G3765" s="14" t="str">
        <f>IFERROR(__xludf.DUMMYFUNCTION("""COMPUTED_VALUE"""),"●小禮物")</f>
        <v>●小禮物</v>
      </c>
      <c r="H3765" s="8"/>
    </row>
    <row r="3766">
      <c r="A3766" s="18"/>
      <c r="B3766" s="14">
        <f>IFERROR(__xludf.DUMMYFUNCTION("""COMPUTED_VALUE"""),742230.0)</f>
        <v>742230</v>
      </c>
      <c r="C3766" s="14" t="str">
        <f>IFERROR(__xludf.DUMMYFUNCTION("""COMPUTED_VALUE"""),"吳宜恩")</f>
        <v>吳宜恩</v>
      </c>
      <c r="D3766" s="16" t="str">
        <f>IFERROR(__xludf.DUMMYFUNCTION("""COMPUTED_VALUE"""),"st3*****7.tn@mail.edu.tw")</f>
        <v>st3*****7.tn@mail.edu.tw</v>
      </c>
      <c r="E3766" s="17" t="str">
        <f>IFERROR(__xludf.DUMMYFUNCTION("""COMPUTED_VALUE"""),"臺南市白河區白河國民小學")</f>
        <v>臺南市白河區白河國民小學</v>
      </c>
      <c r="F3766" s="14" t="str">
        <f>IFERROR(__xludf.DUMMYFUNCTION("""COMPUTED_VALUE"""),"六年級")</f>
        <v>六年級</v>
      </c>
      <c r="G3766" s="14" t="str">
        <f>IFERROR(__xludf.DUMMYFUNCTION("""COMPUTED_VALUE"""),"●小禮物")</f>
        <v>●小禮物</v>
      </c>
      <c r="H3766" s="8"/>
    </row>
    <row r="3767">
      <c r="A3767" s="18"/>
      <c r="B3767" s="14">
        <f>IFERROR(__xludf.DUMMYFUNCTION("""COMPUTED_VALUE"""),577319.0)</f>
        <v>577319</v>
      </c>
      <c r="C3767" s="14" t="str">
        <f>IFERROR(__xludf.DUMMYFUNCTION("""COMPUTED_VALUE"""),"張予寧")</f>
        <v>張予寧</v>
      </c>
      <c r="D3767" s="16" t="str">
        <f>IFERROR(__xludf.DUMMYFUNCTION("""COMPUTED_VALUE"""),"st5*****2.tn@mail.edu.tw")</f>
        <v>st5*****2.tn@mail.edu.tw</v>
      </c>
      <c r="E3767" s="17" t="str">
        <f>IFERROR(__xludf.DUMMYFUNCTION("""COMPUTED_VALUE"""),"臺南市鹽水區鹽水國民小學")</f>
        <v>臺南市鹽水區鹽水國民小學</v>
      </c>
      <c r="F3767" s="14" t="str">
        <f>IFERROR(__xludf.DUMMYFUNCTION("""COMPUTED_VALUE"""),"五年級")</f>
        <v>五年級</v>
      </c>
      <c r="G3767" s="14" t="str">
        <f>IFERROR(__xludf.DUMMYFUNCTION("""COMPUTED_VALUE"""),"獎狀")</f>
        <v>獎狀</v>
      </c>
      <c r="H3767" s="8"/>
    </row>
    <row r="3768">
      <c r="A3768" s="18"/>
      <c r="B3768" s="14">
        <f>IFERROR(__xludf.DUMMYFUNCTION("""COMPUTED_VALUE"""),697190.0)</f>
        <v>697190</v>
      </c>
      <c r="C3768" s="14" t="str">
        <f>IFERROR(__xludf.DUMMYFUNCTION("""COMPUTED_VALUE"""),"吳士元")</f>
        <v>吳士元</v>
      </c>
      <c r="D3768" s="16" t="str">
        <f>IFERROR(__xludf.DUMMYFUNCTION("""COMPUTED_VALUE"""),"st0*****1.tn@mail.edu.tw")</f>
        <v>st0*****1.tn@mail.edu.tw</v>
      </c>
      <c r="E3768" s="17" t="str">
        <f>IFERROR(__xludf.DUMMYFUNCTION("""COMPUTED_VALUE"""),"臺南市鹽水區鹽水國民小學")</f>
        <v>臺南市鹽水區鹽水國民小學</v>
      </c>
      <c r="F3768" s="14" t="str">
        <f>IFERROR(__xludf.DUMMYFUNCTION("""COMPUTED_VALUE"""),"六年級")</f>
        <v>六年級</v>
      </c>
      <c r="G3768" s="14" t="str">
        <f>IFERROR(__xludf.DUMMYFUNCTION("""COMPUTED_VALUE"""),"★禮券$200")</f>
        <v>★禮券$200</v>
      </c>
      <c r="H3768" s="8"/>
    </row>
    <row r="3769">
      <c r="A3769" s="18"/>
      <c r="B3769" s="14">
        <f>IFERROR(__xludf.DUMMYFUNCTION("""COMPUTED_VALUE"""),585483.0)</f>
        <v>585483</v>
      </c>
      <c r="C3769" s="14" t="str">
        <f>IFERROR(__xludf.DUMMYFUNCTION("""COMPUTED_VALUE"""),"侯畇辰")</f>
        <v>侯畇辰</v>
      </c>
      <c r="D3769" s="16" t="str">
        <f>IFERROR(__xludf.DUMMYFUNCTION("""COMPUTED_VALUE"""),"glt*****tn.edu.tw")</f>
        <v>glt*****tn.edu.tw</v>
      </c>
      <c r="E3769" s="17" t="str">
        <f>IFERROR(__xludf.DUMMYFUNCTION("""COMPUTED_VALUE"""),"臺南市善化區大成國民小學")</f>
        <v>臺南市善化區大成國民小學</v>
      </c>
      <c r="F3769" s="14" t="str">
        <f>IFERROR(__xludf.DUMMYFUNCTION("""COMPUTED_VALUE"""),"四年級")</f>
        <v>四年級</v>
      </c>
      <c r="G3769" s="14" t="str">
        <f>IFERROR(__xludf.DUMMYFUNCTION("""COMPUTED_VALUE"""),"●小禮物")</f>
        <v>●小禮物</v>
      </c>
      <c r="H3769" s="8"/>
    </row>
    <row r="3770">
      <c r="A3770" s="18"/>
      <c r="B3770" s="14">
        <f>IFERROR(__xludf.DUMMYFUNCTION("""COMPUTED_VALUE"""),549157.0)</f>
        <v>549157</v>
      </c>
      <c r="C3770" s="14" t="str">
        <f>IFERROR(__xludf.DUMMYFUNCTION("""COMPUTED_VALUE"""),"蘇莉姍")</f>
        <v>蘇莉姍</v>
      </c>
      <c r="D3770" s="16" t="str">
        <f>IFERROR(__xludf.DUMMYFUNCTION("""COMPUTED_VALUE"""),"107*****tes.tn.edu.tw")</f>
        <v>107*****tes.tn.edu.tw</v>
      </c>
      <c r="E3770" s="17" t="str">
        <f>IFERROR(__xludf.DUMMYFUNCTION("""COMPUTED_VALUE"""),"臺南市善化區大同國民小學")</f>
        <v>臺南市善化區大同國民小學</v>
      </c>
      <c r="F3770" s="14" t="str">
        <f>IFERROR(__xludf.DUMMYFUNCTION("""COMPUTED_VALUE"""),"五年級")</f>
        <v>五年級</v>
      </c>
      <c r="G3770" s="14" t="str">
        <f>IFERROR(__xludf.DUMMYFUNCTION("""COMPUTED_VALUE"""),"獎狀")</f>
        <v>獎狀</v>
      </c>
      <c r="H3770" s="8"/>
    </row>
    <row r="3771">
      <c r="A3771" s="18"/>
      <c r="B3771" s="14">
        <f>IFERROR(__xludf.DUMMYFUNCTION("""COMPUTED_VALUE"""),676137.0)</f>
        <v>676137</v>
      </c>
      <c r="C3771" s="14" t="str">
        <f>IFERROR(__xludf.DUMMYFUNCTION("""COMPUTED_VALUE"""),"周宸郁")</f>
        <v>周宸郁</v>
      </c>
      <c r="D3771" s="16" t="str">
        <f>IFERROR(__xludf.DUMMYFUNCTION("""COMPUTED_VALUE"""),"st5*****8.tn@mail.edu.tw")</f>
        <v>st5*****8.tn@mail.edu.tw</v>
      </c>
      <c r="E3771" s="17" t="str">
        <f>IFERROR(__xludf.DUMMYFUNCTION("""COMPUTED_VALUE"""),"臺南市善化區大同國民小學")</f>
        <v>臺南市善化區大同國民小學</v>
      </c>
      <c r="F3771" s="14" t="str">
        <f>IFERROR(__xludf.DUMMYFUNCTION("""COMPUTED_VALUE"""),"六年級")</f>
        <v>六年級</v>
      </c>
      <c r="G3771" s="14" t="str">
        <f>IFERROR(__xludf.DUMMYFUNCTION("""COMPUTED_VALUE"""),"●小禮物")</f>
        <v>●小禮物</v>
      </c>
      <c r="H3771" s="8"/>
    </row>
    <row r="3772">
      <c r="A3772" s="18"/>
      <c r="B3772" s="14">
        <f>IFERROR(__xludf.DUMMYFUNCTION("""COMPUTED_VALUE"""),1013339.0)</f>
        <v>1013339</v>
      </c>
      <c r="C3772" s="14" t="str">
        <f>IFERROR(__xludf.DUMMYFUNCTION("""COMPUTED_VALUE"""),"梁書瑋")</f>
        <v>梁書瑋</v>
      </c>
      <c r="D3772" s="16" t="str">
        <f>IFERROR(__xludf.DUMMYFUNCTION("""COMPUTED_VALUE"""),"106*****tes.tn.edu.tw")</f>
        <v>106*****tes.tn.edu.tw</v>
      </c>
      <c r="E3772" s="17" t="str">
        <f>IFERROR(__xludf.DUMMYFUNCTION("""COMPUTED_VALUE"""),"臺南市善化區大同國民小學")</f>
        <v>臺南市善化區大同國民小學</v>
      </c>
      <c r="F3772" s="14" t="str">
        <f>IFERROR(__xludf.DUMMYFUNCTION("""COMPUTED_VALUE"""),"六年級")</f>
        <v>六年級</v>
      </c>
      <c r="G3772" s="14" t="str">
        <f>IFERROR(__xludf.DUMMYFUNCTION("""COMPUTED_VALUE"""),"●小禮物")</f>
        <v>●小禮物</v>
      </c>
      <c r="H3772" s="8"/>
    </row>
    <row r="3773">
      <c r="A3773" s="18"/>
      <c r="B3773" s="14">
        <f>IFERROR(__xludf.DUMMYFUNCTION("""COMPUTED_VALUE"""),973548.0)</f>
        <v>973548</v>
      </c>
      <c r="C3773" s="14" t="str">
        <f>IFERROR(__xludf.DUMMYFUNCTION("""COMPUTED_VALUE"""),"王祈樂")</f>
        <v>王祈樂</v>
      </c>
      <c r="D3773" s="16" t="str">
        <f>IFERROR(__xludf.DUMMYFUNCTION("""COMPUTED_VALUE"""),"106*****tes.tn.edu.tw")</f>
        <v>106*****tes.tn.edu.tw</v>
      </c>
      <c r="E3773" s="17" t="str">
        <f>IFERROR(__xludf.DUMMYFUNCTION("""COMPUTED_VALUE"""),"臺南市善化區大同國民小學")</f>
        <v>臺南市善化區大同國民小學</v>
      </c>
      <c r="F3773" s="14" t="str">
        <f>IFERROR(__xludf.DUMMYFUNCTION("""COMPUTED_VALUE"""),"六年級")</f>
        <v>六年級</v>
      </c>
      <c r="G3773" s="14" t="str">
        <f>IFERROR(__xludf.DUMMYFUNCTION("""COMPUTED_VALUE"""),"獎狀")</f>
        <v>獎狀</v>
      </c>
      <c r="H3773" s="8"/>
    </row>
    <row r="3774">
      <c r="A3774" s="18"/>
      <c r="B3774" s="14">
        <f>IFERROR(__xludf.DUMMYFUNCTION("""COMPUTED_VALUE"""),1020061.0)</f>
        <v>1020061</v>
      </c>
      <c r="C3774" s="14" t="str">
        <f>IFERROR(__xludf.DUMMYFUNCTION("""COMPUTED_VALUE"""),"李采潔")</f>
        <v>李采潔</v>
      </c>
      <c r="D3774" s="16" t="str">
        <f>IFERROR(__xludf.DUMMYFUNCTION("""COMPUTED_VALUE"""),"106*****tes.tn.edu.tw")</f>
        <v>106*****tes.tn.edu.tw</v>
      </c>
      <c r="E3774" s="17" t="str">
        <f>IFERROR(__xludf.DUMMYFUNCTION("""COMPUTED_VALUE"""),"臺南市善化區大同國民小學")</f>
        <v>臺南市善化區大同國民小學</v>
      </c>
      <c r="F3774" s="14" t="str">
        <f>IFERROR(__xludf.DUMMYFUNCTION("""COMPUTED_VALUE"""),"六年級")</f>
        <v>六年級</v>
      </c>
      <c r="G3774" s="14" t="str">
        <f>IFERROR(__xludf.DUMMYFUNCTION("""COMPUTED_VALUE"""),"獎狀")</f>
        <v>獎狀</v>
      </c>
      <c r="H3774" s="8"/>
    </row>
    <row r="3775">
      <c r="A3775" s="18"/>
      <c r="B3775" s="14">
        <f>IFERROR(__xludf.DUMMYFUNCTION("""COMPUTED_VALUE"""),367004.0)</f>
        <v>367004</v>
      </c>
      <c r="C3775" s="14" t="str">
        <f>IFERROR(__xludf.DUMMYFUNCTION("""COMPUTED_VALUE"""),"周恩伃")</f>
        <v>周恩伃</v>
      </c>
      <c r="D3775" s="16" t="str">
        <f>IFERROR(__xludf.DUMMYFUNCTION("""COMPUTED_VALUE"""),"st3*****2@mail.edu.tw")</f>
        <v>st3*****2@mail.edu.tw</v>
      </c>
      <c r="E3775" s="17" t="str">
        <f>IFERROR(__xludf.DUMMYFUNCTION("""COMPUTED_VALUE"""),"臺南市善化區大同國民小學")</f>
        <v>臺南市善化區大同國民小學</v>
      </c>
      <c r="F3775" s="14" t="str">
        <f>IFERROR(__xludf.DUMMYFUNCTION("""COMPUTED_VALUE"""),"六年級")</f>
        <v>六年級</v>
      </c>
      <c r="G3775" s="14" t="str">
        <f>IFERROR(__xludf.DUMMYFUNCTION("""COMPUTED_VALUE"""),"獎狀")</f>
        <v>獎狀</v>
      </c>
      <c r="H3775" s="8"/>
    </row>
    <row r="3776">
      <c r="A3776" s="18"/>
      <c r="B3776" s="14">
        <f>IFERROR(__xludf.DUMMYFUNCTION("""COMPUTED_VALUE"""),367010.0)</f>
        <v>367010</v>
      </c>
      <c r="C3776" s="14" t="str">
        <f>IFERROR(__xludf.DUMMYFUNCTION("""COMPUTED_VALUE"""),"莊秝聿")</f>
        <v>莊秝聿</v>
      </c>
      <c r="D3776" s="16" t="str">
        <f>IFERROR(__xludf.DUMMYFUNCTION("""COMPUTED_VALUE"""),"st3*****7.tn@mail.edu.tw")</f>
        <v>st3*****7.tn@mail.edu.tw</v>
      </c>
      <c r="E3776" s="17" t="str">
        <f>IFERROR(__xludf.DUMMYFUNCTION("""COMPUTED_VALUE"""),"臺南市善化區大同國民小學")</f>
        <v>臺南市善化區大同國民小學</v>
      </c>
      <c r="F3776" s="14" t="str">
        <f>IFERROR(__xludf.DUMMYFUNCTION("""COMPUTED_VALUE"""),"六年級")</f>
        <v>六年級</v>
      </c>
      <c r="G3776" s="14" t="str">
        <f>IFERROR(__xludf.DUMMYFUNCTION("""COMPUTED_VALUE"""),"獎狀")</f>
        <v>獎狀</v>
      </c>
      <c r="H3776" s="8"/>
    </row>
    <row r="3777">
      <c r="A3777" s="18"/>
      <c r="B3777" s="14">
        <f>IFERROR(__xludf.DUMMYFUNCTION("""COMPUTED_VALUE"""),367003.0)</f>
        <v>367003</v>
      </c>
      <c r="C3777" s="14" t="str">
        <f>IFERROR(__xludf.DUMMYFUNCTION("""COMPUTED_VALUE"""),"陳威宏")</f>
        <v>陳威宏</v>
      </c>
      <c r="D3777" s="16" t="str">
        <f>IFERROR(__xludf.DUMMYFUNCTION("""COMPUTED_VALUE"""),"st3*****5.tn@mail.edu.tw")</f>
        <v>st3*****5.tn@mail.edu.tw</v>
      </c>
      <c r="E3777" s="17" t="str">
        <f>IFERROR(__xludf.DUMMYFUNCTION("""COMPUTED_VALUE"""),"臺南市善化區大同國民小學")</f>
        <v>臺南市善化區大同國民小學</v>
      </c>
      <c r="F3777" s="14" t="str">
        <f>IFERROR(__xludf.DUMMYFUNCTION("""COMPUTED_VALUE"""),"六年級")</f>
        <v>六年級</v>
      </c>
      <c r="G3777" s="14" t="str">
        <f>IFERROR(__xludf.DUMMYFUNCTION("""COMPUTED_VALUE"""),"獎狀")</f>
        <v>獎狀</v>
      </c>
      <c r="H3777" s="8"/>
    </row>
    <row r="3778">
      <c r="A3778" s="18"/>
      <c r="B3778" s="14">
        <f>IFERROR(__xludf.DUMMYFUNCTION("""COMPUTED_VALUE"""),1020064.0)</f>
        <v>1020064</v>
      </c>
      <c r="C3778" s="14" t="str">
        <f>IFERROR(__xludf.DUMMYFUNCTION("""COMPUTED_VALUE"""),"蘇奕峰")</f>
        <v>蘇奕峰</v>
      </c>
      <c r="D3778" s="16" t="str">
        <f>IFERROR(__xludf.DUMMYFUNCTION("""COMPUTED_VALUE"""),"106*****tes.tn.edu.tw")</f>
        <v>106*****tes.tn.edu.tw</v>
      </c>
      <c r="E3778" s="17" t="str">
        <f>IFERROR(__xludf.DUMMYFUNCTION("""COMPUTED_VALUE"""),"臺南市善化區大同國民小學")</f>
        <v>臺南市善化區大同國民小學</v>
      </c>
      <c r="F3778" s="14" t="str">
        <f>IFERROR(__xludf.DUMMYFUNCTION("""COMPUTED_VALUE"""),"六年級")</f>
        <v>六年級</v>
      </c>
      <c r="G3778" s="14" t="str">
        <f>IFERROR(__xludf.DUMMYFUNCTION("""COMPUTED_VALUE"""),"獎狀")</f>
        <v>獎狀</v>
      </c>
      <c r="H3778" s="8"/>
    </row>
    <row r="3779">
      <c r="A3779" s="18"/>
      <c r="B3779" s="14">
        <f>IFERROR(__xludf.DUMMYFUNCTION("""COMPUTED_VALUE"""),1020067.0)</f>
        <v>1020067</v>
      </c>
      <c r="C3779" s="14" t="str">
        <f>IFERROR(__xludf.DUMMYFUNCTION("""COMPUTED_VALUE"""),"李芷綺")</f>
        <v>李芷綺</v>
      </c>
      <c r="D3779" s="16" t="str">
        <f>IFERROR(__xludf.DUMMYFUNCTION("""COMPUTED_VALUE"""),"106*****tes.tn.edu.tw")</f>
        <v>106*****tes.tn.edu.tw</v>
      </c>
      <c r="E3779" s="17" t="str">
        <f>IFERROR(__xludf.DUMMYFUNCTION("""COMPUTED_VALUE"""),"臺南市善化區大同國民小學")</f>
        <v>臺南市善化區大同國民小學</v>
      </c>
      <c r="F3779" s="14" t="str">
        <f>IFERROR(__xludf.DUMMYFUNCTION("""COMPUTED_VALUE"""),"六年級")</f>
        <v>六年級</v>
      </c>
      <c r="G3779" s="14" t="str">
        <f>IFERROR(__xludf.DUMMYFUNCTION("""COMPUTED_VALUE"""),"獎狀")</f>
        <v>獎狀</v>
      </c>
      <c r="H3779" s="8"/>
    </row>
    <row r="3780">
      <c r="A3780" s="18"/>
      <c r="B3780" s="14">
        <f>IFERROR(__xludf.DUMMYFUNCTION("""COMPUTED_VALUE"""),930315.0)</f>
        <v>930315</v>
      </c>
      <c r="C3780" s="14" t="str">
        <f>IFERROR(__xludf.DUMMYFUNCTION("""COMPUTED_VALUE"""),"凃佑呈")</f>
        <v>凃佑呈</v>
      </c>
      <c r="D3780" s="16" t="str">
        <f>IFERROR(__xludf.DUMMYFUNCTION("""COMPUTED_VALUE"""),"106*****tes.tn.edu.tw")</f>
        <v>106*****tes.tn.edu.tw</v>
      </c>
      <c r="E3780" s="17" t="str">
        <f>IFERROR(__xludf.DUMMYFUNCTION("""COMPUTED_VALUE"""),"臺南市善化區大同國民小學")</f>
        <v>臺南市善化區大同國民小學</v>
      </c>
      <c r="F3780" s="14" t="str">
        <f>IFERROR(__xludf.DUMMYFUNCTION("""COMPUTED_VALUE"""),"六年級")</f>
        <v>六年級</v>
      </c>
      <c r="G3780" s="14" t="str">
        <f>IFERROR(__xludf.DUMMYFUNCTION("""COMPUTED_VALUE"""),"獎狀")</f>
        <v>獎狀</v>
      </c>
      <c r="H3780" s="8"/>
    </row>
    <row r="3781">
      <c r="A3781" s="18"/>
      <c r="B3781" s="14">
        <f>IFERROR(__xludf.DUMMYFUNCTION("""COMPUTED_VALUE"""),366987.0)</f>
        <v>366987</v>
      </c>
      <c r="C3781" s="14" t="str">
        <f>IFERROR(__xludf.DUMMYFUNCTION("""COMPUTED_VALUE"""),"蔡汶伶")</f>
        <v>蔡汶伶</v>
      </c>
      <c r="D3781" s="16" t="str">
        <f>IFERROR(__xludf.DUMMYFUNCTION("""COMPUTED_VALUE"""),"st5*****6.tn@mail.edu.tw")</f>
        <v>st5*****6.tn@mail.edu.tw</v>
      </c>
      <c r="E3781" s="17" t="str">
        <f>IFERROR(__xludf.DUMMYFUNCTION("""COMPUTED_VALUE"""),"臺南市善化區大同國民小學")</f>
        <v>臺南市善化區大同國民小學</v>
      </c>
      <c r="F3781" s="14" t="str">
        <f>IFERROR(__xludf.DUMMYFUNCTION("""COMPUTED_VALUE"""),"六年級")</f>
        <v>六年級</v>
      </c>
      <c r="G3781" s="14" t="str">
        <f>IFERROR(__xludf.DUMMYFUNCTION("""COMPUTED_VALUE"""),"獎狀")</f>
        <v>獎狀</v>
      </c>
      <c r="H3781" s="8"/>
    </row>
    <row r="3782">
      <c r="A3782" s="18"/>
      <c r="B3782" s="14">
        <f>IFERROR(__xludf.DUMMYFUNCTION("""COMPUTED_VALUE"""),365361.0)</f>
        <v>365361</v>
      </c>
      <c r="C3782" s="14" t="str">
        <f>IFERROR(__xludf.DUMMYFUNCTION("""COMPUTED_VALUE"""),"陳子濬")</f>
        <v>陳子濬</v>
      </c>
      <c r="D3782" s="16" t="str">
        <f>IFERROR(__xludf.DUMMYFUNCTION("""COMPUTED_VALUE"""),"st3*****2.tn@mail.edu.tw")</f>
        <v>st3*****2.tn@mail.edu.tw</v>
      </c>
      <c r="E3782" s="17" t="str">
        <f>IFERROR(__xludf.DUMMYFUNCTION("""COMPUTED_VALUE"""),"臺南市善化區大同國民小學")</f>
        <v>臺南市善化區大同國民小學</v>
      </c>
      <c r="F3782" s="14" t="str">
        <f>IFERROR(__xludf.DUMMYFUNCTION("""COMPUTED_VALUE"""),"六年級")</f>
        <v>六年級</v>
      </c>
      <c r="G3782" s="14" t="str">
        <f>IFERROR(__xludf.DUMMYFUNCTION("""COMPUTED_VALUE"""),"●小禮物")</f>
        <v>●小禮物</v>
      </c>
      <c r="H3782" s="8"/>
    </row>
    <row r="3783">
      <c r="A3783" s="18"/>
      <c r="B3783" s="14">
        <f>IFERROR(__xludf.DUMMYFUNCTION("""COMPUTED_VALUE"""),1020068.0)</f>
        <v>1020068</v>
      </c>
      <c r="C3783" s="14" t="str">
        <f>IFERROR(__xludf.DUMMYFUNCTION("""COMPUTED_VALUE"""),"陳玫湘")</f>
        <v>陳玫湘</v>
      </c>
      <c r="D3783" s="16" t="str">
        <f>IFERROR(__xludf.DUMMYFUNCTION("""COMPUTED_VALUE"""),"106*****tes.tn.edu.tw")</f>
        <v>106*****tes.tn.edu.tw</v>
      </c>
      <c r="E3783" s="17" t="str">
        <f>IFERROR(__xludf.DUMMYFUNCTION("""COMPUTED_VALUE"""),"臺南市善化區大同國民小學")</f>
        <v>臺南市善化區大同國民小學</v>
      </c>
      <c r="F3783" s="14" t="str">
        <f>IFERROR(__xludf.DUMMYFUNCTION("""COMPUTED_VALUE"""),"六年級")</f>
        <v>六年級</v>
      </c>
      <c r="G3783" s="14" t="str">
        <f>IFERROR(__xludf.DUMMYFUNCTION("""COMPUTED_VALUE"""),"獎狀")</f>
        <v>獎狀</v>
      </c>
      <c r="H3783" s="8"/>
    </row>
    <row r="3784">
      <c r="A3784" s="18"/>
      <c r="B3784" s="14">
        <f>IFERROR(__xludf.DUMMYFUNCTION("""COMPUTED_VALUE"""),553308.0)</f>
        <v>553308</v>
      </c>
      <c r="C3784" s="14" t="str">
        <f>IFERROR(__xludf.DUMMYFUNCTION("""COMPUTED_VALUE"""),"王宏裕")</f>
        <v>王宏裕</v>
      </c>
      <c r="D3784" s="16" t="str">
        <f>IFERROR(__xludf.DUMMYFUNCTION("""COMPUTED_VALUE"""),"st5*****2.tn@mail.edu.tw")</f>
        <v>st5*****2.tn@mail.edu.tw</v>
      </c>
      <c r="E3784" s="17" t="str">
        <f>IFERROR(__xludf.DUMMYFUNCTION("""COMPUTED_VALUE"""),"臺南市善化區陽明國民小學")</f>
        <v>臺南市善化區陽明國民小學</v>
      </c>
      <c r="F3784" s="14" t="str">
        <f>IFERROR(__xludf.DUMMYFUNCTION("""COMPUTED_VALUE"""),"四年級")</f>
        <v>四年級</v>
      </c>
      <c r="G3784" s="14" t="str">
        <f>IFERROR(__xludf.DUMMYFUNCTION("""COMPUTED_VALUE"""),"獎狀")</f>
        <v>獎狀</v>
      </c>
      <c r="H3784" s="8"/>
    </row>
    <row r="3785">
      <c r="A3785" s="18"/>
      <c r="B3785" s="14">
        <f>IFERROR(__xludf.DUMMYFUNCTION("""COMPUTED_VALUE"""),553305.0)</f>
        <v>553305</v>
      </c>
      <c r="C3785" s="14" t="str">
        <f>IFERROR(__xludf.DUMMYFUNCTION("""COMPUTED_VALUE"""),"李芷縈")</f>
        <v>李芷縈</v>
      </c>
      <c r="D3785" s="16" t="str">
        <f>IFERROR(__xludf.DUMMYFUNCTION("""COMPUTED_VALUE"""),"st5*****2.tn@mail.edu.tw")</f>
        <v>st5*****2.tn@mail.edu.tw</v>
      </c>
      <c r="E3785" s="17" t="str">
        <f>IFERROR(__xludf.DUMMYFUNCTION("""COMPUTED_VALUE"""),"臺南市善化區陽明國民小學")</f>
        <v>臺南市善化區陽明國民小學</v>
      </c>
      <c r="F3785" s="14" t="str">
        <f>IFERROR(__xludf.DUMMYFUNCTION("""COMPUTED_VALUE"""),"四年級")</f>
        <v>四年級</v>
      </c>
      <c r="G3785" s="14" t="str">
        <f>IFERROR(__xludf.DUMMYFUNCTION("""COMPUTED_VALUE"""),"獎狀")</f>
        <v>獎狀</v>
      </c>
      <c r="H3785" s="8"/>
    </row>
    <row r="3786">
      <c r="A3786" s="18"/>
      <c r="B3786" s="14">
        <f>IFERROR(__xludf.DUMMYFUNCTION("""COMPUTED_VALUE"""),838500.0)</f>
        <v>838500</v>
      </c>
      <c r="C3786" s="14" t="str">
        <f>IFERROR(__xludf.DUMMYFUNCTION("""COMPUTED_VALUE"""),"胡峻瑋")</f>
        <v>胡峻瑋</v>
      </c>
      <c r="D3786" s="16" t="str">
        <f>IFERROR(__xludf.DUMMYFUNCTION("""COMPUTED_VALUE"""),"st5*****1.ferret@mail.edu.tw")</f>
        <v>st5*****1.ferret@mail.edu.tw</v>
      </c>
      <c r="E3786" s="17" t="str">
        <f>IFERROR(__xludf.DUMMYFUNCTION("""COMPUTED_VALUE"""),"臺南市善化區陽明國民小學")</f>
        <v>臺南市善化區陽明國民小學</v>
      </c>
      <c r="F3786" s="14" t="str">
        <f>IFERROR(__xludf.DUMMYFUNCTION("""COMPUTED_VALUE"""),"四年級")</f>
        <v>四年級</v>
      </c>
      <c r="G3786" s="14" t="str">
        <f>IFERROR(__xludf.DUMMYFUNCTION("""COMPUTED_VALUE"""),"獎狀")</f>
        <v>獎狀</v>
      </c>
      <c r="H3786" s="8"/>
    </row>
    <row r="3787">
      <c r="A3787" s="18"/>
      <c r="B3787" s="14">
        <f>IFERROR(__xludf.DUMMYFUNCTION("""COMPUTED_VALUE"""),831375.0)</f>
        <v>831375</v>
      </c>
      <c r="C3787" s="14" t="str">
        <f>IFERROR(__xludf.DUMMYFUNCTION("""COMPUTED_VALUE"""),"陳靖宇")</f>
        <v>陳靖宇</v>
      </c>
      <c r="D3787" s="16" t="str">
        <f>IFERROR(__xludf.DUMMYFUNCTION("""COMPUTED_VALUE"""),"st5*****6.tn@mail.edu.tw")</f>
        <v>st5*****6.tn@mail.edu.tw</v>
      </c>
      <c r="E3787" s="17" t="str">
        <f>IFERROR(__xludf.DUMMYFUNCTION("""COMPUTED_VALUE"""),"臺南市善化區陽明國民小學")</f>
        <v>臺南市善化區陽明國民小學</v>
      </c>
      <c r="F3787" s="14" t="str">
        <f>IFERROR(__xludf.DUMMYFUNCTION("""COMPUTED_VALUE"""),"四年級")</f>
        <v>四年級</v>
      </c>
      <c r="G3787" s="14" t="str">
        <f>IFERROR(__xludf.DUMMYFUNCTION("""COMPUTED_VALUE"""),"獎狀")</f>
        <v>獎狀</v>
      </c>
      <c r="H3787" s="8"/>
    </row>
    <row r="3788">
      <c r="A3788" s="18"/>
      <c r="B3788" s="14">
        <f>IFERROR(__xludf.DUMMYFUNCTION("""COMPUTED_VALUE"""),467379.0)</f>
        <v>467379</v>
      </c>
      <c r="C3788" s="14" t="str">
        <f>IFERROR(__xludf.DUMMYFUNCTION("""COMPUTED_VALUE"""),"鄭策允")</f>
        <v>鄭策允</v>
      </c>
      <c r="D3788" s="16" t="str">
        <f>IFERROR(__xludf.DUMMYFUNCTION("""COMPUTED_VALUE"""),"st7*****7.tn@mail.edu.tw")</f>
        <v>st7*****7.tn@mail.edu.tw</v>
      </c>
      <c r="E3788" s="17" t="str">
        <f>IFERROR(__xludf.DUMMYFUNCTION("""COMPUTED_VALUE"""),"臺南市善化區陽明國民小學")</f>
        <v>臺南市善化區陽明國民小學</v>
      </c>
      <c r="F3788" s="14" t="str">
        <f>IFERROR(__xludf.DUMMYFUNCTION("""COMPUTED_VALUE"""),"五年級")</f>
        <v>五年級</v>
      </c>
      <c r="G3788" s="14" t="str">
        <f>IFERROR(__xludf.DUMMYFUNCTION("""COMPUTED_VALUE"""),"●小禮物")</f>
        <v>●小禮物</v>
      </c>
      <c r="H3788" s="8"/>
    </row>
    <row r="3789">
      <c r="A3789" s="18"/>
      <c r="B3789" s="14">
        <f>IFERROR(__xludf.DUMMYFUNCTION("""COMPUTED_VALUE"""),450234.0)</f>
        <v>450234</v>
      </c>
      <c r="C3789" s="14" t="str">
        <f>IFERROR(__xludf.DUMMYFUNCTION("""COMPUTED_VALUE"""),"胡夆幃")</f>
        <v>胡夆幃</v>
      </c>
      <c r="D3789" s="16" t="str">
        <f>IFERROR(__xludf.DUMMYFUNCTION("""COMPUTED_VALUE"""),"st0*****4.tn@mail.edu.tw")</f>
        <v>st0*****4.tn@mail.edu.tw</v>
      </c>
      <c r="E3789" s="17" t="str">
        <f>IFERROR(__xludf.DUMMYFUNCTION("""COMPUTED_VALUE"""),"臺南市善化區陽明國民小學")</f>
        <v>臺南市善化區陽明國民小學</v>
      </c>
      <c r="F3789" s="14" t="str">
        <f>IFERROR(__xludf.DUMMYFUNCTION("""COMPUTED_VALUE"""),"五年級")</f>
        <v>五年級</v>
      </c>
      <c r="G3789" s="14" t="str">
        <f>IFERROR(__xludf.DUMMYFUNCTION("""COMPUTED_VALUE"""),"獎狀")</f>
        <v>獎狀</v>
      </c>
      <c r="H3789" s="8"/>
    </row>
    <row r="3790">
      <c r="A3790" s="18"/>
      <c r="B3790" s="14">
        <f>IFERROR(__xludf.DUMMYFUNCTION("""COMPUTED_VALUE"""),418903.0)</f>
        <v>418903</v>
      </c>
      <c r="C3790" s="14" t="str">
        <f>IFERROR(__xludf.DUMMYFUNCTION("""COMPUTED_VALUE"""),"胡承宥")</f>
        <v>胡承宥</v>
      </c>
      <c r="D3790" s="16" t="str">
        <f>IFERROR(__xludf.DUMMYFUNCTION("""COMPUTED_VALUE"""),"st5*****2.tn@mail.edu.tw")</f>
        <v>st5*****2.tn@mail.edu.tw</v>
      </c>
      <c r="E3790" s="17" t="str">
        <f>IFERROR(__xludf.DUMMYFUNCTION("""COMPUTED_VALUE"""),"臺南市善化區陽明國民小學")</f>
        <v>臺南市善化區陽明國民小學</v>
      </c>
      <c r="F3790" s="14" t="str">
        <f>IFERROR(__xludf.DUMMYFUNCTION("""COMPUTED_VALUE"""),"五年級")</f>
        <v>五年級</v>
      </c>
      <c r="G3790" s="14" t="str">
        <f>IFERROR(__xludf.DUMMYFUNCTION("""COMPUTED_VALUE"""),"獎狀")</f>
        <v>獎狀</v>
      </c>
      <c r="H3790" s="8"/>
    </row>
    <row r="3791">
      <c r="A3791" s="18"/>
      <c r="B3791" s="14">
        <f>IFERROR(__xludf.DUMMYFUNCTION("""COMPUTED_VALUE"""),341185.0)</f>
        <v>341185</v>
      </c>
      <c r="C3791" s="14" t="str">
        <f>IFERROR(__xludf.DUMMYFUNCTION("""COMPUTED_VALUE"""),"蘇靚語")</f>
        <v>蘇靚語</v>
      </c>
      <c r="D3791" s="16" t="str">
        <f>IFERROR(__xludf.DUMMYFUNCTION("""COMPUTED_VALUE"""),"st1*****9.tn@mail.edu.tw")</f>
        <v>st1*****9.tn@mail.edu.tw</v>
      </c>
      <c r="E3791" s="17" t="str">
        <f>IFERROR(__xludf.DUMMYFUNCTION("""COMPUTED_VALUE"""),"臺南市善化區陽明國民小學")</f>
        <v>臺南市善化區陽明國民小學</v>
      </c>
      <c r="F3791" s="14" t="str">
        <f>IFERROR(__xludf.DUMMYFUNCTION("""COMPUTED_VALUE"""),"五年級")</f>
        <v>五年級</v>
      </c>
      <c r="G3791" s="14" t="str">
        <f>IFERROR(__xludf.DUMMYFUNCTION("""COMPUTED_VALUE"""),"獎狀")</f>
        <v>獎狀</v>
      </c>
      <c r="H3791" s="8"/>
    </row>
    <row r="3792">
      <c r="A3792" s="18"/>
      <c r="B3792" s="14">
        <f>IFERROR(__xludf.DUMMYFUNCTION("""COMPUTED_VALUE"""),1169328.0)</f>
        <v>1169328</v>
      </c>
      <c r="C3792" s="14" t="str">
        <f>IFERROR(__xludf.DUMMYFUNCTION("""COMPUTED_VALUE"""),"高博琳")</f>
        <v>高博琳</v>
      </c>
      <c r="D3792" s="16" t="str">
        <f>IFERROR(__xludf.DUMMYFUNCTION("""COMPUTED_VALUE"""),"dd1*****mail.edu.tw")</f>
        <v>dd1*****mail.edu.tw</v>
      </c>
      <c r="E3792" s="17" t="str">
        <f>IFERROR(__xludf.DUMMYFUNCTION("""COMPUTED_VALUE"""),"臺南市善化區陽明國民小學")</f>
        <v>臺南市善化區陽明國民小學</v>
      </c>
      <c r="F3792" s="14" t="str">
        <f>IFERROR(__xludf.DUMMYFUNCTION("""COMPUTED_VALUE"""),"六年級")</f>
        <v>六年級</v>
      </c>
      <c r="G3792" s="14" t="str">
        <f>IFERROR(__xludf.DUMMYFUNCTION("""COMPUTED_VALUE"""),"獎狀")</f>
        <v>獎狀</v>
      </c>
      <c r="H3792" s="8"/>
    </row>
    <row r="3793">
      <c r="A3793" s="18"/>
      <c r="B3793" s="14">
        <f>IFERROR(__xludf.DUMMYFUNCTION("""COMPUTED_VALUE"""),1027258.0)</f>
        <v>1027258</v>
      </c>
      <c r="C3793" s="14" t="str">
        <f>IFERROR(__xludf.DUMMYFUNCTION("""COMPUTED_VALUE"""),"林佳諠")</f>
        <v>林佳諠</v>
      </c>
      <c r="D3793" s="16" t="str">
        <f>IFERROR(__xludf.DUMMYFUNCTION("""COMPUTED_VALUE"""),"st1*****0.tn@mail.edu.tw")</f>
        <v>st1*****0.tn@mail.edu.tw</v>
      </c>
      <c r="E3793" s="17" t="str">
        <f>IFERROR(__xludf.DUMMYFUNCTION("""COMPUTED_VALUE"""),"臺南市善化區善化國民小學")</f>
        <v>臺南市善化區善化國民小學</v>
      </c>
      <c r="F3793" s="14" t="str">
        <f>IFERROR(__xludf.DUMMYFUNCTION("""COMPUTED_VALUE"""),"四年級")</f>
        <v>四年級</v>
      </c>
      <c r="G3793" s="14" t="str">
        <f>IFERROR(__xludf.DUMMYFUNCTION("""COMPUTED_VALUE"""),"●小禮物")</f>
        <v>●小禮物</v>
      </c>
      <c r="H3793" s="8"/>
    </row>
    <row r="3794">
      <c r="A3794" s="18"/>
      <c r="B3794" s="14">
        <f>IFERROR(__xludf.DUMMYFUNCTION("""COMPUTED_VALUE"""),1216061.0)</f>
        <v>1216061</v>
      </c>
      <c r="C3794" s="14" t="str">
        <f>IFERROR(__xludf.DUMMYFUNCTION("""COMPUTED_VALUE"""),"陳孟弘")</f>
        <v>陳孟弘</v>
      </c>
      <c r="D3794" s="16" t="str">
        <f>IFERROR(__xludf.DUMMYFUNCTION("""COMPUTED_VALUE"""),"st6*****3.tn@mail.edu.tw")</f>
        <v>st6*****3.tn@mail.edu.tw</v>
      </c>
      <c r="E3794" s="17" t="str">
        <f>IFERROR(__xludf.DUMMYFUNCTION("""COMPUTED_VALUE"""),"臺南市大內區大內國民小學")</f>
        <v>臺南市大內區大內國民小學</v>
      </c>
      <c r="F3794" s="14" t="str">
        <f>IFERROR(__xludf.DUMMYFUNCTION("""COMPUTED_VALUE"""),"五年級")</f>
        <v>五年級</v>
      </c>
      <c r="G3794" s="14" t="str">
        <f>IFERROR(__xludf.DUMMYFUNCTION("""COMPUTED_VALUE"""),"●小禮物")</f>
        <v>●小禮物</v>
      </c>
      <c r="H3794" s="8"/>
    </row>
    <row r="3795">
      <c r="A3795" s="18"/>
      <c r="B3795" s="14">
        <f>IFERROR(__xludf.DUMMYFUNCTION("""COMPUTED_VALUE"""),915368.0)</f>
        <v>915368</v>
      </c>
      <c r="C3795" s="14" t="str">
        <f>IFERROR(__xludf.DUMMYFUNCTION("""COMPUTED_VALUE"""),"張桓愷")</f>
        <v>張桓愷</v>
      </c>
      <c r="D3795" s="16" t="str">
        <f>IFERROR(__xludf.DUMMYFUNCTION("""COMPUTED_VALUE"""),"st3*****2.tn@mail.edu.tw")</f>
        <v>st3*****2.tn@mail.edu.tw</v>
      </c>
      <c r="E3795" s="17" t="str">
        <f>IFERROR(__xludf.DUMMYFUNCTION("""COMPUTED_VALUE"""),"臺南市山上區山上國民小學")</f>
        <v>臺南市山上區山上國民小學</v>
      </c>
      <c r="F3795" s="14" t="str">
        <f>IFERROR(__xludf.DUMMYFUNCTION("""COMPUTED_VALUE"""),"六年級")</f>
        <v>六年級</v>
      </c>
      <c r="G3795" s="14" t="str">
        <f>IFERROR(__xludf.DUMMYFUNCTION("""COMPUTED_VALUE"""),"獎狀")</f>
        <v>獎狀</v>
      </c>
      <c r="H3795" s="8"/>
    </row>
    <row r="3796">
      <c r="A3796" s="18"/>
      <c r="B3796" s="14">
        <f>IFERROR(__xludf.DUMMYFUNCTION("""COMPUTED_VALUE"""),1180579.0)</f>
        <v>1180579</v>
      </c>
      <c r="C3796" s="14" t="str">
        <f>IFERROR(__xludf.DUMMYFUNCTION("""COMPUTED_VALUE"""),"許甄芝")</f>
        <v>許甄芝</v>
      </c>
      <c r="D3796" s="16" t="str">
        <f>IFERROR(__xludf.DUMMYFUNCTION("""COMPUTED_VALUE"""),"e10*****ms.nnkieh.tn.edu.tw")</f>
        <v>e10*****ms.nnkieh.tn.edu.tw</v>
      </c>
      <c r="E3796" s="17" t="str">
        <f>IFERROR(__xludf.DUMMYFUNCTION("""COMPUTED_VALUE"""),"國立南科國際實驗高級中學附設國小部")</f>
        <v>國立南科國際實驗高級中學附設國小部</v>
      </c>
      <c r="F3796" s="14" t="str">
        <f>IFERROR(__xludf.DUMMYFUNCTION("""COMPUTED_VALUE"""),"三年級")</f>
        <v>三年級</v>
      </c>
      <c r="G3796" s="14" t="str">
        <f>IFERROR(__xludf.DUMMYFUNCTION("""COMPUTED_VALUE"""),"●小禮物")</f>
        <v>●小禮物</v>
      </c>
      <c r="H3796" s="8"/>
    </row>
    <row r="3797">
      <c r="A3797" s="18"/>
      <c r="B3797" s="14">
        <f>IFERROR(__xludf.DUMMYFUNCTION("""COMPUTED_VALUE"""),1127637.0)</f>
        <v>1127637</v>
      </c>
      <c r="C3797" s="14" t="str">
        <f>IFERROR(__xludf.DUMMYFUNCTION("""COMPUTED_VALUE"""),"紀昀清")</f>
        <v>紀昀清</v>
      </c>
      <c r="D3797" s="16" t="str">
        <f>IFERROR(__xludf.DUMMYFUNCTION("""COMPUTED_VALUE"""),"van*****@gmail.com")</f>
        <v>van*****@gmail.com</v>
      </c>
      <c r="E3797" s="17" t="str">
        <f>IFERROR(__xludf.DUMMYFUNCTION("""COMPUTED_VALUE"""),"國立南科國際實驗高級中學附設國小部")</f>
        <v>國立南科國際實驗高級中學附設國小部</v>
      </c>
      <c r="F3797" s="14" t="str">
        <f>IFERROR(__xludf.DUMMYFUNCTION("""COMPUTED_VALUE"""),"四年級")</f>
        <v>四年級</v>
      </c>
      <c r="G3797" s="14" t="str">
        <f>IFERROR(__xludf.DUMMYFUNCTION("""COMPUTED_VALUE"""),"獎狀")</f>
        <v>獎狀</v>
      </c>
      <c r="H3797" s="8"/>
    </row>
    <row r="3798">
      <c r="A3798" s="18"/>
      <c r="B3798" s="14">
        <f>IFERROR(__xludf.DUMMYFUNCTION("""COMPUTED_VALUE"""),881246.0)</f>
        <v>881246</v>
      </c>
      <c r="C3798" s="14" t="str">
        <f>IFERROR(__xludf.DUMMYFUNCTION("""COMPUTED_VALUE"""),"陳廷恩")</f>
        <v>陳廷恩</v>
      </c>
      <c r="D3798" s="16" t="str">
        <f>IFERROR(__xludf.DUMMYFUNCTION("""COMPUTED_VALUE"""),"st8*****7jacob@mail.edu.tw")</f>
        <v>st8*****7jacob@mail.edu.tw</v>
      </c>
      <c r="E3798" s="17" t="str">
        <f>IFERROR(__xludf.DUMMYFUNCTION("""COMPUTED_VALUE"""),"國立南科國際實驗高級中學附設國小部")</f>
        <v>國立南科國際實驗高級中學附設國小部</v>
      </c>
      <c r="F3798" s="14" t="str">
        <f>IFERROR(__xludf.DUMMYFUNCTION("""COMPUTED_VALUE"""),"四年級")</f>
        <v>四年級</v>
      </c>
      <c r="G3798" s="14" t="str">
        <f>IFERROR(__xludf.DUMMYFUNCTION("""COMPUTED_VALUE"""),"●小禮物")</f>
        <v>●小禮物</v>
      </c>
      <c r="H3798" s="8"/>
    </row>
    <row r="3799">
      <c r="A3799" s="18"/>
      <c r="B3799" s="14">
        <f>IFERROR(__xludf.DUMMYFUNCTION("""COMPUTED_VALUE"""),478253.0)</f>
        <v>478253</v>
      </c>
      <c r="C3799" s="14" t="str">
        <f>IFERROR(__xludf.DUMMYFUNCTION("""COMPUTED_VALUE"""),"蒲宥愷")</f>
        <v>蒲宥愷</v>
      </c>
      <c r="D3799" s="16" t="str">
        <f>IFERROR(__xludf.DUMMYFUNCTION("""COMPUTED_VALUE"""),"pui*****ahoo.com.tw")</f>
        <v>pui*****ahoo.com.tw</v>
      </c>
      <c r="E3799" s="17" t="str">
        <f>IFERROR(__xludf.DUMMYFUNCTION("""COMPUTED_VALUE"""),"國立南科國際實驗高級中學附設國小部")</f>
        <v>國立南科國際實驗高級中學附設國小部</v>
      </c>
      <c r="F3799" s="14" t="str">
        <f>IFERROR(__xludf.DUMMYFUNCTION("""COMPUTED_VALUE"""),"四年級")</f>
        <v>四年級</v>
      </c>
      <c r="G3799" s="14" t="str">
        <f>IFERROR(__xludf.DUMMYFUNCTION("""COMPUTED_VALUE"""),"獎狀")</f>
        <v>獎狀</v>
      </c>
      <c r="H3799" s="8"/>
    </row>
    <row r="3800">
      <c r="A3800" s="18"/>
      <c r="B3800" s="14">
        <f>IFERROR(__xludf.DUMMYFUNCTION("""COMPUTED_VALUE"""),864600.0)</f>
        <v>864600</v>
      </c>
      <c r="C3800" s="14" t="str">
        <f>IFERROR(__xludf.DUMMYFUNCTION("""COMPUTED_VALUE"""),"吳明慧")</f>
        <v>吳明慧</v>
      </c>
      <c r="D3800" s="16" t="str">
        <f>IFERROR(__xludf.DUMMYFUNCTION("""COMPUTED_VALUE"""),"st1*****4.tn@mail.edu.tw")</f>
        <v>st1*****4.tn@mail.edu.tw</v>
      </c>
      <c r="E3800" s="17" t="str">
        <f>IFERROR(__xludf.DUMMYFUNCTION("""COMPUTED_VALUE"""),"國立南科國際實驗高級中學附設國小部")</f>
        <v>國立南科國際實驗高級中學附設國小部</v>
      </c>
      <c r="F3800" s="14" t="str">
        <f>IFERROR(__xludf.DUMMYFUNCTION("""COMPUTED_VALUE"""),"五年級")</f>
        <v>五年級</v>
      </c>
      <c r="G3800" s="14" t="str">
        <f>IFERROR(__xludf.DUMMYFUNCTION("""COMPUTED_VALUE"""),"獎狀")</f>
        <v>獎狀</v>
      </c>
      <c r="H3800" s="8"/>
    </row>
    <row r="3801">
      <c r="A3801" s="18"/>
      <c r="B3801" s="14">
        <f>IFERROR(__xludf.DUMMYFUNCTION("""COMPUTED_VALUE"""),1187280.0)</f>
        <v>1187280</v>
      </c>
      <c r="C3801" s="14" t="str">
        <f>IFERROR(__xludf.DUMMYFUNCTION("""COMPUTED_VALUE"""),"翁稚淇")</f>
        <v>翁稚淇</v>
      </c>
      <c r="D3801" s="16" t="str">
        <f>IFERROR(__xludf.DUMMYFUNCTION("""COMPUTED_VALUE"""),"e10*****ms.nnkieh.tn.edu.tw")</f>
        <v>e10*****ms.nnkieh.tn.edu.tw</v>
      </c>
      <c r="E3801" s="17" t="str">
        <f>IFERROR(__xludf.DUMMYFUNCTION("""COMPUTED_VALUE"""),"國立南科國際實驗高級中學附設國小部")</f>
        <v>國立南科國際實驗高級中學附設國小部</v>
      </c>
      <c r="F3801" s="14" t="str">
        <f>IFERROR(__xludf.DUMMYFUNCTION("""COMPUTED_VALUE"""),"五年級")</f>
        <v>五年級</v>
      </c>
      <c r="G3801" s="14" t="str">
        <f>IFERROR(__xludf.DUMMYFUNCTION("""COMPUTED_VALUE"""),"●小禮物")</f>
        <v>●小禮物</v>
      </c>
      <c r="H3801" s="8"/>
    </row>
    <row r="3802">
      <c r="A3802" s="18"/>
      <c r="B3802" s="14">
        <f>IFERROR(__xludf.DUMMYFUNCTION("""COMPUTED_VALUE"""),542389.0)</f>
        <v>542389</v>
      </c>
      <c r="C3802" s="14" t="str">
        <f>IFERROR(__xludf.DUMMYFUNCTION("""COMPUTED_VALUE"""),"黃俊佑")</f>
        <v>黃俊佑</v>
      </c>
      <c r="D3802" s="16" t="str">
        <f>IFERROR(__xludf.DUMMYFUNCTION("""COMPUTED_VALUE"""),"st6*****8.tn@mail.edu.tw")</f>
        <v>st6*****8.tn@mail.edu.tw</v>
      </c>
      <c r="E3802" s="17" t="str">
        <f>IFERROR(__xludf.DUMMYFUNCTION("""COMPUTED_VALUE"""),"國立南科國際實驗高級中學附設國小部")</f>
        <v>國立南科國際實驗高級中學附設國小部</v>
      </c>
      <c r="F3802" s="14" t="str">
        <f>IFERROR(__xludf.DUMMYFUNCTION("""COMPUTED_VALUE"""),"五年級")</f>
        <v>五年級</v>
      </c>
      <c r="G3802" s="14" t="str">
        <f>IFERROR(__xludf.DUMMYFUNCTION("""COMPUTED_VALUE"""),"獎狀")</f>
        <v>獎狀</v>
      </c>
      <c r="H3802" s="8"/>
    </row>
    <row r="3803">
      <c r="A3803" s="18"/>
      <c r="B3803" s="14">
        <f>IFERROR(__xludf.DUMMYFUNCTION("""COMPUTED_VALUE"""),970356.0)</f>
        <v>970356</v>
      </c>
      <c r="C3803" s="14" t="str">
        <f>IFERROR(__xludf.DUMMYFUNCTION("""COMPUTED_VALUE"""),"張羿勛")</f>
        <v>張羿勛</v>
      </c>
      <c r="D3803" s="16" t="str">
        <f>IFERROR(__xludf.DUMMYFUNCTION("""COMPUTED_VALUE"""),"bar*****ang4923@gmail.com")</f>
        <v>bar*****ang4923@gmail.com</v>
      </c>
      <c r="E3803" s="17" t="str">
        <f>IFERROR(__xludf.DUMMYFUNCTION("""COMPUTED_VALUE"""),"臺南市新市區新市國民小學")</f>
        <v>臺南市新市區新市國民小學</v>
      </c>
      <c r="F3803" s="14" t="str">
        <f>IFERROR(__xludf.DUMMYFUNCTION("""COMPUTED_VALUE"""),"四年級")</f>
        <v>四年級</v>
      </c>
      <c r="G3803" s="14" t="str">
        <f>IFERROR(__xludf.DUMMYFUNCTION("""COMPUTED_VALUE"""),"●小禮物")</f>
        <v>●小禮物</v>
      </c>
      <c r="H3803" s="8"/>
    </row>
    <row r="3804">
      <c r="A3804" s="18"/>
      <c r="B3804" s="14">
        <f>IFERROR(__xludf.DUMMYFUNCTION("""COMPUTED_VALUE"""),1208817.0)</f>
        <v>1208817</v>
      </c>
      <c r="C3804" s="14" t="str">
        <f>IFERROR(__xludf.DUMMYFUNCTION("""COMPUTED_VALUE"""),"洪潔妤")</f>
        <v>洪潔妤</v>
      </c>
      <c r="D3804" s="16" t="str">
        <f>IFERROR(__xludf.DUMMYFUNCTION("""COMPUTED_VALUE"""),"ari*****845@gmail.com")</f>
        <v>ari*****845@gmail.com</v>
      </c>
      <c r="E3804" s="17" t="str">
        <f>IFERROR(__xludf.DUMMYFUNCTION("""COMPUTED_VALUE"""),"高雄市新興區大同國民小學")</f>
        <v>高雄市新興區大同國民小學</v>
      </c>
      <c r="F3804" s="14" t="str">
        <f>IFERROR(__xludf.DUMMYFUNCTION("""COMPUTED_VALUE"""),"五年級")</f>
        <v>五年級</v>
      </c>
      <c r="G3804" s="14" t="str">
        <f>IFERROR(__xludf.DUMMYFUNCTION("""COMPUTED_VALUE"""),"●小禮物")</f>
        <v>●小禮物</v>
      </c>
      <c r="H3804" s="8"/>
    </row>
    <row r="3805">
      <c r="A3805" s="18"/>
      <c r="B3805" s="14">
        <f>IFERROR(__xludf.DUMMYFUNCTION("""COMPUTED_VALUE"""),980932.0)</f>
        <v>980932</v>
      </c>
      <c r="C3805" s="14" t="str">
        <f>IFERROR(__xludf.DUMMYFUNCTION("""COMPUTED_VALUE"""),"鄭宥威")</f>
        <v>鄭宥威</v>
      </c>
      <c r="D3805" s="16" t="str">
        <f>IFERROR(__xludf.DUMMYFUNCTION("""COMPUTED_VALUE"""),"way*****ng0107@gmail.com")</f>
        <v>way*****ng0107@gmail.com</v>
      </c>
      <c r="E3805" s="17" t="str">
        <f>IFERROR(__xludf.DUMMYFUNCTION("""COMPUTED_VALUE"""),"高雄市新興區大同國民小學")</f>
        <v>高雄市新興區大同國民小學</v>
      </c>
      <c r="F3805" s="14" t="str">
        <f>IFERROR(__xludf.DUMMYFUNCTION("""COMPUTED_VALUE"""),"六年級")</f>
        <v>六年級</v>
      </c>
      <c r="G3805" s="14" t="str">
        <f>IFERROR(__xludf.DUMMYFUNCTION("""COMPUTED_VALUE"""),"獎狀")</f>
        <v>獎狀</v>
      </c>
      <c r="H3805" s="8"/>
    </row>
    <row r="3806">
      <c r="A3806" s="18"/>
      <c r="B3806" s="14">
        <f>IFERROR(__xludf.DUMMYFUNCTION("""COMPUTED_VALUE"""),1055417.0)</f>
        <v>1055417</v>
      </c>
      <c r="C3806" s="14" t="str">
        <f>IFERROR(__xludf.DUMMYFUNCTION("""COMPUTED_VALUE"""),"吳若綺")</f>
        <v>吳若綺</v>
      </c>
      <c r="D3806" s="16" t="str">
        <f>IFERROR(__xludf.DUMMYFUNCTION("""COMPUTED_VALUE"""),"s07*****.anna@go.edu.tw")</f>
        <v>s07*****.anna@go.edu.tw</v>
      </c>
      <c r="E3806" s="17" t="str">
        <f>IFERROR(__xludf.DUMMYFUNCTION("""COMPUTED_VALUE"""),"高雄市新興區信義國民小學")</f>
        <v>高雄市新興區信義國民小學</v>
      </c>
      <c r="F3806" s="14" t="str">
        <f>IFERROR(__xludf.DUMMYFUNCTION("""COMPUTED_VALUE"""),"五年級")</f>
        <v>五年級</v>
      </c>
      <c r="G3806" s="14" t="str">
        <f>IFERROR(__xludf.DUMMYFUNCTION("""COMPUTED_VALUE"""),"獎狀")</f>
        <v>獎狀</v>
      </c>
      <c r="H3806" s="8"/>
    </row>
    <row r="3807">
      <c r="A3807" s="18"/>
      <c r="B3807" s="14">
        <f>IFERROR(__xludf.DUMMYFUNCTION("""COMPUTED_VALUE"""),1198405.0)</f>
        <v>1198405</v>
      </c>
      <c r="C3807" s="14" t="str">
        <f>IFERROR(__xludf.DUMMYFUNCTION("""COMPUTED_VALUE"""),"王稚婷")</f>
        <v>王稚婷</v>
      </c>
      <c r="D3807" s="16" t="str">
        <f>IFERROR(__xludf.DUMMYFUNCTION("""COMPUTED_VALUE"""),"cat*****0906@mail.edu.tw")</f>
        <v>cat*****0906@mail.edu.tw</v>
      </c>
      <c r="E3807" s="17" t="str">
        <f>IFERROR(__xludf.DUMMYFUNCTION("""COMPUTED_VALUE"""),"高雄市新興區信義國民小學")</f>
        <v>高雄市新興區信義國民小學</v>
      </c>
      <c r="F3807" s="14" t="str">
        <f>IFERROR(__xludf.DUMMYFUNCTION("""COMPUTED_VALUE"""),"五年級")</f>
        <v>五年級</v>
      </c>
      <c r="G3807" s="14" t="str">
        <f>IFERROR(__xludf.DUMMYFUNCTION("""COMPUTED_VALUE"""),"獎狀")</f>
        <v>獎狀</v>
      </c>
      <c r="H3807" s="8"/>
    </row>
    <row r="3808">
      <c r="A3808" s="18"/>
      <c r="B3808" s="14">
        <f>IFERROR(__xludf.DUMMYFUNCTION("""COMPUTED_VALUE"""),952309.0)</f>
        <v>952309</v>
      </c>
      <c r="C3808" s="14" t="str">
        <f>IFERROR(__xludf.DUMMYFUNCTION("""COMPUTED_VALUE"""),"盧嘉祐")</f>
        <v>盧嘉祐</v>
      </c>
      <c r="D3808" s="16" t="str">
        <f>IFERROR(__xludf.DUMMYFUNCTION("""COMPUTED_VALUE"""),"e30*****yps.kh.edu.tw")</f>
        <v>e30*****yps.kh.edu.tw</v>
      </c>
      <c r="E3808" s="17" t="str">
        <f>IFERROR(__xludf.DUMMYFUNCTION("""COMPUTED_VALUE"""),"高雄市新興區信義國民小學")</f>
        <v>高雄市新興區信義國民小學</v>
      </c>
      <c r="F3808" s="14" t="str">
        <f>IFERROR(__xludf.DUMMYFUNCTION("""COMPUTED_VALUE"""),"六年級")</f>
        <v>六年級</v>
      </c>
      <c r="G3808" s="14" t="str">
        <f>IFERROR(__xludf.DUMMYFUNCTION("""COMPUTED_VALUE"""),"獎狀")</f>
        <v>獎狀</v>
      </c>
      <c r="H3808" s="8"/>
    </row>
    <row r="3809">
      <c r="A3809" s="18"/>
      <c r="B3809" s="14">
        <f>IFERROR(__xludf.DUMMYFUNCTION("""COMPUTED_VALUE"""),294572.0)</f>
        <v>294572</v>
      </c>
      <c r="C3809" s="14" t="str">
        <f>IFERROR(__xludf.DUMMYFUNCTION("""COMPUTED_VALUE"""),"李沅芷")</f>
        <v>李沅芷</v>
      </c>
      <c r="D3809" s="16" t="str">
        <f>IFERROR(__xludf.DUMMYFUNCTION("""COMPUTED_VALUE"""),"s06*****.kh@mail.edu.tw")</f>
        <v>s06*****.kh@mail.edu.tw</v>
      </c>
      <c r="E3809" s="17" t="str">
        <f>IFERROR(__xludf.DUMMYFUNCTION("""COMPUTED_VALUE"""),"高雄市前金區建國國民小學")</f>
        <v>高雄市前金區建國國民小學</v>
      </c>
      <c r="F3809" s="14" t="str">
        <f>IFERROR(__xludf.DUMMYFUNCTION("""COMPUTED_VALUE"""),"六年級")</f>
        <v>六年級</v>
      </c>
      <c r="G3809" s="14" t="str">
        <f>IFERROR(__xludf.DUMMYFUNCTION("""COMPUTED_VALUE"""),"●小禮物")</f>
        <v>●小禮物</v>
      </c>
      <c r="H3809" s="8"/>
    </row>
    <row r="3810">
      <c r="A3810" s="18"/>
      <c r="B3810" s="14">
        <f>IFERROR(__xludf.DUMMYFUNCTION("""COMPUTED_VALUE"""),707780.0)</f>
        <v>707780</v>
      </c>
      <c r="C3810" s="14" t="str">
        <f>IFERROR(__xludf.DUMMYFUNCTION("""COMPUTED_VALUE"""),"徐沛榆")</f>
        <v>徐沛榆</v>
      </c>
      <c r="D3810" s="16" t="str">
        <f>IFERROR(__xludf.DUMMYFUNCTION("""COMPUTED_VALUE"""),"s06*****.kh@mail.edu.tw")</f>
        <v>s06*****.kh@mail.edu.tw</v>
      </c>
      <c r="E3810" s="17" t="str">
        <f>IFERROR(__xludf.DUMMYFUNCTION("""COMPUTED_VALUE"""),"高雄市苓雅區五權國民小學")</f>
        <v>高雄市苓雅區五權國民小學</v>
      </c>
      <c r="F3810" s="14" t="str">
        <f>IFERROR(__xludf.DUMMYFUNCTION("""COMPUTED_VALUE"""),"六年級")</f>
        <v>六年級</v>
      </c>
      <c r="G3810" s="14" t="str">
        <f>IFERROR(__xludf.DUMMYFUNCTION("""COMPUTED_VALUE"""),"獎狀")</f>
        <v>獎狀</v>
      </c>
      <c r="H3810" s="8"/>
    </row>
    <row r="3811">
      <c r="A3811" s="18"/>
      <c r="B3811" s="14">
        <f>IFERROR(__xludf.DUMMYFUNCTION("""COMPUTED_VALUE"""),1139787.0)</f>
        <v>1139787</v>
      </c>
      <c r="C3811" s="14" t="str">
        <f>IFERROR(__xludf.DUMMYFUNCTION("""COMPUTED_VALUE"""),"張立瑜")</f>
        <v>張立瑜</v>
      </c>
      <c r="D3811" s="16" t="str">
        <f>IFERROR(__xludf.DUMMYFUNCTION("""COMPUTED_VALUE"""),"s09*****.kh@mail.edu.tw")</f>
        <v>s09*****.kh@mail.edu.tw</v>
      </c>
      <c r="E3811" s="17" t="str">
        <f>IFERROR(__xludf.DUMMYFUNCTION("""COMPUTED_VALUE"""),"高雄市苓雅區苓洲國民小學")</f>
        <v>高雄市苓雅區苓洲國民小學</v>
      </c>
      <c r="F3811" s="14" t="str">
        <f>IFERROR(__xludf.DUMMYFUNCTION("""COMPUTED_VALUE"""),"三年級")</f>
        <v>三年級</v>
      </c>
      <c r="G3811" s="14" t="str">
        <f>IFERROR(__xludf.DUMMYFUNCTION("""COMPUTED_VALUE"""),"●小禮物")</f>
        <v>●小禮物</v>
      </c>
      <c r="H3811" s="8"/>
    </row>
    <row r="3812">
      <c r="A3812" s="18"/>
      <c r="B3812" s="14">
        <f>IFERROR(__xludf.DUMMYFUNCTION("""COMPUTED_VALUE"""),401006.0)</f>
        <v>401006</v>
      </c>
      <c r="C3812" s="14" t="str">
        <f>IFERROR(__xludf.DUMMYFUNCTION("""COMPUTED_VALUE"""),"張騰予")</f>
        <v>張騰予</v>
      </c>
      <c r="D3812" s="16" t="str">
        <f>IFERROR(__xludf.DUMMYFUNCTION("""COMPUTED_VALUE"""),"s07*****.kh@mail.edu.tw")</f>
        <v>s07*****.kh@mail.edu.tw</v>
      </c>
      <c r="E3812" s="17" t="str">
        <f>IFERROR(__xludf.DUMMYFUNCTION("""COMPUTED_VALUE"""),"高雄市苓雅區苓洲國民小學")</f>
        <v>高雄市苓雅區苓洲國民小學</v>
      </c>
      <c r="F3812" s="14" t="str">
        <f>IFERROR(__xludf.DUMMYFUNCTION("""COMPUTED_VALUE"""),"五年級")</f>
        <v>五年級</v>
      </c>
      <c r="G3812" s="14" t="str">
        <f>IFERROR(__xludf.DUMMYFUNCTION("""COMPUTED_VALUE"""),"獎狀")</f>
        <v>獎狀</v>
      </c>
      <c r="H3812" s="8"/>
    </row>
    <row r="3813">
      <c r="A3813" s="18"/>
      <c r="B3813" s="14">
        <f>IFERROR(__xludf.DUMMYFUNCTION("""COMPUTED_VALUE"""),1018970.0)</f>
        <v>1018970</v>
      </c>
      <c r="C3813" s="14" t="str">
        <f>IFERROR(__xludf.DUMMYFUNCTION("""COMPUTED_VALUE"""),"金宣廷")</f>
        <v>金宣廷</v>
      </c>
      <c r="D3813" s="16" t="str">
        <f>IFERROR(__xludf.DUMMYFUNCTION("""COMPUTED_VALUE"""),"cch*****mail.com")</f>
        <v>cch*****mail.com</v>
      </c>
      <c r="E3813" s="17" t="str">
        <f>IFERROR(__xludf.DUMMYFUNCTION("""COMPUTED_VALUE"""),"高雄市苓雅區四維國民小學")</f>
        <v>高雄市苓雅區四維國民小學</v>
      </c>
      <c r="F3813" s="14" t="str">
        <f>IFERROR(__xludf.DUMMYFUNCTION("""COMPUTED_VALUE"""),"三年級")</f>
        <v>三年級</v>
      </c>
      <c r="G3813" s="14" t="str">
        <f>IFERROR(__xludf.DUMMYFUNCTION("""COMPUTED_VALUE"""),"●小禮物")</f>
        <v>●小禮物</v>
      </c>
      <c r="H3813" s="8"/>
    </row>
    <row r="3814">
      <c r="A3814" s="18"/>
      <c r="B3814" s="14">
        <f>IFERROR(__xludf.DUMMYFUNCTION("""COMPUTED_VALUE"""),833530.0)</f>
        <v>833530</v>
      </c>
      <c r="C3814" s="14" t="str">
        <f>IFERROR(__xludf.DUMMYFUNCTION("""COMPUTED_VALUE"""),"方竑翰")</f>
        <v>方竑翰</v>
      </c>
      <c r="D3814" s="16" t="str">
        <f>IFERROR(__xludf.DUMMYFUNCTION("""COMPUTED_VALUE"""),"s08*****@swps.kh.edu.tw")</f>
        <v>s08*****@swps.kh.edu.tw</v>
      </c>
      <c r="E3814" s="17" t="str">
        <f>IFERROR(__xludf.DUMMYFUNCTION("""COMPUTED_VALUE"""),"高雄市苓雅區四維國民小學")</f>
        <v>高雄市苓雅區四維國民小學</v>
      </c>
      <c r="F3814" s="14" t="str">
        <f>IFERROR(__xludf.DUMMYFUNCTION("""COMPUTED_VALUE"""),"四年級")</f>
        <v>四年級</v>
      </c>
      <c r="G3814" s="14" t="str">
        <f>IFERROR(__xludf.DUMMYFUNCTION("""COMPUTED_VALUE"""),"獎狀")</f>
        <v>獎狀</v>
      </c>
      <c r="H3814" s="8"/>
    </row>
    <row r="3815">
      <c r="A3815" s="18"/>
      <c r="B3815" s="14">
        <f>IFERROR(__xludf.DUMMYFUNCTION("""COMPUTED_VALUE"""),321892.0)</f>
        <v>321892</v>
      </c>
      <c r="C3815" s="14" t="str">
        <f>IFERROR(__xludf.DUMMYFUNCTION("""COMPUTED_VALUE"""),"黃靖婷")</f>
        <v>黃靖婷</v>
      </c>
      <c r="D3815" s="16" t="str">
        <f>IFERROR(__xludf.DUMMYFUNCTION("""COMPUTED_VALUE"""),"s06*****@mail.edu.tw")</f>
        <v>s06*****@mail.edu.tw</v>
      </c>
      <c r="E3815" s="17" t="str">
        <f>IFERROR(__xludf.DUMMYFUNCTION("""COMPUTED_VALUE"""),"高雄市苓雅區四維國民小學")</f>
        <v>高雄市苓雅區四維國民小學</v>
      </c>
      <c r="F3815" s="14" t="str">
        <f>IFERROR(__xludf.DUMMYFUNCTION("""COMPUTED_VALUE"""),"六年級")</f>
        <v>六年級</v>
      </c>
      <c r="G3815" s="14" t="str">
        <f>IFERROR(__xludf.DUMMYFUNCTION("""COMPUTED_VALUE"""),"●小禮物")</f>
        <v>●小禮物</v>
      </c>
      <c r="H3815" s="8"/>
    </row>
    <row r="3816">
      <c r="A3816" s="18"/>
      <c r="B3816" s="14">
        <f>IFERROR(__xludf.DUMMYFUNCTION("""COMPUTED_VALUE"""),846807.0)</f>
        <v>846807</v>
      </c>
      <c r="C3816" s="14" t="str">
        <f>IFERROR(__xludf.DUMMYFUNCTION("""COMPUTED_VALUE"""),"邱泰洋")</f>
        <v>邱泰洋</v>
      </c>
      <c r="D3816" s="16" t="str">
        <f>IFERROR(__xludf.DUMMYFUNCTION("""COMPUTED_VALUE"""),"shu*****ng@hotmail.com")</f>
        <v>shu*****ng@hotmail.com</v>
      </c>
      <c r="E3816" s="17" t="str">
        <f>IFERROR(__xludf.DUMMYFUNCTION("""COMPUTED_VALUE"""),"國立高雄師範大學附屬高級中學附設國小部")</f>
        <v>國立高雄師範大學附屬高級中學附設國小部</v>
      </c>
      <c r="F3816" s="14" t="str">
        <f>IFERROR(__xludf.DUMMYFUNCTION("""COMPUTED_VALUE"""),"四年級")</f>
        <v>四年級</v>
      </c>
      <c r="G3816" s="14" t="str">
        <f>IFERROR(__xludf.DUMMYFUNCTION("""COMPUTED_VALUE"""),"獎狀")</f>
        <v>獎狀</v>
      </c>
      <c r="H3816" s="8"/>
    </row>
    <row r="3817">
      <c r="A3817" s="18"/>
      <c r="B3817" s="14">
        <f>IFERROR(__xludf.DUMMYFUNCTION("""COMPUTED_VALUE"""),247382.0)</f>
        <v>247382</v>
      </c>
      <c r="C3817" s="14" t="str">
        <f>IFERROR(__xludf.DUMMYFUNCTION("""COMPUTED_VALUE"""),"韓開華")</f>
        <v>韓開華</v>
      </c>
      <c r="D3817" s="16" t="str">
        <f>IFERROR(__xludf.DUMMYFUNCTION("""COMPUTED_VALUE"""),"han*****a100@gmail.com")</f>
        <v>han*****a100@gmail.com</v>
      </c>
      <c r="E3817" s="17" t="str">
        <f>IFERROR(__xludf.DUMMYFUNCTION("""COMPUTED_VALUE"""),"高雄市苓雅區中正國民小學")</f>
        <v>高雄市苓雅區中正國民小學</v>
      </c>
      <c r="F3817" s="14" t="str">
        <f>IFERROR(__xludf.DUMMYFUNCTION("""COMPUTED_VALUE"""),"六年級")</f>
        <v>六年級</v>
      </c>
      <c r="G3817" s="14" t="str">
        <f>IFERROR(__xludf.DUMMYFUNCTION("""COMPUTED_VALUE"""),"獎狀")</f>
        <v>獎狀</v>
      </c>
      <c r="H3817" s="8"/>
    </row>
    <row r="3818">
      <c r="A3818" s="18"/>
      <c r="B3818" s="14">
        <f>IFERROR(__xludf.DUMMYFUNCTION("""COMPUTED_VALUE"""),462662.0)</f>
        <v>462662</v>
      </c>
      <c r="C3818" s="14" t="str">
        <f>IFERROR(__xludf.DUMMYFUNCTION("""COMPUTED_VALUE"""),"葉宸熙")</f>
        <v>葉宸熙</v>
      </c>
      <c r="D3818" s="16" t="str">
        <f>IFERROR(__xludf.DUMMYFUNCTION("""COMPUTED_VALUE"""),"san*****cps@mail.edu.tw")</f>
        <v>san*****cps@mail.edu.tw</v>
      </c>
      <c r="E3818" s="17" t="str">
        <f>IFERROR(__xludf.DUMMYFUNCTION("""COMPUTED_VALUE"""),"高雄市鹽埕區鹽埕國民小學")</f>
        <v>高雄市鹽埕區鹽埕國民小學</v>
      </c>
      <c r="F3818" s="14" t="str">
        <f>IFERROR(__xludf.DUMMYFUNCTION("""COMPUTED_VALUE"""),"三年級")</f>
        <v>三年級</v>
      </c>
      <c r="G3818" s="14" t="str">
        <f>IFERROR(__xludf.DUMMYFUNCTION("""COMPUTED_VALUE"""),"●小禮物")</f>
        <v>●小禮物</v>
      </c>
      <c r="H3818" s="8"/>
    </row>
    <row r="3819">
      <c r="A3819" s="18"/>
      <c r="B3819" s="14">
        <f>IFERROR(__xludf.DUMMYFUNCTION("""COMPUTED_VALUE"""),1090461.0)</f>
        <v>1090461</v>
      </c>
      <c r="C3819" s="14" t="str">
        <f>IFERROR(__xludf.DUMMYFUNCTION("""COMPUTED_VALUE"""),"吳念恩")</f>
        <v>吳念恩</v>
      </c>
      <c r="D3819" s="16" t="str">
        <f>IFERROR(__xludf.DUMMYFUNCTION("""COMPUTED_VALUE"""),"jer*****u@mail.edu.tw")</f>
        <v>jer*****u@mail.edu.tw</v>
      </c>
      <c r="E3819" s="17" t="str">
        <f>IFERROR(__xludf.DUMMYFUNCTION("""COMPUTED_VALUE"""),"高雄市鼓山區龍華國民小學")</f>
        <v>高雄市鼓山區龍華國民小學</v>
      </c>
      <c r="F3819" s="14" t="str">
        <f>IFERROR(__xludf.DUMMYFUNCTION("""COMPUTED_VALUE"""),"四年級")</f>
        <v>四年級</v>
      </c>
      <c r="G3819" s="14" t="str">
        <f>IFERROR(__xludf.DUMMYFUNCTION("""COMPUTED_VALUE"""),"獎狀")</f>
        <v>獎狀</v>
      </c>
      <c r="H3819" s="8"/>
    </row>
    <row r="3820">
      <c r="A3820" s="18"/>
      <c r="B3820" s="14">
        <f>IFERROR(__xludf.DUMMYFUNCTION("""COMPUTED_VALUE"""),998885.0)</f>
        <v>998885</v>
      </c>
      <c r="C3820" s="14" t="str">
        <f>IFERROR(__xludf.DUMMYFUNCTION("""COMPUTED_VALUE"""),"焦以恩")</f>
        <v>焦以恩</v>
      </c>
      <c r="D3820" s="16" t="str">
        <f>IFERROR(__xludf.DUMMYFUNCTION("""COMPUTED_VALUE"""),"s07*****.kh@mail.edu.tw")</f>
        <v>s07*****.kh@mail.edu.tw</v>
      </c>
      <c r="E3820" s="17" t="str">
        <f>IFERROR(__xludf.DUMMYFUNCTION("""COMPUTED_VALUE"""),"高雄市鼓山區龍華國民小學")</f>
        <v>高雄市鼓山區龍華國民小學</v>
      </c>
      <c r="F3820" s="14" t="str">
        <f>IFERROR(__xludf.DUMMYFUNCTION("""COMPUTED_VALUE"""),"五年級")</f>
        <v>五年級</v>
      </c>
      <c r="G3820" s="14" t="str">
        <f>IFERROR(__xludf.DUMMYFUNCTION("""COMPUTED_VALUE"""),"獎狀")</f>
        <v>獎狀</v>
      </c>
      <c r="H3820" s="8"/>
    </row>
    <row r="3821">
      <c r="A3821" s="18"/>
      <c r="B3821" s="14">
        <f>IFERROR(__xludf.DUMMYFUNCTION("""COMPUTED_VALUE"""),948178.0)</f>
        <v>948178</v>
      </c>
      <c r="C3821" s="14" t="str">
        <f>IFERROR(__xludf.DUMMYFUNCTION("""COMPUTED_VALUE"""),"孫晨愷")</f>
        <v>孫晨愷</v>
      </c>
      <c r="D3821" s="16" t="str">
        <f>IFERROR(__xludf.DUMMYFUNCTION("""COMPUTED_VALUE"""),"cha*****un@accumax.com.tw")</f>
        <v>cha*****un@accumax.com.tw</v>
      </c>
      <c r="E3821" s="17" t="str">
        <f>IFERROR(__xludf.DUMMYFUNCTION("""COMPUTED_VALUE"""),"天主教明誠學校財團法人高雄市明誠高級中學附設國小部")</f>
        <v>天主教明誠學校財團法人高雄市明誠高級中學附設國小部</v>
      </c>
      <c r="F3821" s="14" t="str">
        <f>IFERROR(__xludf.DUMMYFUNCTION("""COMPUTED_VALUE"""),"四年級")</f>
        <v>四年級</v>
      </c>
      <c r="G3821" s="14" t="str">
        <f>IFERROR(__xludf.DUMMYFUNCTION("""COMPUTED_VALUE"""),"●小禮物")</f>
        <v>●小禮物</v>
      </c>
      <c r="H3821" s="8"/>
    </row>
    <row r="3822">
      <c r="A3822" s="18"/>
      <c r="B3822" s="14">
        <f>IFERROR(__xludf.DUMMYFUNCTION("""COMPUTED_VALUE"""),945457.0)</f>
        <v>945457</v>
      </c>
      <c r="C3822" s="14" t="str">
        <f>IFERROR(__xludf.DUMMYFUNCTION("""COMPUTED_VALUE"""),"陳晴川")</f>
        <v>陳晴川</v>
      </c>
      <c r="D3822" s="16" t="str">
        <f>IFERROR(__xludf.DUMMYFUNCTION("""COMPUTED_VALUE"""),"cyt*****gmail.com")</f>
        <v>cyt*****gmail.com</v>
      </c>
      <c r="E3822" s="17" t="str">
        <f>IFERROR(__xludf.DUMMYFUNCTION("""COMPUTED_VALUE"""),"天主教明誠學校財團法人高雄市明誠高級中學附設國小部")</f>
        <v>天主教明誠學校財團法人高雄市明誠高級中學附設國小部</v>
      </c>
      <c r="F3822" s="14" t="str">
        <f>IFERROR(__xludf.DUMMYFUNCTION("""COMPUTED_VALUE"""),"五年級")</f>
        <v>五年級</v>
      </c>
      <c r="G3822" s="14" t="str">
        <f>IFERROR(__xludf.DUMMYFUNCTION("""COMPUTED_VALUE"""),"獎狀")</f>
        <v>獎狀</v>
      </c>
      <c r="H3822" s="8"/>
    </row>
    <row r="3823">
      <c r="A3823" s="18"/>
      <c r="B3823" s="14">
        <f>IFERROR(__xludf.DUMMYFUNCTION("""COMPUTED_VALUE"""),937394.0)</f>
        <v>937394</v>
      </c>
      <c r="C3823" s="14" t="str">
        <f>IFERROR(__xludf.DUMMYFUNCTION("""COMPUTED_VALUE"""),"李岱凌")</f>
        <v>李岱凌</v>
      </c>
      <c r="D3823" s="16" t="str">
        <f>IFERROR(__xludf.DUMMYFUNCTION("""COMPUTED_VALUE"""),"swe*****ling@gmail.com")</f>
        <v>swe*****ling@gmail.com</v>
      </c>
      <c r="E3823" s="17" t="str">
        <f>IFERROR(__xludf.DUMMYFUNCTION("""COMPUTED_VALUE"""),"天主教明誠學校財團法人高雄市明誠高級中學附設國小部")</f>
        <v>天主教明誠學校財團法人高雄市明誠高級中學附設國小部</v>
      </c>
      <c r="F3823" s="14" t="str">
        <f>IFERROR(__xludf.DUMMYFUNCTION("""COMPUTED_VALUE"""),"六年級")</f>
        <v>六年級</v>
      </c>
      <c r="G3823" s="14" t="str">
        <f>IFERROR(__xludf.DUMMYFUNCTION("""COMPUTED_VALUE"""),"獎狀")</f>
        <v>獎狀</v>
      </c>
      <c r="H3823" s="8"/>
    </row>
    <row r="3824">
      <c r="A3824" s="18"/>
      <c r="B3824" s="14">
        <f>IFERROR(__xludf.DUMMYFUNCTION("""COMPUTED_VALUE"""),1212807.0)</f>
        <v>1212807</v>
      </c>
      <c r="C3824" s="14" t="str">
        <f>IFERROR(__xludf.DUMMYFUNCTION("""COMPUTED_VALUE"""),"羅詠晴")</f>
        <v>羅詠晴</v>
      </c>
      <c r="D3824" s="16" t="str">
        <f>IFERROR(__xludf.DUMMYFUNCTION("""COMPUTED_VALUE"""),"nao*****mail.edu.tw")</f>
        <v>nao*****mail.edu.tw</v>
      </c>
      <c r="E3824" s="17" t="str">
        <f>IFERROR(__xludf.DUMMYFUNCTION("""COMPUTED_VALUE"""),"高雄市鼓山區中山國民小學")</f>
        <v>高雄市鼓山區中山國民小學</v>
      </c>
      <c r="F3824" s="14" t="str">
        <f>IFERROR(__xludf.DUMMYFUNCTION("""COMPUTED_VALUE"""),"五年級")</f>
        <v>五年級</v>
      </c>
      <c r="G3824" s="14" t="str">
        <f>IFERROR(__xludf.DUMMYFUNCTION("""COMPUTED_VALUE"""),"●小禮物")</f>
        <v>●小禮物</v>
      </c>
      <c r="H3824" s="8"/>
    </row>
    <row r="3825">
      <c r="A3825" s="18"/>
      <c r="B3825" s="14">
        <f>IFERROR(__xludf.DUMMYFUNCTION("""COMPUTED_VALUE"""),1200415.0)</f>
        <v>1200415</v>
      </c>
      <c r="C3825" s="14" t="str">
        <f>IFERROR(__xludf.DUMMYFUNCTION("""COMPUTED_VALUE"""),"張允睿")</f>
        <v>張允睿</v>
      </c>
      <c r="D3825" s="16" t="str">
        <f>IFERROR(__xludf.DUMMYFUNCTION("""COMPUTED_VALUE"""),"ray*****9@mail.edu.tw")</f>
        <v>ray*****9@mail.edu.tw</v>
      </c>
      <c r="E3825" s="17" t="str">
        <f>IFERROR(__xludf.DUMMYFUNCTION("""COMPUTED_VALUE"""),"高雄市鼓山區中山國民小學")</f>
        <v>高雄市鼓山區中山國民小學</v>
      </c>
      <c r="F3825" s="14" t="str">
        <f>IFERROR(__xludf.DUMMYFUNCTION("""COMPUTED_VALUE"""),"六年級")</f>
        <v>六年級</v>
      </c>
      <c r="G3825" s="14" t="str">
        <f>IFERROR(__xludf.DUMMYFUNCTION("""COMPUTED_VALUE"""),"獎狀")</f>
        <v>獎狀</v>
      </c>
      <c r="H3825" s="8"/>
    </row>
    <row r="3826">
      <c r="A3826" s="18"/>
      <c r="B3826" s="14">
        <f>IFERROR(__xludf.DUMMYFUNCTION("""COMPUTED_VALUE"""),953123.0)</f>
        <v>953123</v>
      </c>
      <c r="C3826" s="14" t="str">
        <f>IFERROR(__xludf.DUMMYFUNCTION("""COMPUTED_VALUE"""),"許寶勻")</f>
        <v>許寶勻</v>
      </c>
      <c r="D3826" s="16" t="str">
        <f>IFERROR(__xludf.DUMMYFUNCTION("""COMPUTED_VALUE"""),"ste*****su01@gmail.com")</f>
        <v>ste*****su01@gmail.com</v>
      </c>
      <c r="E3826" s="17" t="str">
        <f>IFERROR(__xludf.DUMMYFUNCTION("""COMPUTED_VALUE"""),"高雄市私立中華高級藝術職業學校附設國小部")</f>
        <v>高雄市私立中華高級藝術職業學校附設國小部</v>
      </c>
      <c r="F3826" s="14" t="str">
        <f>IFERROR(__xludf.DUMMYFUNCTION("""COMPUTED_VALUE"""),"五年級")</f>
        <v>五年級</v>
      </c>
      <c r="G3826" s="14" t="str">
        <f>IFERROR(__xludf.DUMMYFUNCTION("""COMPUTED_VALUE"""),"獎狀")</f>
        <v>獎狀</v>
      </c>
      <c r="H3826" s="8"/>
    </row>
    <row r="3827">
      <c r="A3827" s="18"/>
      <c r="B3827" s="14">
        <f>IFERROR(__xludf.DUMMYFUNCTION("""COMPUTED_VALUE"""),103965.0)</f>
        <v>103965</v>
      </c>
      <c r="C3827" s="14" t="str">
        <f>IFERROR(__xludf.DUMMYFUNCTION("""COMPUTED_VALUE"""),"胡哲誠")</f>
        <v>胡哲誠</v>
      </c>
      <c r="D3827" s="16" t="str">
        <f>IFERROR(__xludf.DUMMYFUNCTION("""COMPUTED_VALUE"""),"cat*****yahoo.ca")</f>
        <v>cat*****yahoo.ca</v>
      </c>
      <c r="E3827" s="17" t="str">
        <f>IFERROR(__xludf.DUMMYFUNCTION("""COMPUTED_VALUE"""),"高雄市私立中華高級藝術職業學校附設國小部")</f>
        <v>高雄市私立中華高級藝術職業學校附設國小部</v>
      </c>
      <c r="F3827" s="14" t="str">
        <f>IFERROR(__xludf.DUMMYFUNCTION("""COMPUTED_VALUE"""),"六年級")</f>
        <v>六年級</v>
      </c>
      <c r="G3827" s="14" t="str">
        <f>IFERROR(__xludf.DUMMYFUNCTION("""COMPUTED_VALUE"""),"獎狀")</f>
        <v>獎狀</v>
      </c>
      <c r="H3827" s="8"/>
    </row>
    <row r="3828">
      <c r="A3828" s="18"/>
      <c r="B3828" s="14">
        <f>IFERROR(__xludf.DUMMYFUNCTION("""COMPUTED_VALUE"""),1118396.0)</f>
        <v>1118396</v>
      </c>
      <c r="C3828" s="14" t="str">
        <f>IFERROR(__xludf.DUMMYFUNCTION("""COMPUTED_VALUE"""),"侯語恩")</f>
        <v>侯語恩</v>
      </c>
      <c r="D3828" s="16" t="str">
        <f>IFERROR(__xludf.DUMMYFUNCTION("""COMPUTED_VALUE"""),"car*****u@gmail.com")</f>
        <v>car*****u@gmail.com</v>
      </c>
      <c r="E3828" s="17" t="str">
        <f>IFERROR(__xludf.DUMMYFUNCTION("""COMPUTED_VALUE"""),"高雄市前鎮區獅甲國民小學")</f>
        <v>高雄市前鎮區獅甲國民小學</v>
      </c>
      <c r="F3828" s="14" t="str">
        <f>IFERROR(__xludf.DUMMYFUNCTION("""COMPUTED_VALUE"""),"三年級")</f>
        <v>三年級</v>
      </c>
      <c r="G3828" s="14" t="str">
        <f>IFERROR(__xludf.DUMMYFUNCTION("""COMPUTED_VALUE"""),"●小禮物")</f>
        <v>●小禮物</v>
      </c>
      <c r="H3828" s="8"/>
    </row>
    <row r="3829">
      <c r="A3829" s="18"/>
      <c r="B3829" s="14">
        <f>IFERROR(__xludf.DUMMYFUNCTION("""COMPUTED_VALUE"""),841219.0)</f>
        <v>841219</v>
      </c>
      <c r="C3829" s="14" t="str">
        <f>IFERROR(__xludf.DUMMYFUNCTION("""COMPUTED_VALUE"""),"謝羽柔")</f>
        <v>謝羽柔</v>
      </c>
      <c r="D3829" s="16" t="str">
        <f>IFERROR(__xludf.DUMMYFUNCTION("""COMPUTED_VALUE"""),"s08*****@mail.edu.tw")</f>
        <v>s08*****@mail.edu.tw</v>
      </c>
      <c r="E3829" s="17" t="str">
        <f>IFERROR(__xludf.DUMMYFUNCTION("""COMPUTED_VALUE"""),"高雄市前鎮區樂群國民小學")</f>
        <v>高雄市前鎮區樂群國民小學</v>
      </c>
      <c r="F3829" s="14" t="str">
        <f>IFERROR(__xludf.DUMMYFUNCTION("""COMPUTED_VALUE"""),"四年級")</f>
        <v>四年級</v>
      </c>
      <c r="G3829" s="14" t="str">
        <f>IFERROR(__xludf.DUMMYFUNCTION("""COMPUTED_VALUE"""),"●小禮物")</f>
        <v>●小禮物</v>
      </c>
      <c r="H3829" s="8"/>
    </row>
    <row r="3830">
      <c r="A3830" s="18"/>
      <c r="B3830" s="14">
        <f>IFERROR(__xludf.DUMMYFUNCTION("""COMPUTED_VALUE"""),864480.0)</f>
        <v>864480</v>
      </c>
      <c r="C3830" s="14" t="str">
        <f>IFERROR(__xludf.DUMMYFUNCTION("""COMPUTED_VALUE"""),"謝采恩")</f>
        <v>謝采恩</v>
      </c>
      <c r="D3830" s="16" t="str">
        <f>IFERROR(__xludf.DUMMYFUNCTION("""COMPUTED_VALUE"""),"s06*****@mail.edu.tw")</f>
        <v>s06*****@mail.edu.tw</v>
      </c>
      <c r="E3830" s="17" t="str">
        <f>IFERROR(__xludf.DUMMYFUNCTION("""COMPUTED_VALUE"""),"高雄市前鎮區樂群國民小學")</f>
        <v>高雄市前鎮區樂群國民小學</v>
      </c>
      <c r="F3830" s="14" t="str">
        <f>IFERROR(__xludf.DUMMYFUNCTION("""COMPUTED_VALUE"""),"六年級")</f>
        <v>六年級</v>
      </c>
      <c r="G3830" s="14" t="str">
        <f>IFERROR(__xludf.DUMMYFUNCTION("""COMPUTED_VALUE"""),"★禮券$200")</f>
        <v>★禮券$200</v>
      </c>
      <c r="H3830" s="8"/>
    </row>
    <row r="3831">
      <c r="A3831" s="18"/>
      <c r="B3831" s="14">
        <f>IFERROR(__xludf.DUMMYFUNCTION("""COMPUTED_VALUE"""),1000260.0)</f>
        <v>1000260</v>
      </c>
      <c r="C3831" s="14" t="str">
        <f>IFERROR(__xludf.DUMMYFUNCTION("""COMPUTED_VALUE"""),"王晨安")</f>
        <v>王晨安</v>
      </c>
      <c r="D3831" s="16" t="str">
        <f>IFERROR(__xludf.DUMMYFUNCTION("""COMPUTED_VALUE"""),"s07*****.kh@mail.edu.tw")</f>
        <v>s07*****.kh@mail.edu.tw</v>
      </c>
      <c r="E3831" s="17" t="str">
        <f>IFERROR(__xludf.DUMMYFUNCTION("""COMPUTED_VALUE"""),"高雄市前鎮區瑞祥國民小學")</f>
        <v>高雄市前鎮區瑞祥國民小學</v>
      </c>
      <c r="F3831" s="14" t="str">
        <f>IFERROR(__xludf.DUMMYFUNCTION("""COMPUTED_VALUE"""),"五年級")</f>
        <v>五年級</v>
      </c>
      <c r="G3831" s="14" t="str">
        <f>IFERROR(__xludf.DUMMYFUNCTION("""COMPUTED_VALUE"""),"獎狀")</f>
        <v>獎狀</v>
      </c>
      <c r="H3831" s="8"/>
    </row>
    <row r="3832">
      <c r="A3832" s="18"/>
      <c r="B3832" s="14">
        <f>IFERROR(__xludf.DUMMYFUNCTION("""COMPUTED_VALUE"""),1066182.0)</f>
        <v>1066182</v>
      </c>
      <c r="C3832" s="14" t="str">
        <f>IFERROR(__xludf.DUMMYFUNCTION("""COMPUTED_VALUE"""),"李翊瑄")</f>
        <v>李翊瑄</v>
      </c>
      <c r="D3832" s="16" t="str">
        <f>IFERROR(__xludf.DUMMYFUNCTION("""COMPUTED_VALUE"""),"s07*****.kh@go.edu.tw")</f>
        <v>s07*****.kh@go.edu.tw</v>
      </c>
      <c r="E3832" s="17" t="str">
        <f>IFERROR(__xludf.DUMMYFUNCTION("""COMPUTED_VALUE"""),"高雄市前鎮區瑞豐國民小學")</f>
        <v>高雄市前鎮區瑞豐國民小學</v>
      </c>
      <c r="F3832" s="14" t="str">
        <f>IFERROR(__xludf.DUMMYFUNCTION("""COMPUTED_VALUE"""),"五年級")</f>
        <v>五年級</v>
      </c>
      <c r="G3832" s="14" t="str">
        <f>IFERROR(__xludf.DUMMYFUNCTION("""COMPUTED_VALUE"""),"獎狀")</f>
        <v>獎狀</v>
      </c>
      <c r="H3832" s="8"/>
    </row>
    <row r="3833">
      <c r="A3833" s="18"/>
      <c r="B3833" s="14">
        <f>IFERROR(__xludf.DUMMYFUNCTION("""COMPUTED_VALUE"""),1137885.0)</f>
        <v>1137885</v>
      </c>
      <c r="C3833" s="14" t="str">
        <f>IFERROR(__xludf.DUMMYFUNCTION("""COMPUTED_VALUE"""),"王翊玹")</f>
        <v>王翊玹</v>
      </c>
      <c r="D3833" s="16" t="str">
        <f>IFERROR(__xludf.DUMMYFUNCTION("""COMPUTED_VALUE"""),"hui*****3@gmail.com")</f>
        <v>hui*****3@gmail.com</v>
      </c>
      <c r="E3833" s="17" t="str">
        <f>IFERROR(__xludf.DUMMYFUNCTION("""COMPUTED_VALUE"""),"高雄市三民區博愛國民小學")</f>
        <v>高雄市三民區博愛國民小學</v>
      </c>
      <c r="F3833" s="14" t="str">
        <f>IFERROR(__xludf.DUMMYFUNCTION("""COMPUTED_VALUE"""),"三年級")</f>
        <v>三年級</v>
      </c>
      <c r="G3833" s="14" t="str">
        <f>IFERROR(__xludf.DUMMYFUNCTION("""COMPUTED_VALUE"""),"●小禮物")</f>
        <v>●小禮物</v>
      </c>
      <c r="H3833" s="8"/>
    </row>
    <row r="3834">
      <c r="A3834" s="18"/>
      <c r="B3834" s="14">
        <f>IFERROR(__xludf.DUMMYFUNCTION("""COMPUTED_VALUE"""),194123.0)</f>
        <v>194123</v>
      </c>
      <c r="C3834" s="14" t="str">
        <f>IFERROR(__xludf.DUMMYFUNCTION("""COMPUTED_VALUE"""),"陳韋嶍")</f>
        <v>陳韋嶍</v>
      </c>
      <c r="D3834" s="16" t="str">
        <f>IFERROR(__xludf.DUMMYFUNCTION("""COMPUTED_VALUE"""),"vic*****92001@yahoo.com.tw")</f>
        <v>vic*****92001@yahoo.com.tw</v>
      </c>
      <c r="E3834" s="17" t="str">
        <f>IFERROR(__xludf.DUMMYFUNCTION("""COMPUTED_VALUE"""),"高雄市三民區博愛國民小學")</f>
        <v>高雄市三民區博愛國民小學</v>
      </c>
      <c r="F3834" s="14" t="str">
        <f>IFERROR(__xludf.DUMMYFUNCTION("""COMPUTED_VALUE"""),"四年級")</f>
        <v>四年級</v>
      </c>
      <c r="G3834" s="14" t="str">
        <f>IFERROR(__xludf.DUMMYFUNCTION("""COMPUTED_VALUE"""),"獎狀")</f>
        <v>獎狀</v>
      </c>
      <c r="H3834" s="8"/>
    </row>
    <row r="3835">
      <c r="A3835" s="18"/>
      <c r="B3835" s="14">
        <f>IFERROR(__xludf.DUMMYFUNCTION("""COMPUTED_VALUE"""),999974.0)</f>
        <v>999974</v>
      </c>
      <c r="C3835" s="14" t="str">
        <f>IFERROR(__xludf.DUMMYFUNCTION("""COMPUTED_VALUE"""),"王翊恩")</f>
        <v>王翊恩</v>
      </c>
      <c r="D3835" s="16" t="str">
        <f>IFERROR(__xludf.DUMMYFUNCTION("""COMPUTED_VALUE"""),"s6c*****s.paps.kh.edu.tw")</f>
        <v>s6c*****s.paps.kh.edu.tw</v>
      </c>
      <c r="E3835" s="17" t="str">
        <f>IFERROR(__xludf.DUMMYFUNCTION("""COMPUTED_VALUE"""),"高雄市三民區博愛國民小學")</f>
        <v>高雄市三民區博愛國民小學</v>
      </c>
      <c r="F3835" s="14" t="str">
        <f>IFERROR(__xludf.DUMMYFUNCTION("""COMPUTED_VALUE"""),"六年級")</f>
        <v>六年級</v>
      </c>
      <c r="G3835" s="14" t="str">
        <f>IFERROR(__xludf.DUMMYFUNCTION("""COMPUTED_VALUE"""),"●小禮物")</f>
        <v>●小禮物</v>
      </c>
      <c r="H3835" s="8"/>
    </row>
    <row r="3836">
      <c r="A3836" s="18"/>
      <c r="B3836" s="14">
        <f>IFERROR(__xludf.DUMMYFUNCTION("""COMPUTED_VALUE"""),999993.0)</f>
        <v>999993</v>
      </c>
      <c r="C3836" s="14" t="str">
        <f>IFERROR(__xludf.DUMMYFUNCTION("""COMPUTED_VALUE"""),"盧宣伶")</f>
        <v>盧宣伶</v>
      </c>
      <c r="D3836" s="16" t="str">
        <f>IFERROR(__xludf.DUMMYFUNCTION("""COMPUTED_VALUE"""),"s6e*****s.paps.kh.edu.tw")</f>
        <v>s6e*****s.paps.kh.edu.tw</v>
      </c>
      <c r="E3836" s="17" t="str">
        <f>IFERROR(__xludf.DUMMYFUNCTION("""COMPUTED_VALUE"""),"高雄市三民區博愛國民小學")</f>
        <v>高雄市三民區博愛國民小學</v>
      </c>
      <c r="F3836" s="14" t="str">
        <f>IFERROR(__xludf.DUMMYFUNCTION("""COMPUTED_VALUE"""),"六年級")</f>
        <v>六年級</v>
      </c>
      <c r="G3836" s="14" t="str">
        <f>IFERROR(__xludf.DUMMYFUNCTION("""COMPUTED_VALUE"""),"●小禮物")</f>
        <v>●小禮物</v>
      </c>
      <c r="H3836" s="8"/>
    </row>
    <row r="3837">
      <c r="A3837" s="18"/>
      <c r="B3837" s="14">
        <f>IFERROR(__xludf.DUMMYFUNCTION("""COMPUTED_VALUE"""),726851.0)</f>
        <v>726851</v>
      </c>
      <c r="C3837" s="14" t="str">
        <f>IFERROR(__xludf.DUMMYFUNCTION("""COMPUTED_VALUE"""),"王岑如")</f>
        <v>王岑如</v>
      </c>
      <c r="D3837" s="16" t="str">
        <f>IFERROR(__xludf.DUMMYFUNCTION("""COMPUTED_VALUE"""),"s20*****1@mail.edu.tw")</f>
        <v>s20*****1@mail.edu.tw</v>
      </c>
      <c r="E3837" s="17" t="str">
        <f>IFERROR(__xludf.DUMMYFUNCTION("""COMPUTED_VALUE"""),"高雄市三民區十全國民小學")</f>
        <v>高雄市三民區十全國民小學</v>
      </c>
      <c r="F3837" s="14" t="str">
        <f>IFERROR(__xludf.DUMMYFUNCTION("""COMPUTED_VALUE"""),"四年級")</f>
        <v>四年級</v>
      </c>
      <c r="G3837" s="14" t="str">
        <f>IFERROR(__xludf.DUMMYFUNCTION("""COMPUTED_VALUE"""),"獎狀")</f>
        <v>獎狀</v>
      </c>
      <c r="H3837" s="8"/>
    </row>
    <row r="3838">
      <c r="A3838" s="18"/>
      <c r="B3838" s="14">
        <f>IFERROR(__xludf.DUMMYFUNCTION("""COMPUTED_VALUE"""),944521.0)</f>
        <v>944521</v>
      </c>
      <c r="C3838" s="14" t="str">
        <f>IFERROR(__xludf.DUMMYFUNCTION("""COMPUTED_VALUE"""),"王怡蓉")</f>
        <v>王怡蓉</v>
      </c>
      <c r="D3838" s="16" t="str">
        <f>IFERROR(__xludf.DUMMYFUNCTION("""COMPUTED_VALUE"""),"scp*****5@go.edu.tw")</f>
        <v>scp*****5@go.edu.tw</v>
      </c>
      <c r="E3838" s="17" t="str">
        <f>IFERROR(__xludf.DUMMYFUNCTION("""COMPUTED_VALUE"""),"高雄市三民區十全國民小學")</f>
        <v>高雄市三民區十全國民小學</v>
      </c>
      <c r="F3838" s="14" t="str">
        <f>IFERROR(__xludf.DUMMYFUNCTION("""COMPUTED_VALUE"""),"六年級")</f>
        <v>六年級</v>
      </c>
      <c r="G3838" s="14" t="str">
        <f>IFERROR(__xludf.DUMMYFUNCTION("""COMPUTED_VALUE"""),"●小禮物")</f>
        <v>●小禮物</v>
      </c>
      <c r="H3838" s="8"/>
    </row>
    <row r="3839">
      <c r="A3839" s="18"/>
      <c r="B3839" s="14">
        <f>IFERROR(__xludf.DUMMYFUNCTION("""COMPUTED_VALUE"""),1217005.0)</f>
        <v>1217005</v>
      </c>
      <c r="C3839" s="14" t="str">
        <f>IFERROR(__xludf.DUMMYFUNCTION("""COMPUTED_VALUE"""),"李詠絜")</f>
        <v>李詠絜</v>
      </c>
      <c r="D3839" s="16" t="str">
        <f>IFERROR(__xludf.DUMMYFUNCTION("""COMPUTED_VALUE"""),"mel*****i@mail.edu.tw")</f>
        <v>mel*****i@mail.edu.tw</v>
      </c>
      <c r="E3839" s="17" t="str">
        <f>IFERROR(__xludf.DUMMYFUNCTION("""COMPUTED_VALUE"""),"高雄市三民區民族國民小學")</f>
        <v>高雄市三民區民族國民小學</v>
      </c>
      <c r="F3839" s="14" t="str">
        <f>IFERROR(__xludf.DUMMYFUNCTION("""COMPUTED_VALUE"""),"四年級")</f>
        <v>四年級</v>
      </c>
      <c r="G3839" s="14" t="str">
        <f>IFERROR(__xludf.DUMMYFUNCTION("""COMPUTED_VALUE"""),"獎狀")</f>
        <v>獎狀</v>
      </c>
      <c r="H3839" s="8"/>
    </row>
    <row r="3840">
      <c r="A3840" s="18"/>
      <c r="B3840" s="14">
        <f>IFERROR(__xludf.DUMMYFUNCTION("""COMPUTED_VALUE"""),565074.0)</f>
        <v>565074</v>
      </c>
      <c r="C3840" s="14" t="str">
        <f>IFERROR(__xludf.DUMMYFUNCTION("""COMPUTED_VALUE"""),"黃子恆")</f>
        <v>黃子恆</v>
      </c>
      <c r="D3840" s="16" t="str">
        <f>IFERROR(__xludf.DUMMYFUNCTION("""COMPUTED_VALUE"""),"s06*****.kh@mail.edu.tw")</f>
        <v>s06*****.kh@mail.edu.tw</v>
      </c>
      <c r="E3840" s="17" t="str">
        <f>IFERROR(__xludf.DUMMYFUNCTION("""COMPUTED_VALUE"""),"高雄市三民區光武國民小學")</f>
        <v>高雄市三民區光武國民小學</v>
      </c>
      <c r="F3840" s="14" t="str">
        <f>IFERROR(__xludf.DUMMYFUNCTION("""COMPUTED_VALUE"""),"六年級")</f>
        <v>六年級</v>
      </c>
      <c r="G3840" s="14" t="str">
        <f>IFERROR(__xludf.DUMMYFUNCTION("""COMPUTED_VALUE"""),"獎狀")</f>
        <v>獎狀</v>
      </c>
      <c r="H3840" s="8"/>
    </row>
    <row r="3841">
      <c r="A3841" s="18"/>
      <c r="B3841" s="14">
        <f>IFERROR(__xludf.DUMMYFUNCTION("""COMPUTED_VALUE"""),294419.0)</f>
        <v>294419</v>
      </c>
      <c r="C3841" s="14" t="str">
        <f>IFERROR(__xludf.DUMMYFUNCTION("""COMPUTED_VALUE"""),"沈妍庭")</f>
        <v>沈妍庭</v>
      </c>
      <c r="D3841" s="16" t="str">
        <f>IFERROR(__xludf.DUMMYFUNCTION("""COMPUTED_VALUE"""),"s06*****.kh@mail.edu.tw")</f>
        <v>s06*****.kh@mail.edu.tw</v>
      </c>
      <c r="E3841" s="17" t="str">
        <f>IFERROR(__xludf.DUMMYFUNCTION("""COMPUTED_VALUE"""),"高雄市三民區光武國民小學")</f>
        <v>高雄市三民區光武國民小學</v>
      </c>
      <c r="F3841" s="14" t="str">
        <f>IFERROR(__xludf.DUMMYFUNCTION("""COMPUTED_VALUE"""),"六年級")</f>
        <v>六年級</v>
      </c>
      <c r="G3841" s="14" t="str">
        <f>IFERROR(__xludf.DUMMYFUNCTION("""COMPUTED_VALUE"""),"獎狀")</f>
        <v>獎狀</v>
      </c>
      <c r="H3841" s="8"/>
    </row>
    <row r="3842">
      <c r="A3842" s="18"/>
      <c r="B3842" s="14">
        <f>IFERROR(__xludf.DUMMYFUNCTION("""COMPUTED_VALUE"""),1098852.0)</f>
        <v>1098852</v>
      </c>
      <c r="C3842" s="14" t="str">
        <f>IFERROR(__xludf.DUMMYFUNCTION("""COMPUTED_VALUE"""),"李玥暘")</f>
        <v>李玥暘</v>
      </c>
      <c r="D3842" s="16" t="str">
        <f>IFERROR(__xludf.DUMMYFUNCTION("""COMPUTED_VALUE"""),"s08*****@mail.edu.tw")</f>
        <v>s08*****@mail.edu.tw</v>
      </c>
      <c r="E3842" s="17" t="str">
        <f>IFERROR(__xludf.DUMMYFUNCTION("""COMPUTED_VALUE"""),"高雄市三民區三民國民小學")</f>
        <v>高雄市三民區三民國民小學</v>
      </c>
      <c r="F3842" s="14" t="str">
        <f>IFERROR(__xludf.DUMMYFUNCTION("""COMPUTED_VALUE"""),"四年級")</f>
        <v>四年級</v>
      </c>
      <c r="G3842" s="14" t="str">
        <f>IFERROR(__xludf.DUMMYFUNCTION("""COMPUTED_VALUE"""),"●小禮物")</f>
        <v>●小禮物</v>
      </c>
      <c r="H3842" s="8"/>
    </row>
    <row r="3843">
      <c r="A3843" s="18"/>
      <c r="B3843" s="14">
        <f>IFERROR(__xludf.DUMMYFUNCTION("""COMPUTED_VALUE"""),637461.0)</f>
        <v>637461</v>
      </c>
      <c r="C3843" s="14" t="str">
        <f>IFERROR(__xludf.DUMMYFUNCTION("""COMPUTED_VALUE"""),"蔡英志")</f>
        <v>蔡英志</v>
      </c>
      <c r="D3843" s="16" t="str">
        <f>IFERROR(__xludf.DUMMYFUNCTION("""COMPUTED_VALUE"""),"s07*****.camel@mail.edu.tw")</f>
        <v>s07*****.camel@mail.edu.tw</v>
      </c>
      <c r="E3843" s="17" t="str">
        <f>IFERROR(__xludf.DUMMYFUNCTION("""COMPUTED_VALUE"""),"高雄市三民區東光國民小學")</f>
        <v>高雄市三民區東光國民小學</v>
      </c>
      <c r="F3843" s="14" t="str">
        <f>IFERROR(__xludf.DUMMYFUNCTION("""COMPUTED_VALUE"""),"五年級")</f>
        <v>五年級</v>
      </c>
      <c r="G3843" s="14" t="str">
        <f>IFERROR(__xludf.DUMMYFUNCTION("""COMPUTED_VALUE"""),"獎狀")</f>
        <v>獎狀</v>
      </c>
      <c r="H3843" s="8"/>
    </row>
    <row r="3844">
      <c r="A3844" s="18"/>
      <c r="B3844" s="14">
        <f>IFERROR(__xludf.DUMMYFUNCTION("""COMPUTED_VALUE"""),861702.0)</f>
        <v>861702</v>
      </c>
      <c r="C3844" s="14" t="str">
        <f>IFERROR(__xludf.DUMMYFUNCTION("""COMPUTED_VALUE"""),"齊品瑄")</f>
        <v>齊品瑄</v>
      </c>
      <c r="D3844" s="16" t="str">
        <f>IFERROR(__xludf.DUMMYFUNCTION("""COMPUTED_VALUE"""),"joa*****20703@gmail.com")</f>
        <v>joa*****20703@gmail.com</v>
      </c>
      <c r="E3844" s="17" t="str">
        <f>IFERROR(__xludf.DUMMYFUNCTION("""COMPUTED_VALUE"""),"高雄市三民區陽明國民小學")</f>
        <v>高雄市三民區陽明國民小學</v>
      </c>
      <c r="F3844" s="14" t="str">
        <f>IFERROR(__xludf.DUMMYFUNCTION("""COMPUTED_VALUE"""),"四年級")</f>
        <v>四年級</v>
      </c>
      <c r="G3844" s="14" t="str">
        <f>IFERROR(__xludf.DUMMYFUNCTION("""COMPUTED_VALUE"""),"獎狀")</f>
        <v>獎狀</v>
      </c>
      <c r="H3844" s="8"/>
    </row>
    <row r="3845">
      <c r="A3845" s="18"/>
      <c r="B3845" s="14">
        <f>IFERROR(__xludf.DUMMYFUNCTION("""COMPUTED_VALUE"""),741073.0)</f>
        <v>741073</v>
      </c>
      <c r="C3845" s="14" t="str">
        <f>IFERROR(__xludf.DUMMYFUNCTION("""COMPUTED_VALUE"""),"齊婉妤")</f>
        <v>齊婉妤</v>
      </c>
      <c r="D3845" s="16" t="str">
        <f>IFERROR(__xludf.DUMMYFUNCTION("""COMPUTED_VALUE"""),"jol*****0905@gmail.com")</f>
        <v>jol*****0905@gmail.com</v>
      </c>
      <c r="E3845" s="17" t="str">
        <f>IFERROR(__xludf.DUMMYFUNCTION("""COMPUTED_VALUE"""),"高雄市三民區陽明國民小學")</f>
        <v>高雄市三民區陽明國民小學</v>
      </c>
      <c r="F3845" s="14" t="str">
        <f>IFERROR(__xludf.DUMMYFUNCTION("""COMPUTED_VALUE"""),"五年級")</f>
        <v>五年級</v>
      </c>
      <c r="G3845" s="14" t="str">
        <f>IFERROR(__xludf.DUMMYFUNCTION("""COMPUTED_VALUE"""),"獎狀")</f>
        <v>獎狀</v>
      </c>
      <c r="H3845" s="8"/>
    </row>
    <row r="3846">
      <c r="A3846" s="18"/>
      <c r="B3846" s="14">
        <f>IFERROR(__xludf.DUMMYFUNCTION("""COMPUTED_VALUE"""),1151801.0)</f>
        <v>1151801</v>
      </c>
      <c r="C3846" s="14" t="str">
        <f>IFERROR(__xludf.DUMMYFUNCTION("""COMPUTED_VALUE"""),"吳耘瑄")</f>
        <v>吳耘瑄</v>
      </c>
      <c r="D3846" s="16" t="str">
        <f>IFERROR(__xludf.DUMMYFUNCTION("""COMPUTED_VALUE"""),"emi*****106@gmail.com")</f>
        <v>emi*****106@gmail.com</v>
      </c>
      <c r="E3846" s="17" t="str">
        <f>IFERROR(__xludf.DUMMYFUNCTION("""COMPUTED_VALUE"""),"高雄市三民區河堤國民小學")</f>
        <v>高雄市三民區河堤國民小學</v>
      </c>
      <c r="F3846" s="14" t="str">
        <f>IFERROR(__xludf.DUMMYFUNCTION("""COMPUTED_VALUE"""),"三年級")</f>
        <v>三年級</v>
      </c>
      <c r="G3846" s="14" t="str">
        <f>IFERROR(__xludf.DUMMYFUNCTION("""COMPUTED_VALUE"""),"●小禮物")</f>
        <v>●小禮物</v>
      </c>
      <c r="H3846" s="8"/>
    </row>
    <row r="3847">
      <c r="A3847" s="18"/>
      <c r="B3847" s="14">
        <f>IFERROR(__xludf.DUMMYFUNCTION("""COMPUTED_VALUE"""),1185238.0)</f>
        <v>1185238</v>
      </c>
      <c r="C3847" s="14" t="str">
        <f>IFERROR(__xludf.DUMMYFUNCTION("""COMPUTED_VALUE"""),"林恩琳")</f>
        <v>林恩琳</v>
      </c>
      <c r="D3847" s="16" t="str">
        <f>IFERROR(__xludf.DUMMYFUNCTION("""COMPUTED_VALUE"""),"107*****tps.kh.edu.tw")</f>
        <v>107*****tps.kh.edu.tw</v>
      </c>
      <c r="E3847" s="17" t="str">
        <f>IFERROR(__xludf.DUMMYFUNCTION("""COMPUTED_VALUE"""),"高雄市三民區河堤國民小學")</f>
        <v>高雄市三民區河堤國民小學</v>
      </c>
      <c r="F3847" s="14" t="str">
        <f>IFERROR(__xludf.DUMMYFUNCTION("""COMPUTED_VALUE"""),"五年級")</f>
        <v>五年級</v>
      </c>
      <c r="G3847" s="14" t="str">
        <f>IFERROR(__xludf.DUMMYFUNCTION("""COMPUTED_VALUE"""),"●小禮物")</f>
        <v>●小禮物</v>
      </c>
      <c r="H3847" s="8"/>
    </row>
    <row r="3848">
      <c r="A3848" s="18"/>
      <c r="B3848" s="14">
        <f>IFERROR(__xludf.DUMMYFUNCTION("""COMPUTED_VALUE"""),844004.0)</f>
        <v>844004</v>
      </c>
      <c r="C3848" s="14" t="str">
        <f>IFERROR(__xludf.DUMMYFUNCTION("""COMPUTED_VALUE"""),"陳敬洵")</f>
        <v>陳敬洵</v>
      </c>
      <c r="D3848" s="16" t="str">
        <f>IFERROR(__xludf.DUMMYFUNCTION("""COMPUTED_VALUE"""),"s10*****@mail.edu.tw")</f>
        <v>s10*****@mail.edu.tw</v>
      </c>
      <c r="E3848" s="17" t="str">
        <f>IFERROR(__xludf.DUMMYFUNCTION("""COMPUTED_VALUE"""),"高雄市三民區河堤國民小學")</f>
        <v>高雄市三民區河堤國民小學</v>
      </c>
      <c r="F3848" s="14" t="str">
        <f>IFERROR(__xludf.DUMMYFUNCTION("""COMPUTED_VALUE"""),"五年級")</f>
        <v>五年級</v>
      </c>
      <c r="G3848" s="14" t="str">
        <f>IFERROR(__xludf.DUMMYFUNCTION("""COMPUTED_VALUE"""),"獎狀")</f>
        <v>獎狀</v>
      </c>
      <c r="H3848" s="8"/>
    </row>
    <row r="3849">
      <c r="A3849" s="18"/>
      <c r="B3849" s="14">
        <f>IFERROR(__xludf.DUMMYFUNCTION("""COMPUTED_VALUE"""),1184937.0)</f>
        <v>1184937</v>
      </c>
      <c r="C3849" s="14" t="str">
        <f>IFERROR(__xludf.DUMMYFUNCTION("""COMPUTED_VALUE"""),"黃苙綺")</f>
        <v>黃苙綺</v>
      </c>
      <c r="D3849" s="16" t="str">
        <f>IFERROR(__xludf.DUMMYFUNCTION("""COMPUTED_VALUE"""),"107*****tps.kh.edu.tw")</f>
        <v>107*****tps.kh.edu.tw</v>
      </c>
      <c r="E3849" s="17" t="str">
        <f>IFERROR(__xludf.DUMMYFUNCTION("""COMPUTED_VALUE"""),"高雄市三民區河堤國民小學")</f>
        <v>高雄市三民區河堤國民小學</v>
      </c>
      <c r="F3849" s="14" t="str">
        <f>IFERROR(__xludf.DUMMYFUNCTION("""COMPUTED_VALUE"""),"五年級")</f>
        <v>五年級</v>
      </c>
      <c r="G3849" s="14" t="str">
        <f>IFERROR(__xludf.DUMMYFUNCTION("""COMPUTED_VALUE"""),"獎狀")</f>
        <v>獎狀</v>
      </c>
      <c r="H3849" s="8"/>
    </row>
    <row r="3850">
      <c r="A3850" s="18"/>
      <c r="B3850" s="14">
        <f>IFERROR(__xludf.DUMMYFUNCTION("""COMPUTED_VALUE"""),1184731.0)</f>
        <v>1184731</v>
      </c>
      <c r="C3850" s="14" t="str">
        <f>IFERROR(__xludf.DUMMYFUNCTION("""COMPUTED_VALUE"""),"謝承翰")</f>
        <v>謝承翰</v>
      </c>
      <c r="D3850" s="16" t="str">
        <f>IFERROR(__xludf.DUMMYFUNCTION("""COMPUTED_VALUE"""),"107*****tps.kh.edu.tw")</f>
        <v>107*****tps.kh.edu.tw</v>
      </c>
      <c r="E3850" s="17" t="str">
        <f>IFERROR(__xludf.DUMMYFUNCTION("""COMPUTED_VALUE"""),"高雄市三民區河堤國民小學")</f>
        <v>高雄市三民區河堤國民小學</v>
      </c>
      <c r="F3850" s="14" t="str">
        <f>IFERROR(__xludf.DUMMYFUNCTION("""COMPUTED_VALUE"""),"五年級")</f>
        <v>五年級</v>
      </c>
      <c r="G3850" s="14" t="str">
        <f>IFERROR(__xludf.DUMMYFUNCTION("""COMPUTED_VALUE"""),"●小禮物")</f>
        <v>●小禮物</v>
      </c>
      <c r="H3850" s="8"/>
    </row>
    <row r="3851">
      <c r="A3851" s="18"/>
      <c r="B3851" s="14">
        <f>IFERROR(__xludf.DUMMYFUNCTION("""COMPUTED_VALUE"""),1184736.0)</f>
        <v>1184736</v>
      </c>
      <c r="C3851" s="14" t="str">
        <f>IFERROR(__xludf.DUMMYFUNCTION("""COMPUTED_VALUE"""),"黃晨甯")</f>
        <v>黃晨甯</v>
      </c>
      <c r="D3851" s="16" t="str">
        <f>IFERROR(__xludf.DUMMYFUNCTION("""COMPUTED_VALUE"""),"107*****tps.kh.edu.tw")</f>
        <v>107*****tps.kh.edu.tw</v>
      </c>
      <c r="E3851" s="17" t="str">
        <f>IFERROR(__xludf.DUMMYFUNCTION("""COMPUTED_VALUE"""),"高雄市三民區河堤國民小學")</f>
        <v>高雄市三民區河堤國民小學</v>
      </c>
      <c r="F3851" s="14" t="str">
        <f>IFERROR(__xludf.DUMMYFUNCTION("""COMPUTED_VALUE"""),"五年級")</f>
        <v>五年級</v>
      </c>
      <c r="G3851" s="14" t="str">
        <f>IFERROR(__xludf.DUMMYFUNCTION("""COMPUTED_VALUE"""),"獎狀")</f>
        <v>獎狀</v>
      </c>
      <c r="H3851" s="8"/>
    </row>
    <row r="3852">
      <c r="A3852" s="18"/>
      <c r="B3852" s="14">
        <f>IFERROR(__xludf.DUMMYFUNCTION("""COMPUTED_VALUE"""),1184719.0)</f>
        <v>1184719</v>
      </c>
      <c r="C3852" s="14" t="str">
        <f>IFERROR(__xludf.DUMMYFUNCTION("""COMPUTED_VALUE"""),"黃晨筑")</f>
        <v>黃晨筑</v>
      </c>
      <c r="D3852" s="16" t="str">
        <f>IFERROR(__xludf.DUMMYFUNCTION("""COMPUTED_VALUE"""),"107*****tps.kh.edu.tw")</f>
        <v>107*****tps.kh.edu.tw</v>
      </c>
      <c r="E3852" s="17" t="str">
        <f>IFERROR(__xludf.DUMMYFUNCTION("""COMPUTED_VALUE"""),"高雄市三民區河堤國民小學")</f>
        <v>高雄市三民區河堤國民小學</v>
      </c>
      <c r="F3852" s="14" t="str">
        <f>IFERROR(__xludf.DUMMYFUNCTION("""COMPUTED_VALUE"""),"五年級")</f>
        <v>五年級</v>
      </c>
      <c r="G3852" s="14" t="str">
        <f>IFERROR(__xludf.DUMMYFUNCTION("""COMPUTED_VALUE"""),"獎狀")</f>
        <v>獎狀</v>
      </c>
      <c r="H3852" s="8"/>
    </row>
    <row r="3853">
      <c r="A3853" s="18"/>
      <c r="B3853" s="14">
        <f>IFERROR(__xludf.DUMMYFUNCTION("""COMPUTED_VALUE"""),1184025.0)</f>
        <v>1184025</v>
      </c>
      <c r="C3853" s="14" t="str">
        <f>IFERROR(__xludf.DUMMYFUNCTION("""COMPUTED_VALUE"""),"蔡煜騰")</f>
        <v>蔡煜騰</v>
      </c>
      <c r="D3853" s="16" t="str">
        <f>IFERROR(__xludf.DUMMYFUNCTION("""COMPUTED_VALUE"""),"107*****tps.kh.edu.tw")</f>
        <v>107*****tps.kh.edu.tw</v>
      </c>
      <c r="E3853" s="17" t="str">
        <f>IFERROR(__xludf.DUMMYFUNCTION("""COMPUTED_VALUE"""),"高雄市三民區河堤國民小學")</f>
        <v>高雄市三民區河堤國民小學</v>
      </c>
      <c r="F3853" s="14" t="str">
        <f>IFERROR(__xludf.DUMMYFUNCTION("""COMPUTED_VALUE"""),"五年級")</f>
        <v>五年級</v>
      </c>
      <c r="G3853" s="14" t="str">
        <f>IFERROR(__xludf.DUMMYFUNCTION("""COMPUTED_VALUE"""),"●小禮物")</f>
        <v>●小禮物</v>
      </c>
      <c r="H3853" s="8"/>
    </row>
    <row r="3854">
      <c r="A3854" s="18"/>
      <c r="B3854" s="14">
        <f>IFERROR(__xludf.DUMMYFUNCTION("""COMPUTED_VALUE"""),242535.0)</f>
        <v>242535</v>
      </c>
      <c r="C3854" s="14" t="str">
        <f>IFERROR(__xludf.DUMMYFUNCTION("""COMPUTED_VALUE"""),"施瞳葳")</f>
        <v>施瞳葳</v>
      </c>
      <c r="D3854" s="16" t="str">
        <f>IFERROR(__xludf.DUMMYFUNCTION("""COMPUTED_VALUE"""),"s06*****.kh@mail.edu.tw")</f>
        <v>s06*****.kh@mail.edu.tw</v>
      </c>
      <c r="E3854" s="17" t="str">
        <f>IFERROR(__xludf.DUMMYFUNCTION("""COMPUTED_VALUE"""),"高雄市三民區河堤國民小學")</f>
        <v>高雄市三民區河堤國民小學</v>
      </c>
      <c r="F3854" s="14" t="str">
        <f>IFERROR(__xludf.DUMMYFUNCTION("""COMPUTED_VALUE"""),"六年級")</f>
        <v>六年級</v>
      </c>
      <c r="G3854" s="14" t="str">
        <f>IFERROR(__xludf.DUMMYFUNCTION("""COMPUTED_VALUE"""),"★禮券$200")</f>
        <v>★禮券$200</v>
      </c>
      <c r="H3854" s="8"/>
    </row>
    <row r="3855">
      <c r="A3855" s="18"/>
      <c r="B3855" s="14">
        <f>IFERROR(__xludf.DUMMYFUNCTION("""COMPUTED_VALUE"""),968268.0)</f>
        <v>968268</v>
      </c>
      <c r="C3855" s="14" t="str">
        <f>IFERROR(__xludf.DUMMYFUNCTION("""COMPUTED_VALUE"""),"張惟鈞")</f>
        <v>張惟鈞</v>
      </c>
      <c r="D3855" s="16" t="str">
        <f>IFERROR(__xludf.DUMMYFUNCTION("""COMPUTED_VALUE"""),"jer*****00502@mail.edu.tw")</f>
        <v>jer*****00502@mail.edu.tw</v>
      </c>
      <c r="E3855" s="17" t="str">
        <f>IFERROR(__xludf.DUMMYFUNCTION("""COMPUTED_VALUE"""),"高雄市三民區獅湖國民小學")</f>
        <v>高雄市三民區獅湖國民小學</v>
      </c>
      <c r="F3855" s="14" t="str">
        <f>IFERROR(__xludf.DUMMYFUNCTION("""COMPUTED_VALUE"""),"六年級")</f>
        <v>六年級</v>
      </c>
      <c r="G3855" s="14" t="str">
        <f>IFERROR(__xludf.DUMMYFUNCTION("""COMPUTED_VALUE"""),"獎狀")</f>
        <v>獎狀</v>
      </c>
      <c r="H3855" s="8"/>
    </row>
    <row r="3856">
      <c r="A3856" s="18"/>
      <c r="B3856" s="14">
        <f>IFERROR(__xludf.DUMMYFUNCTION("""COMPUTED_VALUE"""),1034525.0)</f>
        <v>1034525</v>
      </c>
      <c r="C3856" s="14" t="str">
        <f>IFERROR(__xludf.DUMMYFUNCTION("""COMPUTED_VALUE"""),"吳秉誠")</f>
        <v>吳秉誠</v>
      </c>
      <c r="D3856" s="16" t="str">
        <f>IFERROR(__xludf.DUMMYFUNCTION("""COMPUTED_VALUE"""),"hsu*****ang@gmail.com")</f>
        <v>hsu*****ang@gmail.com</v>
      </c>
      <c r="E3856" s="17" t="str">
        <f>IFERROR(__xludf.DUMMYFUNCTION("""COMPUTED_VALUE"""),"高雄市楠梓區油廠國民小學")</f>
        <v>高雄市楠梓區油廠國民小學</v>
      </c>
      <c r="F3856" s="14" t="str">
        <f>IFERROR(__xludf.DUMMYFUNCTION("""COMPUTED_VALUE"""),"三年級")</f>
        <v>三年級</v>
      </c>
      <c r="G3856" s="14" t="str">
        <f>IFERROR(__xludf.DUMMYFUNCTION("""COMPUTED_VALUE"""),"●小禮物")</f>
        <v>●小禮物</v>
      </c>
      <c r="H3856" s="8"/>
    </row>
    <row r="3857">
      <c r="A3857" s="18"/>
      <c r="B3857" s="14">
        <f>IFERROR(__xludf.DUMMYFUNCTION("""COMPUTED_VALUE"""),306044.0)</f>
        <v>306044</v>
      </c>
      <c r="C3857" s="14" t="str">
        <f>IFERROR(__xludf.DUMMYFUNCTION("""COMPUTED_VALUE"""),"黃宥誠")</f>
        <v>黃宥誠</v>
      </c>
      <c r="D3857" s="16" t="str">
        <f>IFERROR(__xludf.DUMMYFUNCTION("""COMPUTED_VALUE"""),"kin*****@yahoo.com.tw")</f>
        <v>kin*****@yahoo.com.tw</v>
      </c>
      <c r="E3857" s="17" t="str">
        <f>IFERROR(__xludf.DUMMYFUNCTION("""COMPUTED_VALUE"""),"高雄市楠梓區油廠國民小學")</f>
        <v>高雄市楠梓區油廠國民小學</v>
      </c>
      <c r="F3857" s="14" t="str">
        <f>IFERROR(__xludf.DUMMYFUNCTION("""COMPUTED_VALUE"""),"五年級")</f>
        <v>五年級</v>
      </c>
      <c r="G3857" s="14" t="str">
        <f>IFERROR(__xludf.DUMMYFUNCTION("""COMPUTED_VALUE"""),"獎狀")</f>
        <v>獎狀</v>
      </c>
      <c r="H3857" s="8"/>
    </row>
    <row r="3858">
      <c r="A3858" s="18"/>
      <c r="B3858" s="14">
        <f>IFERROR(__xludf.DUMMYFUNCTION("""COMPUTED_VALUE"""),703359.0)</f>
        <v>703359</v>
      </c>
      <c r="C3858" s="14" t="str">
        <f>IFERROR(__xludf.DUMMYFUNCTION("""COMPUTED_VALUE"""),"蘇羣程")</f>
        <v>蘇羣程</v>
      </c>
      <c r="D3858" s="16" t="str">
        <f>IFERROR(__xludf.DUMMYFUNCTION("""COMPUTED_VALUE"""),"elv*****9@mail.edu.tw")</f>
        <v>elv*****9@mail.edu.tw</v>
      </c>
      <c r="E3858" s="17" t="str">
        <f>IFERROR(__xludf.DUMMYFUNCTION("""COMPUTED_VALUE"""),"高雄市楠梓區楠陽國民小學")</f>
        <v>高雄市楠梓區楠陽國民小學</v>
      </c>
      <c r="F3858" s="14" t="str">
        <f>IFERROR(__xludf.DUMMYFUNCTION("""COMPUTED_VALUE"""),"五年級")</f>
        <v>五年級</v>
      </c>
      <c r="G3858" s="14" t="str">
        <f>IFERROR(__xludf.DUMMYFUNCTION("""COMPUTED_VALUE"""),"獎狀")</f>
        <v>獎狀</v>
      </c>
      <c r="H3858" s="8"/>
    </row>
    <row r="3859">
      <c r="A3859" s="18"/>
      <c r="B3859" s="14">
        <f>IFERROR(__xludf.DUMMYFUNCTION("""COMPUTED_VALUE"""),1202628.0)</f>
        <v>1202628</v>
      </c>
      <c r="C3859" s="14" t="str">
        <f>IFERROR(__xludf.DUMMYFUNCTION("""COMPUTED_VALUE"""),"林柏安")</f>
        <v>林柏安</v>
      </c>
      <c r="D3859" s="16" t="str">
        <f>IFERROR(__xludf.DUMMYFUNCTION("""COMPUTED_VALUE"""),"109*****pjh.kh.edu.tw")</f>
        <v>109*****pjh.kh.edu.tw</v>
      </c>
      <c r="E3859" s="17" t="str">
        <f>IFERROR(__xludf.DUMMYFUNCTION("""COMPUTED_VALUE"""),"高雄市立翠屏國民中小學國小部")</f>
        <v>高雄市立翠屏國民中小學國小部</v>
      </c>
      <c r="F3859" s="14" t="str">
        <f>IFERROR(__xludf.DUMMYFUNCTION("""COMPUTED_VALUE"""),"三年級")</f>
        <v>三年級</v>
      </c>
      <c r="G3859" s="14" t="str">
        <f>IFERROR(__xludf.DUMMYFUNCTION("""COMPUTED_VALUE"""),"獎狀")</f>
        <v>獎狀</v>
      </c>
      <c r="H3859" s="8"/>
    </row>
    <row r="3860">
      <c r="A3860" s="18"/>
      <c r="B3860" s="14">
        <f>IFERROR(__xludf.DUMMYFUNCTION("""COMPUTED_VALUE"""),241650.0)</f>
        <v>241650</v>
      </c>
      <c r="C3860" s="14" t="str">
        <f>IFERROR(__xludf.DUMMYFUNCTION("""COMPUTED_VALUE"""),"陳泓瑀")</f>
        <v>陳泓瑀</v>
      </c>
      <c r="D3860" s="16" t="str">
        <f>IFERROR(__xludf.DUMMYFUNCTION("""COMPUTED_VALUE"""),"s06*****.kh@mail.edu.tw")</f>
        <v>s06*****.kh@mail.edu.tw</v>
      </c>
      <c r="E3860" s="17" t="str">
        <f>IFERROR(__xludf.DUMMYFUNCTION("""COMPUTED_VALUE"""),"高雄市楠梓區加昌國民小學")</f>
        <v>高雄市楠梓區加昌國民小學</v>
      </c>
      <c r="F3860" s="14" t="str">
        <f>IFERROR(__xludf.DUMMYFUNCTION("""COMPUTED_VALUE"""),"六年級")</f>
        <v>六年級</v>
      </c>
      <c r="G3860" s="14" t="str">
        <f>IFERROR(__xludf.DUMMYFUNCTION("""COMPUTED_VALUE"""),"獎狀")</f>
        <v>獎狀</v>
      </c>
      <c r="H3860" s="8"/>
    </row>
    <row r="3861">
      <c r="A3861" s="18"/>
      <c r="B3861" s="14">
        <f>IFERROR(__xludf.DUMMYFUNCTION("""COMPUTED_VALUE"""),1149186.0)</f>
        <v>1149186</v>
      </c>
      <c r="C3861" s="14" t="str">
        <f>IFERROR(__xludf.DUMMYFUNCTION("""COMPUTED_VALUE"""),"陳又慈")</f>
        <v>陳又慈</v>
      </c>
      <c r="D3861" s="16" t="str">
        <f>IFERROR(__xludf.DUMMYFUNCTION("""COMPUTED_VALUE"""),"som*****2550@gmail.com")</f>
        <v>som*****2550@gmail.com</v>
      </c>
      <c r="E3861" s="17" t="str">
        <f>IFERROR(__xludf.DUMMYFUNCTION("""COMPUTED_VALUE"""),"高雄市小港區小港國民小學")</f>
        <v>高雄市小港區小港國民小學</v>
      </c>
      <c r="F3861" s="14" t="str">
        <f>IFERROR(__xludf.DUMMYFUNCTION("""COMPUTED_VALUE"""),"五年級")</f>
        <v>五年級</v>
      </c>
      <c r="G3861" s="14" t="str">
        <f>IFERROR(__xludf.DUMMYFUNCTION("""COMPUTED_VALUE"""),"獎狀")</f>
        <v>獎狀</v>
      </c>
      <c r="H3861" s="8"/>
    </row>
    <row r="3862">
      <c r="A3862" s="18"/>
      <c r="B3862" s="14">
        <f>IFERROR(__xludf.DUMMYFUNCTION("""COMPUTED_VALUE"""),867974.0)</f>
        <v>867974</v>
      </c>
      <c r="C3862" s="14" t="str">
        <f>IFERROR(__xludf.DUMMYFUNCTION("""COMPUTED_VALUE"""),"陳薇亘")</f>
        <v>陳薇亘</v>
      </c>
      <c r="D3862" s="16" t="str">
        <f>IFERROR(__xludf.DUMMYFUNCTION("""COMPUTED_VALUE"""),"iri*****22@gmail.com")</f>
        <v>iri*****22@gmail.com</v>
      </c>
      <c r="E3862" s="17" t="str">
        <f>IFERROR(__xludf.DUMMYFUNCTION("""COMPUTED_VALUE"""),"高雄市小港區二苓國民小學")</f>
        <v>高雄市小港區二苓國民小學</v>
      </c>
      <c r="F3862" s="14" t="str">
        <f>IFERROR(__xludf.DUMMYFUNCTION("""COMPUTED_VALUE"""),"六年級")</f>
        <v>六年級</v>
      </c>
      <c r="G3862" s="14" t="str">
        <f>IFERROR(__xludf.DUMMYFUNCTION("""COMPUTED_VALUE"""),"●小禮物")</f>
        <v>●小禮物</v>
      </c>
      <c r="H3862" s="8"/>
    </row>
    <row r="3863">
      <c r="A3863" s="18"/>
      <c r="B3863" s="14">
        <f>IFERROR(__xludf.DUMMYFUNCTION("""COMPUTED_VALUE"""),907168.0)</f>
        <v>907168</v>
      </c>
      <c r="C3863" s="14" t="str">
        <f>IFERROR(__xludf.DUMMYFUNCTION("""COMPUTED_VALUE"""),"洪楷軒")</f>
        <v>洪楷軒</v>
      </c>
      <c r="D3863" s="16" t="str">
        <f>IFERROR(__xludf.DUMMYFUNCTION("""COMPUTED_VALUE"""),"all*****3411@gmail.com")</f>
        <v>all*****3411@gmail.com</v>
      </c>
      <c r="E3863" s="17" t="str">
        <f>IFERROR(__xludf.DUMMYFUNCTION("""COMPUTED_VALUE"""),"高雄市左營區新上國民小學")</f>
        <v>高雄市左營區新上國民小學</v>
      </c>
      <c r="F3863" s="14" t="str">
        <f>IFERROR(__xludf.DUMMYFUNCTION("""COMPUTED_VALUE"""),"四年級")</f>
        <v>四年級</v>
      </c>
      <c r="G3863" s="14" t="str">
        <f>IFERROR(__xludf.DUMMYFUNCTION("""COMPUTED_VALUE"""),"●小禮物")</f>
        <v>●小禮物</v>
      </c>
      <c r="H3863" s="8"/>
    </row>
    <row r="3864">
      <c r="A3864" s="18"/>
      <c r="B3864" s="14">
        <f>IFERROR(__xludf.DUMMYFUNCTION("""COMPUTED_VALUE"""),984034.0)</f>
        <v>984034</v>
      </c>
      <c r="C3864" s="14" t="str">
        <f>IFERROR(__xludf.DUMMYFUNCTION("""COMPUTED_VALUE"""),"葉沛玹")</f>
        <v>葉沛玹</v>
      </c>
      <c r="D3864" s="16" t="str">
        <f>IFERROR(__xludf.DUMMYFUNCTION("""COMPUTED_VALUE"""),"psy*****@gmail.com")</f>
        <v>psy*****@gmail.com</v>
      </c>
      <c r="E3864" s="17" t="str">
        <f>IFERROR(__xludf.DUMMYFUNCTION("""COMPUTED_VALUE"""),"高雄市左營區新上國民小學")</f>
        <v>高雄市左營區新上國民小學</v>
      </c>
      <c r="F3864" s="14" t="str">
        <f>IFERROR(__xludf.DUMMYFUNCTION("""COMPUTED_VALUE"""),"四年級")</f>
        <v>四年級</v>
      </c>
      <c r="G3864" s="14" t="str">
        <f>IFERROR(__xludf.DUMMYFUNCTION("""COMPUTED_VALUE"""),"獎狀")</f>
        <v>獎狀</v>
      </c>
      <c r="H3864" s="8"/>
    </row>
    <row r="3865">
      <c r="A3865" s="18"/>
      <c r="B3865" s="14">
        <f>IFERROR(__xludf.DUMMYFUNCTION("""COMPUTED_VALUE"""),998518.0)</f>
        <v>998518</v>
      </c>
      <c r="C3865" s="14" t="str">
        <f>IFERROR(__xludf.DUMMYFUNCTION("""COMPUTED_VALUE"""),"劉韋伶")</f>
        <v>劉韋伶</v>
      </c>
      <c r="D3865" s="16" t="str">
        <f>IFERROR(__xludf.DUMMYFUNCTION("""COMPUTED_VALUE"""),"s06*****@go.edu.tw")</f>
        <v>s06*****@go.edu.tw</v>
      </c>
      <c r="E3865" s="17" t="str">
        <f>IFERROR(__xludf.DUMMYFUNCTION("""COMPUTED_VALUE"""),"高雄市左營區新上國民小學")</f>
        <v>高雄市左營區新上國民小學</v>
      </c>
      <c r="F3865" s="14" t="str">
        <f>IFERROR(__xludf.DUMMYFUNCTION("""COMPUTED_VALUE"""),"六年級")</f>
        <v>六年級</v>
      </c>
      <c r="G3865" s="14" t="str">
        <f>IFERROR(__xludf.DUMMYFUNCTION("""COMPUTED_VALUE"""),"獎狀")</f>
        <v>獎狀</v>
      </c>
      <c r="H3865" s="8"/>
    </row>
    <row r="3866">
      <c r="A3866" s="18"/>
      <c r="B3866" s="14">
        <f>IFERROR(__xludf.DUMMYFUNCTION("""COMPUTED_VALUE"""),862226.0)</f>
        <v>862226</v>
      </c>
      <c r="C3866" s="14" t="str">
        <f>IFERROR(__xludf.DUMMYFUNCTION("""COMPUTED_VALUE"""),"顏上豪")</f>
        <v>顏上豪</v>
      </c>
      <c r="D3866" s="16" t="str">
        <f>IFERROR(__xludf.DUMMYFUNCTION("""COMPUTED_VALUE"""),"s08*****.kh@mail.edu.tw")</f>
        <v>s08*****.kh@mail.edu.tw</v>
      </c>
      <c r="E3866" s="17" t="str">
        <f>IFERROR(__xludf.DUMMYFUNCTION("""COMPUTED_VALUE"""),"高雄市左營區文府國民小學")</f>
        <v>高雄市左營區文府國民小學</v>
      </c>
      <c r="F3866" s="14" t="str">
        <f>IFERROR(__xludf.DUMMYFUNCTION("""COMPUTED_VALUE"""),"四年級")</f>
        <v>四年級</v>
      </c>
      <c r="G3866" s="14" t="str">
        <f>IFERROR(__xludf.DUMMYFUNCTION("""COMPUTED_VALUE"""),"獎狀")</f>
        <v>獎狀</v>
      </c>
      <c r="H3866" s="8"/>
    </row>
    <row r="3867">
      <c r="A3867" s="18"/>
      <c r="B3867" s="14">
        <f>IFERROR(__xludf.DUMMYFUNCTION("""COMPUTED_VALUE"""),390939.0)</f>
        <v>390939</v>
      </c>
      <c r="C3867" s="14" t="str">
        <f>IFERROR(__xludf.DUMMYFUNCTION("""COMPUTED_VALUE"""),"顏上博")</f>
        <v>顏上博</v>
      </c>
      <c r="D3867" s="16" t="str">
        <f>IFERROR(__xludf.DUMMYFUNCTION("""COMPUTED_VALUE"""),"s06*****.kh@mail.edu.tw")</f>
        <v>s06*****.kh@mail.edu.tw</v>
      </c>
      <c r="E3867" s="17" t="str">
        <f>IFERROR(__xludf.DUMMYFUNCTION("""COMPUTED_VALUE"""),"高雄市左營區文府國民小學")</f>
        <v>高雄市左營區文府國民小學</v>
      </c>
      <c r="F3867" s="14" t="str">
        <f>IFERROR(__xludf.DUMMYFUNCTION("""COMPUTED_VALUE"""),"六年級")</f>
        <v>六年級</v>
      </c>
      <c r="G3867" s="14" t="str">
        <f>IFERROR(__xludf.DUMMYFUNCTION("""COMPUTED_VALUE"""),"獎狀")</f>
        <v>獎狀</v>
      </c>
      <c r="H3867" s="8"/>
    </row>
    <row r="3868">
      <c r="A3868" s="18"/>
      <c r="B3868" s="14">
        <f>IFERROR(__xludf.DUMMYFUNCTION("""COMPUTED_VALUE"""),937171.0)</f>
        <v>937171</v>
      </c>
      <c r="C3868" s="14" t="str">
        <f>IFERROR(__xludf.DUMMYFUNCTION("""COMPUTED_VALUE"""),"張兆陞")</f>
        <v>張兆陞</v>
      </c>
      <c r="D3868" s="16" t="str">
        <f>IFERROR(__xludf.DUMMYFUNCTION("""COMPUTED_VALUE"""),"jas*****ang@mail.edu.tw")</f>
        <v>jas*****ang@mail.edu.tw</v>
      </c>
      <c r="E3868" s="17" t="str">
        <f>IFERROR(__xludf.DUMMYFUNCTION("""COMPUTED_VALUE"""),"高雄市左營區新民國民小學")</f>
        <v>高雄市左營區新民國民小學</v>
      </c>
      <c r="F3868" s="14" t="str">
        <f>IFERROR(__xludf.DUMMYFUNCTION("""COMPUTED_VALUE"""),"六年級")</f>
        <v>六年級</v>
      </c>
      <c r="G3868" s="14" t="str">
        <f>IFERROR(__xludf.DUMMYFUNCTION("""COMPUTED_VALUE"""),"獎狀")</f>
        <v>獎狀</v>
      </c>
      <c r="H3868" s="8"/>
    </row>
    <row r="3869">
      <c r="A3869" s="18"/>
      <c r="B3869" s="14">
        <f>IFERROR(__xludf.DUMMYFUNCTION("""COMPUTED_VALUE"""),1073720.0)</f>
        <v>1073720</v>
      </c>
      <c r="C3869" s="14" t="str">
        <f>IFERROR(__xludf.DUMMYFUNCTION("""COMPUTED_VALUE"""),"洪朋煒")</f>
        <v>洪朋煒</v>
      </c>
      <c r="D3869" s="16" t="str">
        <f>IFERROR(__xludf.DUMMYFUNCTION("""COMPUTED_VALUE"""),"s08*****.kh@mail.edu.tw")</f>
        <v>s08*****.kh@mail.edu.tw</v>
      </c>
      <c r="E3869" s="17" t="str">
        <f>IFERROR(__xludf.DUMMYFUNCTION("""COMPUTED_VALUE"""),"高雄市左營區新光國民小學")</f>
        <v>高雄市左營區新光國民小學</v>
      </c>
      <c r="F3869" s="14" t="str">
        <f>IFERROR(__xludf.DUMMYFUNCTION("""COMPUTED_VALUE"""),"四年級")</f>
        <v>四年級</v>
      </c>
      <c r="G3869" s="14" t="str">
        <f>IFERROR(__xludf.DUMMYFUNCTION("""COMPUTED_VALUE"""),"獎狀")</f>
        <v>獎狀</v>
      </c>
      <c r="H3869" s="8"/>
    </row>
    <row r="3870">
      <c r="A3870" s="18"/>
      <c r="B3870" s="14">
        <f>IFERROR(__xludf.DUMMYFUNCTION("""COMPUTED_VALUE"""),1201325.0)</f>
        <v>1201325</v>
      </c>
      <c r="C3870" s="14" t="str">
        <f>IFERROR(__xludf.DUMMYFUNCTION("""COMPUTED_VALUE"""),"劉書榮")</f>
        <v>劉書榮</v>
      </c>
      <c r="D3870" s="16" t="str">
        <f>IFERROR(__xludf.DUMMYFUNCTION("""COMPUTED_VALUE"""),"s08*****.kh@go.edu.tw")</f>
        <v>s08*****.kh@go.edu.tw</v>
      </c>
      <c r="E3870" s="17" t="str">
        <f>IFERROR(__xludf.DUMMYFUNCTION("""COMPUTED_VALUE"""),"高雄市左營區新光國民小學")</f>
        <v>高雄市左營區新光國民小學</v>
      </c>
      <c r="F3870" s="14" t="str">
        <f>IFERROR(__xludf.DUMMYFUNCTION("""COMPUTED_VALUE"""),"四年級")</f>
        <v>四年級</v>
      </c>
      <c r="G3870" s="14" t="str">
        <f>IFERROR(__xludf.DUMMYFUNCTION("""COMPUTED_VALUE"""),"獎狀")</f>
        <v>獎狀</v>
      </c>
      <c r="H3870" s="8"/>
    </row>
    <row r="3871">
      <c r="A3871" s="18"/>
      <c r="B3871" s="14">
        <f>IFERROR(__xludf.DUMMYFUNCTION("""COMPUTED_VALUE"""),1171157.0)</f>
        <v>1171157</v>
      </c>
      <c r="C3871" s="14" t="str">
        <f>IFERROR(__xludf.DUMMYFUNCTION("""COMPUTED_VALUE"""),"呂妍潔")</f>
        <v>呂妍潔</v>
      </c>
      <c r="D3871" s="16" t="str">
        <f>IFERROR(__xludf.DUMMYFUNCTION("""COMPUTED_VALUE"""),"s07*****.kh@go.edu.tw")</f>
        <v>s07*****.kh@go.edu.tw</v>
      </c>
      <c r="E3871" s="17" t="str">
        <f>IFERROR(__xludf.DUMMYFUNCTION("""COMPUTED_VALUE"""),"高雄市左營區新光國民小學")</f>
        <v>高雄市左營區新光國民小學</v>
      </c>
      <c r="F3871" s="14" t="str">
        <f>IFERROR(__xludf.DUMMYFUNCTION("""COMPUTED_VALUE"""),"五年級")</f>
        <v>五年級</v>
      </c>
      <c r="G3871" s="14" t="str">
        <f>IFERROR(__xludf.DUMMYFUNCTION("""COMPUTED_VALUE"""),"★禮券$500")</f>
        <v>★禮券$500</v>
      </c>
      <c r="H3871" s="8"/>
    </row>
    <row r="3872">
      <c r="A3872" s="18"/>
      <c r="B3872" s="14">
        <f>IFERROR(__xludf.DUMMYFUNCTION("""COMPUTED_VALUE"""),1190446.0)</f>
        <v>1190446</v>
      </c>
      <c r="C3872" s="14" t="str">
        <f>IFERROR(__xludf.DUMMYFUNCTION("""COMPUTED_VALUE"""),"黃彥璋")</f>
        <v>黃彥璋</v>
      </c>
      <c r="D3872" s="16" t="str">
        <f>IFERROR(__xludf.DUMMYFUNCTION("""COMPUTED_VALUE"""),"s06*****.frog@mail.edu.tw")</f>
        <v>s06*****.frog@mail.edu.tw</v>
      </c>
      <c r="E3872" s="17" t="str">
        <f>IFERROR(__xludf.DUMMYFUNCTION("""COMPUTED_VALUE"""),"高雄市左營區新莊國民小學")</f>
        <v>高雄市左營區新莊國民小學</v>
      </c>
      <c r="F3872" s="14" t="str">
        <f>IFERROR(__xludf.DUMMYFUNCTION("""COMPUTED_VALUE"""),"六年級")</f>
        <v>六年級</v>
      </c>
      <c r="G3872" s="14" t="str">
        <f>IFERROR(__xludf.DUMMYFUNCTION("""COMPUTED_VALUE"""),"●小禮物")</f>
        <v>●小禮物</v>
      </c>
      <c r="H3872" s="8"/>
    </row>
    <row r="3873">
      <c r="A3873" s="18"/>
      <c r="B3873" s="14">
        <f>IFERROR(__xludf.DUMMYFUNCTION("""COMPUTED_VALUE"""),1199026.0)</f>
        <v>1199026</v>
      </c>
      <c r="C3873" s="14" t="str">
        <f>IFERROR(__xludf.DUMMYFUNCTION("""COMPUTED_VALUE"""),"蘇晉辰")</f>
        <v>蘇晉辰</v>
      </c>
      <c r="D3873" s="16" t="str">
        <f>IFERROR(__xludf.DUMMYFUNCTION("""COMPUTED_VALUE"""),"sar*****fish@gmail.com")</f>
        <v>sar*****fish@gmail.com</v>
      </c>
      <c r="E3873" s="17" t="str">
        <f>IFERROR(__xludf.DUMMYFUNCTION("""COMPUTED_VALUE"""),"高雄美國學校")</f>
        <v>高雄美國學校</v>
      </c>
      <c r="F3873" s="14" t="str">
        <f>IFERROR(__xludf.DUMMYFUNCTION("""COMPUTED_VALUE"""),"五年級")</f>
        <v>五年級</v>
      </c>
      <c r="G3873" s="14" t="str">
        <f>IFERROR(__xludf.DUMMYFUNCTION("""COMPUTED_VALUE"""),"獎狀")</f>
        <v>獎狀</v>
      </c>
      <c r="H3873" s="8"/>
    </row>
    <row r="3874">
      <c r="A3874" s="18"/>
      <c r="B3874" s="14">
        <f>IFERROR(__xludf.DUMMYFUNCTION("""COMPUTED_VALUE"""),1115183.0)</f>
        <v>1115183</v>
      </c>
      <c r="C3874" s="14" t="str">
        <f>IFERROR(__xludf.DUMMYFUNCTION("""COMPUTED_VALUE"""),"吳夏安")</f>
        <v>吳夏安</v>
      </c>
      <c r="D3874" s="16" t="str">
        <f>IFERROR(__xludf.DUMMYFUNCTION("""COMPUTED_VALUE"""),"s06*****.kh@go.edu.tw")</f>
        <v>s06*****.kh@go.edu.tw</v>
      </c>
      <c r="E3874" s="17" t="str">
        <f>IFERROR(__xludf.DUMMYFUNCTION("""COMPUTED_VALUE"""),"高雄市左營區舊城國民小學")</f>
        <v>高雄市左營區舊城國民小學</v>
      </c>
      <c r="F3874" s="14" t="str">
        <f>IFERROR(__xludf.DUMMYFUNCTION("""COMPUTED_VALUE"""),"六年級")</f>
        <v>六年級</v>
      </c>
      <c r="G3874" s="14" t="str">
        <f>IFERROR(__xludf.DUMMYFUNCTION("""COMPUTED_VALUE"""),"獎狀")</f>
        <v>獎狀</v>
      </c>
      <c r="H3874" s="8"/>
    </row>
    <row r="3875">
      <c r="A3875" s="18"/>
      <c r="B3875" s="14">
        <f>IFERROR(__xludf.DUMMYFUNCTION("""COMPUTED_VALUE"""),1187235.0)</f>
        <v>1187235</v>
      </c>
      <c r="C3875" s="14" t="str">
        <f>IFERROR(__xludf.DUMMYFUNCTION("""COMPUTED_VALUE"""),"王宥棋")</f>
        <v>王宥棋</v>
      </c>
      <c r="D3875" s="16" t="str">
        <f>IFERROR(__xludf.DUMMYFUNCTION("""COMPUTED_VALUE"""),"s06*****.kh@mail.edu.tw")</f>
        <v>s06*****.kh@mail.edu.tw</v>
      </c>
      <c r="E3875" s="17" t="str">
        <f>IFERROR(__xludf.DUMMYFUNCTION("""COMPUTED_VALUE"""),"高雄市仁武區仁武國民小學")</f>
        <v>高雄市仁武區仁武國民小學</v>
      </c>
      <c r="F3875" s="14" t="str">
        <f>IFERROR(__xludf.DUMMYFUNCTION("""COMPUTED_VALUE"""),"六年級")</f>
        <v>六年級</v>
      </c>
      <c r="G3875" s="14" t="str">
        <f>IFERROR(__xludf.DUMMYFUNCTION("""COMPUTED_VALUE"""),"獎狀")</f>
        <v>獎狀</v>
      </c>
      <c r="H3875" s="8"/>
    </row>
    <row r="3876">
      <c r="A3876" s="18"/>
      <c r="B3876" s="14">
        <f>IFERROR(__xludf.DUMMYFUNCTION("""COMPUTED_VALUE"""),941683.0)</f>
        <v>941683</v>
      </c>
      <c r="C3876" s="14" t="str">
        <f>IFERROR(__xludf.DUMMYFUNCTION("""COMPUTED_VALUE"""),"陳以淇")</f>
        <v>陳以淇</v>
      </c>
      <c r="D3876" s="16" t="str">
        <f>IFERROR(__xludf.DUMMYFUNCTION("""COMPUTED_VALUE"""),"fan*****cerich@gmail.com")</f>
        <v>fan*****cerich@gmail.com</v>
      </c>
      <c r="E3876" s="17" t="str">
        <f>IFERROR(__xludf.DUMMYFUNCTION("""COMPUTED_VALUE"""),"高雄市仁武區登發國民小學")</f>
        <v>高雄市仁武區登發國民小學</v>
      </c>
      <c r="F3876" s="14" t="str">
        <f>IFERROR(__xludf.DUMMYFUNCTION("""COMPUTED_VALUE"""),"五年級")</f>
        <v>五年級</v>
      </c>
      <c r="G3876" s="14" t="str">
        <f>IFERROR(__xludf.DUMMYFUNCTION("""COMPUTED_VALUE"""),"獎狀")</f>
        <v>獎狀</v>
      </c>
      <c r="H3876" s="8"/>
    </row>
    <row r="3877">
      <c r="A3877" s="18"/>
      <c r="B3877" s="14">
        <f>IFERROR(__xludf.DUMMYFUNCTION("""COMPUTED_VALUE"""),1189915.0)</f>
        <v>1189915</v>
      </c>
      <c r="C3877" s="14" t="str">
        <f>IFERROR(__xludf.DUMMYFUNCTION("""COMPUTED_VALUE"""),"陳玠樺")</f>
        <v>陳玠樺</v>
      </c>
      <c r="D3877" s="16" t="str">
        <f>IFERROR(__xludf.DUMMYFUNCTION("""COMPUTED_VALUE"""),"109*****fp.kh.edu.tw")</f>
        <v>109*****fp.kh.edu.tw</v>
      </c>
      <c r="E3877" s="17" t="str">
        <f>IFERROR(__xludf.DUMMYFUNCTION("""COMPUTED_VALUE"""),"高雄市岡山區前峰國民小學")</f>
        <v>高雄市岡山區前峰國民小學</v>
      </c>
      <c r="F3877" s="14" t="str">
        <f>IFERROR(__xludf.DUMMYFUNCTION("""COMPUTED_VALUE"""),"三年級")</f>
        <v>三年級</v>
      </c>
      <c r="G3877" s="14" t="str">
        <f>IFERROR(__xludf.DUMMYFUNCTION("""COMPUTED_VALUE"""),"獎狀")</f>
        <v>獎狀</v>
      </c>
      <c r="H3877" s="8"/>
    </row>
    <row r="3878">
      <c r="A3878" s="18"/>
      <c r="B3878" s="14">
        <f>IFERROR(__xludf.DUMMYFUNCTION("""COMPUTED_VALUE"""),697728.0)</f>
        <v>697728</v>
      </c>
      <c r="C3878" s="14" t="str">
        <f>IFERROR(__xludf.DUMMYFUNCTION("""COMPUTED_VALUE"""),"徐晨睿")</f>
        <v>徐晨睿</v>
      </c>
      <c r="D3878" s="16" t="str">
        <f>IFERROR(__xludf.DUMMYFUNCTION("""COMPUTED_VALUE"""),"s08*****.kh@mail.edu.tw")</f>
        <v>s08*****.kh@mail.edu.tw</v>
      </c>
      <c r="E3878" s="17" t="str">
        <f>IFERROR(__xludf.DUMMYFUNCTION("""COMPUTED_VALUE"""),"高雄市岡山區前峰國民小學")</f>
        <v>高雄市岡山區前峰國民小學</v>
      </c>
      <c r="F3878" s="14" t="str">
        <f>IFERROR(__xludf.DUMMYFUNCTION("""COMPUTED_VALUE"""),"四年級")</f>
        <v>四年級</v>
      </c>
      <c r="G3878" s="14" t="str">
        <f>IFERROR(__xludf.DUMMYFUNCTION("""COMPUTED_VALUE"""),"獎狀")</f>
        <v>獎狀</v>
      </c>
      <c r="H3878" s="8"/>
    </row>
    <row r="3879">
      <c r="A3879" s="18"/>
      <c r="B3879" s="14">
        <f>IFERROR(__xludf.DUMMYFUNCTION("""COMPUTED_VALUE"""),248621.0)</f>
        <v>248621</v>
      </c>
      <c r="C3879" s="14" t="str">
        <f>IFERROR(__xludf.DUMMYFUNCTION("""COMPUTED_VALUE"""),"徐婕容")</f>
        <v>徐婕容</v>
      </c>
      <c r="D3879" s="16" t="str">
        <f>IFERROR(__xludf.DUMMYFUNCTION("""COMPUTED_VALUE"""),"s07*****.kh@mail.edu.tw")</f>
        <v>s07*****.kh@mail.edu.tw</v>
      </c>
      <c r="E3879" s="17" t="str">
        <f>IFERROR(__xludf.DUMMYFUNCTION("""COMPUTED_VALUE"""),"高雄市岡山區前峰國民小學")</f>
        <v>高雄市岡山區前峰國民小學</v>
      </c>
      <c r="F3879" s="14" t="str">
        <f>IFERROR(__xludf.DUMMYFUNCTION("""COMPUTED_VALUE"""),"五年級")</f>
        <v>五年級</v>
      </c>
      <c r="G3879" s="14" t="str">
        <f>IFERROR(__xludf.DUMMYFUNCTION("""COMPUTED_VALUE"""),"●小禮物")</f>
        <v>●小禮物</v>
      </c>
      <c r="H3879" s="8"/>
    </row>
    <row r="3880">
      <c r="A3880" s="18"/>
      <c r="B3880" s="14">
        <f>IFERROR(__xludf.DUMMYFUNCTION("""COMPUTED_VALUE"""),742787.0)</f>
        <v>742787</v>
      </c>
      <c r="C3880" s="14" t="str">
        <f>IFERROR(__xludf.DUMMYFUNCTION("""COMPUTED_VALUE"""),"陳瀅丞")</f>
        <v>陳瀅丞</v>
      </c>
      <c r="D3880" s="16" t="str">
        <f>IFERROR(__xludf.DUMMYFUNCTION("""COMPUTED_VALUE"""),"107*****fp.kh.edu.tw")</f>
        <v>107*****fp.kh.edu.tw</v>
      </c>
      <c r="E3880" s="17" t="str">
        <f>IFERROR(__xludf.DUMMYFUNCTION("""COMPUTED_VALUE"""),"高雄市岡山區前峰國民小學")</f>
        <v>高雄市岡山區前峰國民小學</v>
      </c>
      <c r="F3880" s="14" t="str">
        <f>IFERROR(__xludf.DUMMYFUNCTION("""COMPUTED_VALUE"""),"五年級")</f>
        <v>五年級</v>
      </c>
      <c r="G3880" s="14" t="str">
        <f>IFERROR(__xludf.DUMMYFUNCTION("""COMPUTED_VALUE"""),"獎狀")</f>
        <v>獎狀</v>
      </c>
      <c r="H3880" s="8"/>
    </row>
    <row r="3881">
      <c r="A3881" s="18"/>
      <c r="B3881" s="14">
        <f>IFERROR(__xludf.DUMMYFUNCTION("""COMPUTED_VALUE"""),1116139.0)</f>
        <v>1116139</v>
      </c>
      <c r="C3881" s="14" t="str">
        <f>IFERROR(__xludf.DUMMYFUNCTION("""COMPUTED_VALUE"""),"孫萍玲")</f>
        <v>孫萍玲</v>
      </c>
      <c r="D3881" s="16" t="str">
        <f>IFERROR(__xludf.DUMMYFUNCTION("""COMPUTED_VALUE"""),"pen*****0430@gmail.com")</f>
        <v>pen*****0430@gmail.com</v>
      </c>
      <c r="E3881" s="17" t="str">
        <f>IFERROR(__xludf.DUMMYFUNCTION("""COMPUTED_VALUE"""),"高雄市岡山區壽天國民小學")</f>
        <v>高雄市岡山區壽天國民小學</v>
      </c>
      <c r="F3881" s="14" t="str">
        <f>IFERROR(__xludf.DUMMYFUNCTION("""COMPUTED_VALUE"""),"三年級")</f>
        <v>三年級</v>
      </c>
      <c r="G3881" s="14" t="str">
        <f>IFERROR(__xludf.DUMMYFUNCTION("""COMPUTED_VALUE"""),"●小禮物")</f>
        <v>●小禮物</v>
      </c>
      <c r="H3881" s="8"/>
    </row>
    <row r="3882">
      <c r="A3882" s="18"/>
      <c r="B3882" s="14">
        <f>IFERROR(__xludf.DUMMYFUNCTION("""COMPUTED_VALUE"""),204041.0)</f>
        <v>204041</v>
      </c>
      <c r="C3882" s="14" t="str">
        <f>IFERROR(__xludf.DUMMYFUNCTION("""COMPUTED_VALUE"""),"蔡品澄")</f>
        <v>蔡品澄</v>
      </c>
      <c r="D3882" s="16" t="str">
        <f>IFERROR(__xludf.DUMMYFUNCTION("""COMPUTED_VALUE"""),"a22*****@yahoo.com.tw")</f>
        <v>a22*****@yahoo.com.tw</v>
      </c>
      <c r="E3882" s="17" t="str">
        <f>IFERROR(__xludf.DUMMYFUNCTION("""COMPUTED_VALUE"""),"高雄市岡山區壽天國民小學")</f>
        <v>高雄市岡山區壽天國民小學</v>
      </c>
      <c r="F3882" s="14" t="str">
        <f>IFERROR(__xludf.DUMMYFUNCTION("""COMPUTED_VALUE"""),"五年級")</f>
        <v>五年級</v>
      </c>
      <c r="G3882" s="14" t="str">
        <f>IFERROR(__xludf.DUMMYFUNCTION("""COMPUTED_VALUE"""),"獎狀")</f>
        <v>獎狀</v>
      </c>
      <c r="H3882" s="8"/>
    </row>
    <row r="3883">
      <c r="A3883" s="18"/>
      <c r="B3883" s="14">
        <f>IFERROR(__xludf.DUMMYFUNCTION("""COMPUTED_VALUE"""),694536.0)</f>
        <v>694536</v>
      </c>
      <c r="C3883" s="14" t="str">
        <f>IFERROR(__xludf.DUMMYFUNCTION("""COMPUTED_VALUE"""),"孫瑋駿")</f>
        <v>孫瑋駿</v>
      </c>
      <c r="D3883" s="16" t="str">
        <f>IFERROR(__xludf.DUMMYFUNCTION("""COMPUTED_VALUE"""),"S07*****@stp.kh.edu.tw")</f>
        <v>S07*****@stp.kh.edu.tw</v>
      </c>
      <c r="E3883" s="17" t="str">
        <f>IFERROR(__xludf.DUMMYFUNCTION("""COMPUTED_VALUE"""),"高雄市岡山區壽天國民小學")</f>
        <v>高雄市岡山區壽天國民小學</v>
      </c>
      <c r="F3883" s="14" t="str">
        <f>IFERROR(__xludf.DUMMYFUNCTION("""COMPUTED_VALUE"""),"五年級")</f>
        <v>五年級</v>
      </c>
      <c r="G3883" s="14" t="str">
        <f>IFERROR(__xludf.DUMMYFUNCTION("""COMPUTED_VALUE"""),"●小禮物")</f>
        <v>●小禮物</v>
      </c>
      <c r="H3883" s="8"/>
    </row>
    <row r="3884">
      <c r="A3884" s="18"/>
      <c r="B3884" s="14">
        <f>IFERROR(__xludf.DUMMYFUNCTION("""COMPUTED_VALUE"""),398241.0)</f>
        <v>398241</v>
      </c>
      <c r="C3884" s="14" t="str">
        <f>IFERROR(__xludf.DUMMYFUNCTION("""COMPUTED_VALUE"""),"楊旻浚")</f>
        <v>楊旻浚</v>
      </c>
      <c r="D3884" s="16" t="str">
        <f>IFERROR(__xludf.DUMMYFUNCTION("""COMPUTED_VALUE"""),"s07*****.kh@mail.edu.tw")</f>
        <v>s07*****.kh@mail.edu.tw</v>
      </c>
      <c r="E3884" s="17" t="str">
        <f>IFERROR(__xludf.DUMMYFUNCTION("""COMPUTED_VALUE"""),"高雄市岡山區壽天國民小學")</f>
        <v>高雄市岡山區壽天國民小學</v>
      </c>
      <c r="F3884" s="14" t="str">
        <f>IFERROR(__xludf.DUMMYFUNCTION("""COMPUTED_VALUE"""),"五年級")</f>
        <v>五年級</v>
      </c>
      <c r="G3884" s="14" t="str">
        <f>IFERROR(__xludf.DUMMYFUNCTION("""COMPUTED_VALUE"""),"獎狀")</f>
        <v>獎狀</v>
      </c>
      <c r="H3884" s="8"/>
    </row>
    <row r="3885">
      <c r="A3885" s="18"/>
      <c r="B3885" s="14">
        <f>IFERROR(__xludf.DUMMYFUNCTION("""COMPUTED_VALUE"""),841975.0)</f>
        <v>841975</v>
      </c>
      <c r="C3885" s="14" t="str">
        <f>IFERROR(__xludf.DUMMYFUNCTION("""COMPUTED_VALUE"""),"賴宣佐")</f>
        <v>賴宣佐</v>
      </c>
      <c r="D3885" s="16" t="str">
        <f>IFERROR(__xludf.DUMMYFUNCTION("""COMPUTED_VALUE"""),"s09*****.kh@mail.edu.tw")</f>
        <v>s09*****.kh@mail.edu.tw</v>
      </c>
      <c r="E3885" s="17" t="str">
        <f>IFERROR(__xludf.DUMMYFUNCTION("""COMPUTED_VALUE"""),"高雄市路竹區一甲國民小學")</f>
        <v>高雄市路竹區一甲國民小學</v>
      </c>
      <c r="F3885" s="14" t="str">
        <f>IFERROR(__xludf.DUMMYFUNCTION("""COMPUTED_VALUE"""),"三年級")</f>
        <v>三年級</v>
      </c>
      <c r="G3885" s="14" t="str">
        <f>IFERROR(__xludf.DUMMYFUNCTION("""COMPUTED_VALUE"""),"獎狀")</f>
        <v>獎狀</v>
      </c>
      <c r="H3885" s="8"/>
    </row>
    <row r="3886">
      <c r="A3886" s="18"/>
      <c r="B3886" s="14">
        <f>IFERROR(__xludf.DUMMYFUNCTION("""COMPUTED_VALUE"""),304160.0)</f>
        <v>304160</v>
      </c>
      <c r="C3886" s="14" t="str">
        <f>IFERROR(__xludf.DUMMYFUNCTION("""COMPUTED_VALUE"""),"黃靖淳")</f>
        <v>黃靖淳</v>
      </c>
      <c r="D3886" s="16" t="str">
        <f>IFERROR(__xludf.DUMMYFUNCTION("""COMPUTED_VALUE"""),"cry*****011@mail.edu.tw")</f>
        <v>cry*****011@mail.edu.tw</v>
      </c>
      <c r="E3886" s="17" t="str">
        <f>IFERROR(__xludf.DUMMYFUNCTION("""COMPUTED_VALUE"""),"高雄市路竹區一甲國民小學")</f>
        <v>高雄市路竹區一甲國民小學</v>
      </c>
      <c r="F3886" s="14" t="str">
        <f>IFERROR(__xludf.DUMMYFUNCTION("""COMPUTED_VALUE"""),"四年級")</f>
        <v>四年級</v>
      </c>
      <c r="G3886" s="14" t="str">
        <f>IFERROR(__xludf.DUMMYFUNCTION("""COMPUTED_VALUE"""),"獎狀")</f>
        <v>獎狀</v>
      </c>
      <c r="H3886" s="8"/>
    </row>
    <row r="3887">
      <c r="A3887" s="18"/>
      <c r="B3887" s="14">
        <f>IFERROR(__xludf.DUMMYFUNCTION("""COMPUTED_VALUE"""),769588.0)</f>
        <v>769588</v>
      </c>
      <c r="C3887" s="14" t="str">
        <f>IFERROR(__xludf.DUMMYFUNCTION("""COMPUTED_VALUE"""),"郭芸秀")</f>
        <v>郭芸秀</v>
      </c>
      <c r="D3887" s="16" t="str">
        <f>IFERROR(__xludf.DUMMYFUNCTION("""COMPUTED_VALUE"""),"emm*****622@mail.edu.tw")</f>
        <v>emm*****622@mail.edu.tw</v>
      </c>
      <c r="E3887" s="17" t="str">
        <f>IFERROR(__xludf.DUMMYFUNCTION("""COMPUTED_VALUE"""),"高雄市阿蓮區阿蓮國民小學")</f>
        <v>高雄市阿蓮區阿蓮國民小學</v>
      </c>
      <c r="F3887" s="14" t="str">
        <f>IFERROR(__xludf.DUMMYFUNCTION("""COMPUTED_VALUE"""),"四年級")</f>
        <v>四年級</v>
      </c>
      <c r="G3887" s="14" t="str">
        <f>IFERROR(__xludf.DUMMYFUNCTION("""COMPUTED_VALUE"""),"獎狀")</f>
        <v>獎狀</v>
      </c>
      <c r="H3887" s="8"/>
    </row>
    <row r="3888">
      <c r="A3888" s="18"/>
      <c r="B3888" s="14">
        <f>IFERROR(__xludf.DUMMYFUNCTION("""COMPUTED_VALUE"""),833874.0)</f>
        <v>833874</v>
      </c>
      <c r="C3888" s="14" t="str">
        <f>IFERROR(__xludf.DUMMYFUNCTION("""COMPUTED_VALUE"""),"梁沛蓁")</f>
        <v>梁沛蓁</v>
      </c>
      <c r="D3888" s="16" t="str">
        <f>IFERROR(__xludf.DUMMYFUNCTION("""COMPUTED_VALUE"""),"s06*****.egg@mail.edu.tw")</f>
        <v>s06*****.egg@mail.edu.tw</v>
      </c>
      <c r="E3888" s="17" t="str">
        <f>IFERROR(__xludf.DUMMYFUNCTION("""COMPUTED_VALUE"""),"高雄市阿蓮區阿蓮國民小學")</f>
        <v>高雄市阿蓮區阿蓮國民小學</v>
      </c>
      <c r="F3888" s="14" t="str">
        <f>IFERROR(__xludf.DUMMYFUNCTION("""COMPUTED_VALUE"""),"六年級")</f>
        <v>六年級</v>
      </c>
      <c r="G3888" s="14" t="str">
        <f>IFERROR(__xludf.DUMMYFUNCTION("""COMPUTED_VALUE"""),"獎狀")</f>
        <v>獎狀</v>
      </c>
      <c r="H3888" s="8"/>
    </row>
    <row r="3889">
      <c r="A3889" s="18"/>
      <c r="B3889" s="14">
        <f>IFERROR(__xludf.DUMMYFUNCTION("""COMPUTED_VALUE"""),844835.0)</f>
        <v>844835</v>
      </c>
      <c r="C3889" s="14" t="str">
        <f>IFERROR(__xludf.DUMMYFUNCTION("""COMPUTED_VALUE"""),"張家瑜")</f>
        <v>張家瑜</v>
      </c>
      <c r="D3889" s="16" t="str">
        <f>IFERROR(__xludf.DUMMYFUNCTION("""COMPUTED_VALUE"""),"k10*****lp.kh.edu.tw")</f>
        <v>k10*****lp.kh.edu.tw</v>
      </c>
      <c r="E3889" s="17" t="str">
        <f>IFERROR(__xludf.DUMMYFUNCTION("""COMPUTED_VALUE"""),"高雄市梓官區蚵寮國民小學")</f>
        <v>高雄市梓官區蚵寮國民小學</v>
      </c>
      <c r="F3889" s="14" t="str">
        <f>IFERROR(__xludf.DUMMYFUNCTION("""COMPUTED_VALUE"""),"六年級")</f>
        <v>六年級</v>
      </c>
      <c r="G3889" s="14" t="str">
        <f>IFERROR(__xludf.DUMMYFUNCTION("""COMPUTED_VALUE"""),"獎狀")</f>
        <v>獎狀</v>
      </c>
      <c r="H3889" s="8"/>
    </row>
    <row r="3890">
      <c r="A3890" s="18"/>
      <c r="B3890" s="14">
        <f>IFERROR(__xludf.DUMMYFUNCTION("""COMPUTED_VALUE"""),185322.0)</f>
        <v>185322</v>
      </c>
      <c r="C3890" s="14" t="str">
        <f>IFERROR(__xludf.DUMMYFUNCTION("""COMPUTED_VALUE"""),"許家熒")</f>
        <v>許家熒</v>
      </c>
      <c r="D3890" s="16" t="str">
        <f>IFERROR(__xludf.DUMMYFUNCTION("""COMPUTED_VALUE"""),"pmg*****yahoo.com.tw")</f>
        <v>pmg*****yahoo.com.tw</v>
      </c>
      <c r="E3890" s="17" t="str">
        <f>IFERROR(__xludf.DUMMYFUNCTION("""COMPUTED_VALUE"""),"高雄市湖內區大湖國民小學")</f>
        <v>高雄市湖內區大湖國民小學</v>
      </c>
      <c r="F3890" s="14" t="str">
        <f>IFERROR(__xludf.DUMMYFUNCTION("""COMPUTED_VALUE"""),"五年級")</f>
        <v>五年級</v>
      </c>
      <c r="G3890" s="14" t="str">
        <f>IFERROR(__xludf.DUMMYFUNCTION("""COMPUTED_VALUE"""),"獎狀")</f>
        <v>獎狀</v>
      </c>
      <c r="H3890" s="8"/>
    </row>
    <row r="3891">
      <c r="A3891" s="18"/>
      <c r="B3891" s="14">
        <f>IFERROR(__xludf.DUMMYFUNCTION("""COMPUTED_VALUE"""),993320.0)</f>
        <v>993320</v>
      </c>
      <c r="C3891" s="14" t="str">
        <f>IFERROR(__xludf.DUMMYFUNCTION("""COMPUTED_VALUE"""),"陳浚霖")</f>
        <v>陳浚霖</v>
      </c>
      <c r="D3891" s="16" t="str">
        <f>IFERROR(__xludf.DUMMYFUNCTION("""COMPUTED_VALUE"""),"s08*****.kh@mail.edu.tw")</f>
        <v>s08*****.kh@mail.edu.tw</v>
      </c>
      <c r="E3891" s="17" t="str">
        <f>IFERROR(__xludf.DUMMYFUNCTION("""COMPUTED_VALUE"""),"高雄市鳳山區文華國民小學")</f>
        <v>高雄市鳳山區文華國民小學</v>
      </c>
      <c r="F3891" s="14" t="str">
        <f>IFERROR(__xludf.DUMMYFUNCTION("""COMPUTED_VALUE"""),"四年級")</f>
        <v>四年級</v>
      </c>
      <c r="G3891" s="14" t="str">
        <f>IFERROR(__xludf.DUMMYFUNCTION("""COMPUTED_VALUE"""),"●小禮物")</f>
        <v>●小禮物</v>
      </c>
      <c r="H3891" s="8"/>
    </row>
    <row r="3892">
      <c r="A3892" s="18"/>
      <c r="B3892" s="14">
        <f>IFERROR(__xludf.DUMMYFUNCTION("""COMPUTED_VALUE"""),815122.0)</f>
        <v>815122</v>
      </c>
      <c r="C3892" s="14" t="str">
        <f>IFERROR(__xludf.DUMMYFUNCTION("""COMPUTED_VALUE"""),"蔡英德")</f>
        <v>蔡英德</v>
      </c>
      <c r="D3892" s="16" t="str">
        <f>IFERROR(__xludf.DUMMYFUNCTION("""COMPUTED_VALUE"""),"s09*****.camel@mail.edu.tw")</f>
        <v>s09*****.camel@mail.edu.tw</v>
      </c>
      <c r="E3892" s="17" t="str">
        <f>IFERROR(__xludf.DUMMYFUNCTION("""COMPUTED_VALUE"""),"高雄市鳳山區文德國民小學")</f>
        <v>高雄市鳳山區文德國民小學</v>
      </c>
      <c r="F3892" s="14" t="str">
        <f>IFERROR(__xludf.DUMMYFUNCTION("""COMPUTED_VALUE"""),"三年級")</f>
        <v>三年級</v>
      </c>
      <c r="G3892" s="14" t="str">
        <f>IFERROR(__xludf.DUMMYFUNCTION("""COMPUTED_VALUE"""),"獎狀")</f>
        <v>獎狀</v>
      </c>
      <c r="H3892" s="8"/>
    </row>
    <row r="3893">
      <c r="A3893" s="18"/>
      <c r="B3893" s="14">
        <f>IFERROR(__xludf.DUMMYFUNCTION("""COMPUTED_VALUE"""),706282.0)</f>
        <v>706282</v>
      </c>
      <c r="C3893" s="14" t="str">
        <f>IFERROR(__xludf.DUMMYFUNCTION("""COMPUTED_VALUE"""),"高士凱")</f>
        <v>高士凱</v>
      </c>
      <c r="D3893" s="16" t="str">
        <f>IFERROR(__xludf.DUMMYFUNCTION("""COMPUTED_VALUE"""),"gam*****775@mail.edu.tw")</f>
        <v>gam*****775@mail.edu.tw</v>
      </c>
      <c r="E3893" s="17" t="str">
        <f>IFERROR(__xludf.DUMMYFUNCTION("""COMPUTED_VALUE"""),"高雄市鳳山區中山國民小學")</f>
        <v>高雄市鳳山區中山國民小學</v>
      </c>
      <c r="F3893" s="14" t="str">
        <f>IFERROR(__xludf.DUMMYFUNCTION("""COMPUTED_VALUE"""),"六年級")</f>
        <v>六年級</v>
      </c>
      <c r="G3893" s="14" t="str">
        <f>IFERROR(__xludf.DUMMYFUNCTION("""COMPUTED_VALUE"""),"獎狀")</f>
        <v>獎狀</v>
      </c>
      <c r="H3893" s="8"/>
    </row>
    <row r="3894">
      <c r="A3894" s="18"/>
      <c r="B3894" s="14">
        <f>IFERROR(__xludf.DUMMYFUNCTION("""COMPUTED_VALUE"""),1006406.0)</f>
        <v>1006406</v>
      </c>
      <c r="C3894" s="14" t="str">
        <f>IFERROR(__xludf.DUMMYFUNCTION("""COMPUTED_VALUE"""),"張哲晞")</f>
        <v>張哲晞</v>
      </c>
      <c r="D3894" s="16" t="str">
        <f>IFERROR(__xludf.DUMMYFUNCTION("""COMPUTED_VALUE"""),"s07*****.goat@mail.edu.tw")</f>
        <v>s07*****.goat@mail.edu.tw</v>
      </c>
      <c r="E3894" s="17" t="str">
        <f>IFERROR(__xludf.DUMMYFUNCTION("""COMPUTED_VALUE"""),"高雄市鳳山區福誠國民小學")</f>
        <v>高雄市鳳山區福誠國民小學</v>
      </c>
      <c r="F3894" s="14" t="str">
        <f>IFERROR(__xludf.DUMMYFUNCTION("""COMPUTED_VALUE"""),"五年級")</f>
        <v>五年級</v>
      </c>
      <c r="G3894" s="14" t="str">
        <f>IFERROR(__xludf.DUMMYFUNCTION("""COMPUTED_VALUE"""),"獎狀")</f>
        <v>獎狀</v>
      </c>
      <c r="H3894" s="8"/>
    </row>
    <row r="3895">
      <c r="A3895" s="18"/>
      <c r="B3895" s="14">
        <f>IFERROR(__xludf.DUMMYFUNCTION("""COMPUTED_VALUE"""),1001980.0)</f>
        <v>1001980</v>
      </c>
      <c r="C3895" s="14" t="str">
        <f>IFERROR(__xludf.DUMMYFUNCTION("""COMPUTED_VALUE"""),"張哲綸")</f>
        <v>張哲綸</v>
      </c>
      <c r="D3895" s="16" t="str">
        <f>IFERROR(__xludf.DUMMYFUNCTION("""COMPUTED_VALUE"""),"s07*****.cart@mail.edu.tw")</f>
        <v>s07*****.cart@mail.edu.tw</v>
      </c>
      <c r="E3895" s="17" t="str">
        <f>IFERROR(__xludf.DUMMYFUNCTION("""COMPUTED_VALUE"""),"高雄市鳳山區福誠國民小學")</f>
        <v>高雄市鳳山區福誠國民小學</v>
      </c>
      <c r="F3895" s="14" t="str">
        <f>IFERROR(__xludf.DUMMYFUNCTION("""COMPUTED_VALUE"""),"五年級")</f>
        <v>五年級</v>
      </c>
      <c r="G3895" s="14" t="str">
        <f>IFERROR(__xludf.DUMMYFUNCTION("""COMPUTED_VALUE"""),"●小禮物")</f>
        <v>●小禮物</v>
      </c>
      <c r="H3895" s="8"/>
    </row>
    <row r="3896">
      <c r="A3896" s="18"/>
      <c r="B3896" s="14">
        <f>IFERROR(__xludf.DUMMYFUNCTION("""COMPUTED_VALUE"""),960514.0)</f>
        <v>960514</v>
      </c>
      <c r="C3896" s="14" t="str">
        <f>IFERROR(__xludf.DUMMYFUNCTION("""COMPUTED_VALUE"""),"陳柏鑫")</f>
        <v>陳柏鑫</v>
      </c>
      <c r="D3896" s="16" t="str">
        <f>IFERROR(__xludf.DUMMYFUNCTION("""COMPUTED_VALUE"""),"s09*****.kh@mail.edu.tw")</f>
        <v>s09*****.kh@mail.edu.tw</v>
      </c>
      <c r="E3896" s="17" t="str">
        <f>IFERROR(__xludf.DUMMYFUNCTION("""COMPUTED_VALUE"""),"高雄市鳳山區新甲國民小學")</f>
        <v>高雄市鳳山區新甲國民小學</v>
      </c>
      <c r="F3896" s="14" t="str">
        <f>IFERROR(__xludf.DUMMYFUNCTION("""COMPUTED_VALUE"""),"三年級")</f>
        <v>三年級</v>
      </c>
      <c r="G3896" s="14" t="str">
        <f>IFERROR(__xludf.DUMMYFUNCTION("""COMPUTED_VALUE"""),"獎狀")</f>
        <v>獎狀</v>
      </c>
      <c r="H3896" s="8"/>
    </row>
    <row r="3897">
      <c r="A3897" s="18"/>
      <c r="B3897" s="14">
        <f>IFERROR(__xludf.DUMMYFUNCTION("""COMPUTED_VALUE"""),1209206.0)</f>
        <v>1209206</v>
      </c>
      <c r="C3897" s="14" t="str">
        <f>IFERROR(__xludf.DUMMYFUNCTION("""COMPUTED_VALUE"""),"謝承軒")</f>
        <v>謝承軒</v>
      </c>
      <c r="D3897" s="16" t="str">
        <f>IFERROR(__xludf.DUMMYFUNCTION("""COMPUTED_VALUE"""),"s11*****.kh@mail.edu.tw")</f>
        <v>s11*****.kh@mail.edu.tw</v>
      </c>
      <c r="E3897" s="17" t="str">
        <f>IFERROR(__xludf.DUMMYFUNCTION("""COMPUTED_VALUE"""),"高雄市鳳山區新甲國民小學")</f>
        <v>高雄市鳳山區新甲國民小學</v>
      </c>
      <c r="F3897" s="14" t="str">
        <f>IFERROR(__xludf.DUMMYFUNCTION("""COMPUTED_VALUE"""),"四年級")</f>
        <v>四年級</v>
      </c>
      <c r="G3897" s="14" t="str">
        <f>IFERROR(__xludf.DUMMYFUNCTION("""COMPUTED_VALUE"""),"獎狀")</f>
        <v>獎狀</v>
      </c>
      <c r="H3897" s="8"/>
    </row>
    <row r="3898">
      <c r="A3898" s="18"/>
      <c r="B3898" s="14">
        <f>IFERROR(__xludf.DUMMYFUNCTION("""COMPUTED_VALUE"""),1211054.0)</f>
        <v>1211054</v>
      </c>
      <c r="C3898" s="14" t="str">
        <f>IFERROR(__xludf.DUMMYFUNCTION("""COMPUTED_VALUE"""),"林品岑")</f>
        <v>林品岑</v>
      </c>
      <c r="D3898" s="16" t="str">
        <f>IFERROR(__xludf.DUMMYFUNCTION("""COMPUTED_VALUE"""),"s08*****.kh@mail.edu.tw")</f>
        <v>s08*****.kh@mail.edu.tw</v>
      </c>
      <c r="E3898" s="17" t="str">
        <f>IFERROR(__xludf.DUMMYFUNCTION("""COMPUTED_VALUE"""),"高雄市鳳山區新甲國民小學")</f>
        <v>高雄市鳳山區新甲國民小學</v>
      </c>
      <c r="F3898" s="14" t="str">
        <f>IFERROR(__xludf.DUMMYFUNCTION("""COMPUTED_VALUE"""),"四年級")</f>
        <v>四年級</v>
      </c>
      <c r="G3898" s="14" t="str">
        <f>IFERROR(__xludf.DUMMYFUNCTION("""COMPUTED_VALUE"""),"●小禮物")</f>
        <v>●小禮物</v>
      </c>
      <c r="H3898" s="8"/>
    </row>
    <row r="3899">
      <c r="A3899" s="18"/>
      <c r="B3899" s="14">
        <f>IFERROR(__xludf.DUMMYFUNCTION("""COMPUTED_VALUE"""),1211136.0)</f>
        <v>1211136</v>
      </c>
      <c r="C3899" s="14" t="str">
        <f>IFERROR(__xludf.DUMMYFUNCTION("""COMPUTED_VALUE"""),"陳品妘")</f>
        <v>陳品妘</v>
      </c>
      <c r="D3899" s="16" t="str">
        <f>IFERROR(__xludf.DUMMYFUNCTION("""COMPUTED_VALUE"""),"s08*****.kh@mail.edu.tw")</f>
        <v>s08*****.kh@mail.edu.tw</v>
      </c>
      <c r="E3899" s="17" t="str">
        <f>IFERROR(__xludf.DUMMYFUNCTION("""COMPUTED_VALUE"""),"高雄市鳳山區新甲國民小學")</f>
        <v>高雄市鳳山區新甲國民小學</v>
      </c>
      <c r="F3899" s="14" t="str">
        <f>IFERROR(__xludf.DUMMYFUNCTION("""COMPUTED_VALUE"""),"四年級")</f>
        <v>四年級</v>
      </c>
      <c r="G3899" s="14" t="str">
        <f>IFERROR(__xludf.DUMMYFUNCTION("""COMPUTED_VALUE"""),"獎狀")</f>
        <v>獎狀</v>
      </c>
      <c r="H3899" s="8"/>
    </row>
    <row r="3900">
      <c r="A3900" s="18"/>
      <c r="B3900" s="14">
        <f>IFERROR(__xludf.DUMMYFUNCTION("""COMPUTED_VALUE"""),1123248.0)</f>
        <v>1123248</v>
      </c>
      <c r="C3900" s="14" t="str">
        <f>IFERROR(__xludf.DUMMYFUNCTION("""COMPUTED_VALUE"""),"潘羿淇")</f>
        <v>潘羿淇</v>
      </c>
      <c r="D3900" s="16" t="str">
        <f>IFERROR(__xludf.DUMMYFUNCTION("""COMPUTED_VALUE"""),"jes*****an@mail.edu.tw")</f>
        <v>jes*****an@mail.edu.tw</v>
      </c>
      <c r="E3900" s="17" t="str">
        <f>IFERROR(__xludf.DUMMYFUNCTION("""COMPUTED_VALUE"""),"高雄市鳳山區過埤國民小學")</f>
        <v>高雄市鳳山區過埤國民小學</v>
      </c>
      <c r="F3900" s="14" t="str">
        <f>IFERROR(__xludf.DUMMYFUNCTION("""COMPUTED_VALUE"""),"四年級")</f>
        <v>四年級</v>
      </c>
      <c r="G3900" s="14" t="str">
        <f>IFERROR(__xludf.DUMMYFUNCTION("""COMPUTED_VALUE"""),"獎狀")</f>
        <v>獎狀</v>
      </c>
      <c r="H3900" s="8"/>
    </row>
    <row r="3901">
      <c r="A3901" s="18"/>
      <c r="B3901" s="14">
        <f>IFERROR(__xludf.DUMMYFUNCTION("""COMPUTED_VALUE"""),299684.0)</f>
        <v>299684</v>
      </c>
      <c r="C3901" s="14" t="str">
        <f>IFERROR(__xludf.DUMMYFUNCTION("""COMPUTED_VALUE"""),"蕭承恩")</f>
        <v>蕭承恩</v>
      </c>
      <c r="D3901" s="16" t="str">
        <f>IFERROR(__xludf.DUMMYFUNCTION("""COMPUTED_VALUE"""),"s08*****@mail.edu.tw")</f>
        <v>s08*****@mail.edu.tw</v>
      </c>
      <c r="E3901" s="17" t="str">
        <f>IFERROR(__xludf.DUMMYFUNCTION("""COMPUTED_VALUE"""),"高雄市鳳山區鳳翔國民小學")</f>
        <v>高雄市鳳山區鳳翔國民小學</v>
      </c>
      <c r="F3901" s="14" t="str">
        <f>IFERROR(__xludf.DUMMYFUNCTION("""COMPUTED_VALUE"""),"四年級")</f>
        <v>四年級</v>
      </c>
      <c r="G3901" s="14" t="str">
        <f>IFERROR(__xludf.DUMMYFUNCTION("""COMPUTED_VALUE"""),"獎狀")</f>
        <v>獎狀</v>
      </c>
      <c r="H3901" s="8"/>
    </row>
    <row r="3902">
      <c r="A3902" s="18"/>
      <c r="B3902" s="14">
        <f>IFERROR(__xludf.DUMMYFUNCTION("""COMPUTED_VALUE"""),185172.0)</f>
        <v>185172</v>
      </c>
      <c r="C3902" s="14" t="str">
        <f>IFERROR(__xludf.DUMMYFUNCTION("""COMPUTED_VALUE"""),"呂育慈")</f>
        <v>呂育慈</v>
      </c>
      <c r="D3902" s="16" t="str">
        <f>IFERROR(__xludf.DUMMYFUNCTION("""COMPUTED_VALUE"""),"s06*****@mail.edu.tw")</f>
        <v>s06*****@mail.edu.tw</v>
      </c>
      <c r="E3902" s="17" t="str">
        <f>IFERROR(__xludf.DUMMYFUNCTION("""COMPUTED_VALUE"""),"高雄市鳳山區鳳翔國民小學")</f>
        <v>高雄市鳳山區鳳翔國民小學</v>
      </c>
      <c r="F3902" s="14" t="str">
        <f>IFERROR(__xludf.DUMMYFUNCTION("""COMPUTED_VALUE"""),"六年級")</f>
        <v>六年級</v>
      </c>
      <c r="G3902" s="14" t="str">
        <f>IFERROR(__xludf.DUMMYFUNCTION("""COMPUTED_VALUE"""),"★禮券$500")</f>
        <v>★禮券$500</v>
      </c>
      <c r="H3902" s="8"/>
    </row>
    <row r="3903">
      <c r="A3903" s="18"/>
      <c r="B3903" s="14">
        <f>IFERROR(__xludf.DUMMYFUNCTION("""COMPUTED_VALUE"""),359029.0)</f>
        <v>359029</v>
      </c>
      <c r="C3903" s="14" t="str">
        <f>IFERROR(__xludf.DUMMYFUNCTION("""COMPUTED_VALUE"""),"黃郁安")</f>
        <v>黃郁安</v>
      </c>
      <c r="D3903" s="16" t="str">
        <f>IFERROR(__xludf.DUMMYFUNCTION("""COMPUTED_VALUE"""),"s06*****.kh@mail.edu.tw")</f>
        <v>s06*****.kh@mail.edu.tw</v>
      </c>
      <c r="E3903" s="17" t="str">
        <f>IFERROR(__xludf.DUMMYFUNCTION("""COMPUTED_VALUE"""),"高雄市鳳山區鳳翔國民小學")</f>
        <v>高雄市鳳山區鳳翔國民小學</v>
      </c>
      <c r="F3903" s="14" t="str">
        <f>IFERROR(__xludf.DUMMYFUNCTION("""COMPUTED_VALUE"""),"六年級")</f>
        <v>六年級</v>
      </c>
      <c r="G3903" s="14" t="str">
        <f>IFERROR(__xludf.DUMMYFUNCTION("""COMPUTED_VALUE"""),"獎狀")</f>
        <v>獎狀</v>
      </c>
      <c r="H3903" s="8"/>
    </row>
    <row r="3904">
      <c r="A3904" s="18"/>
      <c r="B3904" s="14">
        <f>IFERROR(__xludf.DUMMYFUNCTION("""COMPUTED_VALUE"""),1205986.0)</f>
        <v>1205986</v>
      </c>
      <c r="C3904" s="14" t="str">
        <f>IFERROR(__xludf.DUMMYFUNCTION("""COMPUTED_VALUE"""),"簡德璋")</f>
        <v>簡德璋</v>
      </c>
      <c r="D3904" s="16" t="str">
        <f>IFERROR(__xludf.DUMMYFUNCTION("""COMPUTED_VALUE"""),"s07*****.kh@mail.edu.tw")</f>
        <v>s07*****.kh@mail.edu.tw</v>
      </c>
      <c r="E3904" s="17" t="str">
        <f>IFERROR(__xludf.DUMMYFUNCTION("""COMPUTED_VALUE"""),"高雄市大寮區昭明國民小學")</f>
        <v>高雄市大寮區昭明國民小學</v>
      </c>
      <c r="F3904" s="14" t="str">
        <f>IFERROR(__xludf.DUMMYFUNCTION("""COMPUTED_VALUE"""),"五年級")</f>
        <v>五年級</v>
      </c>
      <c r="G3904" s="14" t="str">
        <f>IFERROR(__xludf.DUMMYFUNCTION("""COMPUTED_VALUE"""),"●小禮物")</f>
        <v>●小禮物</v>
      </c>
      <c r="H3904" s="8"/>
    </row>
    <row r="3905">
      <c r="A3905" s="18"/>
      <c r="B3905" s="14">
        <f>IFERROR(__xludf.DUMMYFUNCTION("""COMPUTED_VALUE"""),1113816.0)</f>
        <v>1113816</v>
      </c>
      <c r="C3905" s="14" t="str">
        <f>IFERROR(__xludf.DUMMYFUNCTION("""COMPUTED_VALUE"""),"許德毓")</f>
        <v>許德毓</v>
      </c>
      <c r="D3905" s="16" t="str">
        <f>IFERROR(__xludf.DUMMYFUNCTION("""COMPUTED_VALUE"""),"s07*****.kh@mail.edu.tw")</f>
        <v>s07*****.kh@mail.edu.tw</v>
      </c>
      <c r="E3905" s="17" t="str">
        <f>IFERROR(__xludf.DUMMYFUNCTION("""COMPUTED_VALUE"""),"高雄市大寮區昭明國民小學")</f>
        <v>高雄市大寮區昭明國民小學</v>
      </c>
      <c r="F3905" s="14" t="str">
        <f>IFERROR(__xludf.DUMMYFUNCTION("""COMPUTED_VALUE"""),"五年級")</f>
        <v>五年級</v>
      </c>
      <c r="G3905" s="14" t="str">
        <f>IFERROR(__xludf.DUMMYFUNCTION("""COMPUTED_VALUE"""),"獎狀")</f>
        <v>獎狀</v>
      </c>
      <c r="H3905" s="8"/>
    </row>
    <row r="3906">
      <c r="A3906" s="18"/>
      <c r="B3906" s="14">
        <f>IFERROR(__xludf.DUMMYFUNCTION("""COMPUTED_VALUE"""),1205984.0)</f>
        <v>1205984</v>
      </c>
      <c r="C3906" s="14" t="str">
        <f>IFERROR(__xludf.DUMMYFUNCTION("""COMPUTED_VALUE"""),"簡瑋辰")</f>
        <v>簡瑋辰</v>
      </c>
      <c r="D3906" s="16" t="str">
        <f>IFERROR(__xludf.DUMMYFUNCTION("""COMPUTED_VALUE"""),"s07*****.kh@mail.edu.tw")</f>
        <v>s07*****.kh@mail.edu.tw</v>
      </c>
      <c r="E3906" s="17" t="str">
        <f>IFERROR(__xludf.DUMMYFUNCTION("""COMPUTED_VALUE"""),"高雄市大寮區昭明國民小學")</f>
        <v>高雄市大寮區昭明國民小學</v>
      </c>
      <c r="F3906" s="14" t="str">
        <f>IFERROR(__xludf.DUMMYFUNCTION("""COMPUTED_VALUE"""),"五年級")</f>
        <v>五年級</v>
      </c>
      <c r="G3906" s="14" t="str">
        <f>IFERROR(__xludf.DUMMYFUNCTION("""COMPUTED_VALUE"""),"獎狀")</f>
        <v>獎狀</v>
      </c>
      <c r="H3906" s="8"/>
    </row>
    <row r="3907">
      <c r="A3907" s="18"/>
      <c r="B3907" s="14">
        <f>IFERROR(__xludf.DUMMYFUNCTION("""COMPUTED_VALUE"""),1110937.0)</f>
        <v>1110937</v>
      </c>
      <c r="C3907" s="14" t="str">
        <f>IFERROR(__xludf.DUMMYFUNCTION("""COMPUTED_VALUE"""),"張立人")</f>
        <v>張立人</v>
      </c>
      <c r="D3907" s="16" t="str">
        <f>IFERROR(__xludf.DUMMYFUNCTION("""COMPUTED_VALUE"""),"s06*****.kh@mail.edu.tw")</f>
        <v>s06*****.kh@mail.edu.tw</v>
      </c>
      <c r="E3907" s="17" t="str">
        <f>IFERROR(__xludf.DUMMYFUNCTION("""COMPUTED_VALUE"""),"高雄市大寮區昭明國民小學")</f>
        <v>高雄市大寮區昭明國民小學</v>
      </c>
      <c r="F3907" s="14" t="str">
        <f>IFERROR(__xludf.DUMMYFUNCTION("""COMPUTED_VALUE"""),"六年級")</f>
        <v>六年級</v>
      </c>
      <c r="G3907" s="14" t="str">
        <f>IFERROR(__xludf.DUMMYFUNCTION("""COMPUTED_VALUE"""),"獎狀")</f>
        <v>獎狀</v>
      </c>
      <c r="H3907" s="8"/>
    </row>
    <row r="3908">
      <c r="A3908" s="18"/>
      <c r="B3908" s="14">
        <f>IFERROR(__xludf.DUMMYFUNCTION("""COMPUTED_VALUE"""),911752.0)</f>
        <v>911752</v>
      </c>
      <c r="C3908" s="14" t="str">
        <f>IFERROR(__xludf.DUMMYFUNCTION("""COMPUTED_VALUE"""),"簡承恩")</f>
        <v>簡承恩</v>
      </c>
      <c r="D3908" s="16" t="str">
        <f>IFERROR(__xludf.DUMMYFUNCTION("""COMPUTED_VALUE"""),"s06*****.kh@mail.edu.tw")</f>
        <v>s06*****.kh@mail.edu.tw</v>
      </c>
      <c r="E3908" s="17" t="str">
        <f>IFERROR(__xludf.DUMMYFUNCTION("""COMPUTED_VALUE"""),"高雄市大寮區昭明國民小學")</f>
        <v>高雄市大寮區昭明國民小學</v>
      </c>
      <c r="F3908" s="14" t="str">
        <f>IFERROR(__xludf.DUMMYFUNCTION("""COMPUTED_VALUE"""),"六年級")</f>
        <v>六年級</v>
      </c>
      <c r="G3908" s="14" t="str">
        <f>IFERROR(__xludf.DUMMYFUNCTION("""COMPUTED_VALUE"""),"●小禮物")</f>
        <v>●小禮物</v>
      </c>
      <c r="H3908" s="8"/>
    </row>
    <row r="3909">
      <c r="A3909" s="18"/>
      <c r="B3909" s="14">
        <f>IFERROR(__xludf.DUMMYFUNCTION("""COMPUTED_VALUE"""),358965.0)</f>
        <v>358965</v>
      </c>
      <c r="C3909" s="14" t="str">
        <f>IFERROR(__xludf.DUMMYFUNCTION("""COMPUTED_VALUE"""),"陳志明")</f>
        <v>陳志明</v>
      </c>
      <c r="D3909" s="16" t="str">
        <f>IFERROR(__xludf.DUMMYFUNCTION("""COMPUTED_VALUE"""),"s06*****.kh@mail.edu.tw")</f>
        <v>s06*****.kh@mail.edu.tw</v>
      </c>
      <c r="E3909" s="17" t="str">
        <f>IFERROR(__xludf.DUMMYFUNCTION("""COMPUTED_VALUE"""),"高雄市大寮區昭明國民小學")</f>
        <v>高雄市大寮區昭明國民小學</v>
      </c>
      <c r="F3909" s="14" t="str">
        <f>IFERROR(__xludf.DUMMYFUNCTION("""COMPUTED_VALUE"""),"六年級")</f>
        <v>六年級</v>
      </c>
      <c r="G3909" s="14" t="str">
        <f>IFERROR(__xludf.DUMMYFUNCTION("""COMPUTED_VALUE"""),"●小禮物")</f>
        <v>●小禮物</v>
      </c>
      <c r="H3909" s="8"/>
    </row>
    <row r="3910">
      <c r="A3910" s="18"/>
      <c r="B3910" s="14">
        <f>IFERROR(__xludf.DUMMYFUNCTION("""COMPUTED_VALUE"""),922375.0)</f>
        <v>922375</v>
      </c>
      <c r="C3910" s="14" t="str">
        <f>IFERROR(__xludf.DUMMYFUNCTION("""COMPUTED_VALUE"""),"陳百燕")</f>
        <v>陳百燕</v>
      </c>
      <c r="D3910" s="16" t="str">
        <f>IFERROR(__xludf.DUMMYFUNCTION("""COMPUTED_VALUE"""),"s06*****.kh@mail.edu.tw")</f>
        <v>s06*****.kh@mail.edu.tw</v>
      </c>
      <c r="E3910" s="17" t="str">
        <f>IFERROR(__xludf.DUMMYFUNCTION("""COMPUTED_VALUE"""),"高雄市大寮區昭明國民小學")</f>
        <v>高雄市大寮區昭明國民小學</v>
      </c>
      <c r="F3910" s="14" t="str">
        <f>IFERROR(__xludf.DUMMYFUNCTION("""COMPUTED_VALUE"""),"六年級")</f>
        <v>六年級</v>
      </c>
      <c r="G3910" s="14" t="str">
        <f>IFERROR(__xludf.DUMMYFUNCTION("""COMPUTED_VALUE"""),"獎狀")</f>
        <v>獎狀</v>
      </c>
      <c r="H3910" s="8"/>
    </row>
    <row r="3911">
      <c r="A3911" s="18"/>
      <c r="B3911" s="14">
        <f>IFERROR(__xludf.DUMMYFUNCTION("""COMPUTED_VALUE"""),915927.0)</f>
        <v>915927</v>
      </c>
      <c r="C3911" s="14" t="str">
        <f>IFERROR(__xludf.DUMMYFUNCTION("""COMPUTED_VALUE"""),"周湘翎")</f>
        <v>周湘翎</v>
      </c>
      <c r="D3911" s="16" t="str">
        <f>IFERROR(__xludf.DUMMYFUNCTION("""COMPUTED_VALUE"""),"s06*****.kh@mail.edu.tw")</f>
        <v>s06*****.kh@mail.edu.tw</v>
      </c>
      <c r="E3911" s="17" t="str">
        <f>IFERROR(__xludf.DUMMYFUNCTION("""COMPUTED_VALUE"""),"高雄市大寮區昭明國民小學")</f>
        <v>高雄市大寮區昭明國民小學</v>
      </c>
      <c r="F3911" s="14" t="str">
        <f>IFERROR(__xludf.DUMMYFUNCTION("""COMPUTED_VALUE"""),"六年級")</f>
        <v>六年級</v>
      </c>
      <c r="G3911" s="14" t="str">
        <f>IFERROR(__xludf.DUMMYFUNCTION("""COMPUTED_VALUE"""),"●小禮物")</f>
        <v>●小禮物</v>
      </c>
      <c r="H3911" s="8"/>
    </row>
    <row r="3912">
      <c r="A3912" s="18"/>
      <c r="B3912" s="14">
        <f>IFERROR(__xludf.DUMMYFUNCTION("""COMPUTED_VALUE"""),911790.0)</f>
        <v>911790</v>
      </c>
      <c r="C3912" s="14" t="str">
        <f>IFERROR(__xludf.DUMMYFUNCTION("""COMPUTED_VALUE"""),"陳韋欣")</f>
        <v>陳韋欣</v>
      </c>
      <c r="D3912" s="16" t="str">
        <f>IFERROR(__xludf.DUMMYFUNCTION("""COMPUTED_VALUE"""),"s06*****.kh@mail.edu.tw")</f>
        <v>s06*****.kh@mail.edu.tw</v>
      </c>
      <c r="E3912" s="17" t="str">
        <f>IFERROR(__xludf.DUMMYFUNCTION("""COMPUTED_VALUE"""),"高雄市大寮區昭明國民小學")</f>
        <v>高雄市大寮區昭明國民小學</v>
      </c>
      <c r="F3912" s="14" t="str">
        <f>IFERROR(__xludf.DUMMYFUNCTION("""COMPUTED_VALUE"""),"六年級")</f>
        <v>六年級</v>
      </c>
      <c r="G3912" s="14" t="str">
        <f>IFERROR(__xludf.DUMMYFUNCTION("""COMPUTED_VALUE"""),"●小禮物")</f>
        <v>●小禮物</v>
      </c>
      <c r="H3912" s="8"/>
    </row>
    <row r="3913">
      <c r="A3913" s="18"/>
      <c r="B3913" s="14">
        <f>IFERROR(__xludf.DUMMYFUNCTION("""COMPUTED_VALUE"""),1094097.0)</f>
        <v>1094097</v>
      </c>
      <c r="C3913" s="14" t="str">
        <f>IFERROR(__xludf.DUMMYFUNCTION("""COMPUTED_VALUE"""),"陳立倫")</f>
        <v>陳立倫</v>
      </c>
      <c r="D3913" s="16" t="str">
        <f>IFERROR(__xludf.DUMMYFUNCTION("""COMPUTED_VALUE"""),"ric*****@gmail.com")</f>
        <v>ric*****@gmail.com</v>
      </c>
      <c r="E3913" s="17" t="str">
        <f>IFERROR(__xludf.DUMMYFUNCTION("""COMPUTED_VALUE"""),"高雄市林園區林園國民小學")</f>
        <v>高雄市林園區林園國民小學</v>
      </c>
      <c r="F3913" s="14" t="str">
        <f>IFERROR(__xludf.DUMMYFUNCTION("""COMPUTED_VALUE"""),"三年級")</f>
        <v>三年級</v>
      </c>
      <c r="G3913" s="14" t="str">
        <f>IFERROR(__xludf.DUMMYFUNCTION("""COMPUTED_VALUE"""),"●小禮物")</f>
        <v>●小禮物</v>
      </c>
      <c r="H3913" s="8"/>
    </row>
    <row r="3914">
      <c r="A3914" s="18"/>
      <c r="B3914" s="14">
        <f>IFERROR(__xludf.DUMMYFUNCTION("""COMPUTED_VALUE"""),1129422.0)</f>
        <v>1129422</v>
      </c>
      <c r="C3914" s="14" t="str">
        <f>IFERROR(__xludf.DUMMYFUNCTION("""COMPUTED_VALUE"""),"王文冠")</f>
        <v>王文冠</v>
      </c>
      <c r="D3914" s="16" t="str">
        <f>IFERROR(__xludf.DUMMYFUNCTION("""COMPUTED_VALUE"""),"s08*****.kh@mail.edu.tw")</f>
        <v>s08*****.kh@mail.edu.tw</v>
      </c>
      <c r="E3914" s="17" t="str">
        <f>IFERROR(__xludf.DUMMYFUNCTION("""COMPUTED_VALUE"""),"高雄市林園區林園國民小學")</f>
        <v>高雄市林園區林園國民小學</v>
      </c>
      <c r="F3914" s="14" t="str">
        <f>IFERROR(__xludf.DUMMYFUNCTION("""COMPUTED_VALUE"""),"四年級")</f>
        <v>四年級</v>
      </c>
      <c r="G3914" s="14" t="str">
        <f>IFERROR(__xludf.DUMMYFUNCTION("""COMPUTED_VALUE"""),"獎狀")</f>
        <v>獎狀</v>
      </c>
      <c r="H3914" s="8"/>
    </row>
    <row r="3915">
      <c r="A3915" s="18"/>
      <c r="B3915" s="14">
        <f>IFERROR(__xludf.DUMMYFUNCTION("""COMPUTED_VALUE"""),1106305.0)</f>
        <v>1106305</v>
      </c>
      <c r="C3915" s="14" t="str">
        <f>IFERROR(__xludf.DUMMYFUNCTION("""COMPUTED_VALUE"""),"林祺淏")</f>
        <v>林祺淏</v>
      </c>
      <c r="D3915" s="16" t="str">
        <f>IFERROR(__xludf.DUMMYFUNCTION("""COMPUTED_VALUE"""),"306*****p.kh.edu.tw")</f>
        <v>306*****p.kh.edu.tw</v>
      </c>
      <c r="E3915" s="17" t="str">
        <f>IFERROR(__xludf.DUMMYFUNCTION("""COMPUTED_VALUE"""),"高雄市林園區林園國民小學")</f>
        <v>高雄市林園區林園國民小學</v>
      </c>
      <c r="F3915" s="14" t="str">
        <f>IFERROR(__xludf.DUMMYFUNCTION("""COMPUTED_VALUE"""),"四年級")</f>
        <v>四年級</v>
      </c>
      <c r="G3915" s="14" t="str">
        <f>IFERROR(__xludf.DUMMYFUNCTION("""COMPUTED_VALUE"""),"獎狀")</f>
        <v>獎狀</v>
      </c>
      <c r="H3915" s="8"/>
    </row>
    <row r="3916">
      <c r="A3916" s="18"/>
      <c r="B3916" s="14">
        <f>IFERROR(__xludf.DUMMYFUNCTION("""COMPUTED_VALUE"""),330237.0)</f>
        <v>330237</v>
      </c>
      <c r="C3916" s="14" t="str">
        <f>IFERROR(__xludf.DUMMYFUNCTION("""COMPUTED_VALUE"""),"蔡允凡")</f>
        <v>蔡允凡</v>
      </c>
      <c r="D3916" s="16" t="str">
        <f>IFERROR(__xludf.DUMMYFUNCTION("""COMPUTED_VALUE"""),"s06*****.apple@mail.edu.tw")</f>
        <v>s06*****.apple@mail.edu.tw</v>
      </c>
      <c r="E3916" s="17" t="str">
        <f>IFERROR(__xludf.DUMMYFUNCTION("""COMPUTED_VALUE"""),"高雄市林園區港埔國民小學")</f>
        <v>高雄市林園區港埔國民小學</v>
      </c>
      <c r="F3916" s="14" t="str">
        <f>IFERROR(__xludf.DUMMYFUNCTION("""COMPUTED_VALUE"""),"六年級")</f>
        <v>六年級</v>
      </c>
      <c r="G3916" s="14" t="str">
        <f>IFERROR(__xludf.DUMMYFUNCTION("""COMPUTED_VALUE"""),"●小禮物")</f>
        <v>●小禮物</v>
      </c>
      <c r="H3916" s="8"/>
    </row>
    <row r="3917">
      <c r="A3917" s="18"/>
      <c r="B3917" s="14">
        <f>IFERROR(__xludf.DUMMYFUNCTION("""COMPUTED_VALUE"""),913062.0)</f>
        <v>913062</v>
      </c>
      <c r="C3917" s="14" t="str">
        <f>IFERROR(__xludf.DUMMYFUNCTION("""COMPUTED_VALUE"""),"鍾炘淯")</f>
        <v>鍾炘淯</v>
      </c>
      <c r="D3917" s="16" t="str">
        <f>IFERROR(__xludf.DUMMYFUNCTION("""COMPUTED_VALUE"""),"jac*****4@gmail.com")</f>
        <v>jac*****4@gmail.com</v>
      </c>
      <c r="E3917" s="17" t="str">
        <f>IFERROR(__xludf.DUMMYFUNCTION("""COMPUTED_VALUE"""),"高雄市鳥松區大華國民小學")</f>
        <v>高雄市鳥松區大華國民小學</v>
      </c>
      <c r="F3917" s="14" t="str">
        <f>IFERROR(__xludf.DUMMYFUNCTION("""COMPUTED_VALUE"""),"五年級")</f>
        <v>五年級</v>
      </c>
      <c r="G3917" s="14" t="str">
        <f>IFERROR(__xludf.DUMMYFUNCTION("""COMPUTED_VALUE"""),"●小禮物")</f>
        <v>●小禮物</v>
      </c>
      <c r="H3917" s="8"/>
    </row>
    <row r="3918">
      <c r="A3918" s="18"/>
      <c r="B3918" s="14">
        <f>IFERROR(__xludf.DUMMYFUNCTION("""COMPUTED_VALUE"""),722215.0)</f>
        <v>722215</v>
      </c>
      <c r="C3918" s="14" t="str">
        <f>IFERROR(__xludf.DUMMYFUNCTION("""COMPUTED_VALUE"""),"周湘霓")</f>
        <v>周湘霓</v>
      </c>
      <c r="D3918" s="16" t="str">
        <f>IFERROR(__xludf.DUMMYFUNCTION("""COMPUTED_VALUE"""),"mar*****hou@iis.kh.edu.tw")</f>
        <v>mar*****hou@iis.kh.edu.tw</v>
      </c>
      <c r="E3918" s="17" t="str">
        <f>IFERROR(__xludf.DUMMYFUNCTION("""COMPUTED_VALUE"""),"高雄市私立義大國際高級中學附設國小部")</f>
        <v>高雄市私立義大國際高級中學附設國小部</v>
      </c>
      <c r="F3918" s="14" t="str">
        <f>IFERROR(__xludf.DUMMYFUNCTION("""COMPUTED_VALUE"""),"六年級")</f>
        <v>六年級</v>
      </c>
      <c r="G3918" s="14" t="str">
        <f>IFERROR(__xludf.DUMMYFUNCTION("""COMPUTED_VALUE"""),"●小禮物")</f>
        <v>●小禮物</v>
      </c>
      <c r="H3918" s="8"/>
    </row>
    <row r="3919">
      <c r="A3919" s="18"/>
      <c r="B3919" s="14">
        <f>IFERROR(__xludf.DUMMYFUNCTION("""COMPUTED_VALUE"""),208259.0)</f>
        <v>208259</v>
      </c>
      <c r="C3919" s="14" t="str">
        <f>IFERROR(__xludf.DUMMYFUNCTION("""COMPUTED_VALUE"""),"王霈禎")</f>
        <v>王霈禎</v>
      </c>
      <c r="D3919" s="16" t="str">
        <f>IFERROR(__xludf.DUMMYFUNCTION("""COMPUTED_VALUE"""),"s07*****.kh@mail.edu.tw")</f>
        <v>s07*****.kh@mail.edu.tw</v>
      </c>
      <c r="E3919" s="17" t="str">
        <f>IFERROR(__xludf.DUMMYFUNCTION("""COMPUTED_VALUE"""),"高雄市旗山區嶺口國民小學")</f>
        <v>高雄市旗山區嶺口國民小學</v>
      </c>
      <c r="F3919" s="14" t="str">
        <f>IFERROR(__xludf.DUMMYFUNCTION("""COMPUTED_VALUE"""),"五年級")</f>
        <v>五年級</v>
      </c>
      <c r="G3919" s="14" t="str">
        <f>IFERROR(__xludf.DUMMYFUNCTION("""COMPUTED_VALUE"""),"●小禮物")</f>
        <v>●小禮物</v>
      </c>
      <c r="H3919" s="8"/>
    </row>
    <row r="3920">
      <c r="A3920" s="18"/>
      <c r="B3920" s="14">
        <f>IFERROR(__xludf.DUMMYFUNCTION("""COMPUTED_VALUE"""),548104.0)</f>
        <v>548104</v>
      </c>
      <c r="C3920" s="14" t="str">
        <f>IFERROR(__xludf.DUMMYFUNCTION("""COMPUTED_VALUE"""),"黃麗尹")</f>
        <v>黃麗尹</v>
      </c>
      <c r="D3920" s="16" t="str">
        <f>IFERROR(__xludf.DUMMYFUNCTION("""COMPUTED_VALUE"""),"s09*****.kh@mail.edu.tw")</f>
        <v>s09*****.kh@mail.edu.tw</v>
      </c>
      <c r="E3920" s="17" t="str">
        <f>IFERROR(__xludf.DUMMYFUNCTION("""COMPUTED_VALUE"""),"高雄市旗山區旗山國民小學")</f>
        <v>高雄市旗山區旗山國民小學</v>
      </c>
      <c r="F3920" s="14" t="str">
        <f>IFERROR(__xludf.DUMMYFUNCTION("""COMPUTED_VALUE"""),"三年級")</f>
        <v>三年級</v>
      </c>
      <c r="G3920" s="14" t="str">
        <f>IFERROR(__xludf.DUMMYFUNCTION("""COMPUTED_VALUE"""),"獎狀")</f>
        <v>獎狀</v>
      </c>
      <c r="H3920" s="8"/>
    </row>
    <row r="3921">
      <c r="A3921" s="18"/>
      <c r="B3921" s="14">
        <f>IFERROR(__xludf.DUMMYFUNCTION("""COMPUTED_VALUE"""),246867.0)</f>
        <v>246867</v>
      </c>
      <c r="C3921" s="14" t="str">
        <f>IFERROR(__xludf.DUMMYFUNCTION("""COMPUTED_VALUE"""),"黃湘昀")</f>
        <v>黃湘昀</v>
      </c>
      <c r="D3921" s="16" t="str">
        <f>IFERROR(__xludf.DUMMYFUNCTION("""COMPUTED_VALUE"""),"nch*****gmail.com")</f>
        <v>nch*****gmail.com</v>
      </c>
      <c r="E3921" s="17" t="str">
        <f>IFERROR(__xludf.DUMMYFUNCTION("""COMPUTED_VALUE"""),"高雄市旗山區旗山國民小學")</f>
        <v>高雄市旗山區旗山國民小學</v>
      </c>
      <c r="F3921" s="14" t="str">
        <f>IFERROR(__xludf.DUMMYFUNCTION("""COMPUTED_VALUE"""),"六年級")</f>
        <v>六年級</v>
      </c>
      <c r="G3921" s="14" t="str">
        <f>IFERROR(__xludf.DUMMYFUNCTION("""COMPUTED_VALUE"""),"●小禮物")</f>
        <v>●小禮物</v>
      </c>
      <c r="H3921" s="8"/>
    </row>
    <row r="3922">
      <c r="A3922" s="18"/>
      <c r="B3922" s="14">
        <f>IFERROR(__xludf.DUMMYFUNCTION("""COMPUTED_VALUE"""),1188164.0)</f>
        <v>1188164</v>
      </c>
      <c r="C3922" s="14" t="str">
        <f>IFERROR(__xludf.DUMMYFUNCTION("""COMPUTED_VALUE"""),"陳宜婷")</f>
        <v>陳宜婷</v>
      </c>
      <c r="D3922" s="16" t="str">
        <f>IFERROR(__xludf.DUMMYFUNCTION("""COMPUTED_VALUE"""),"j10*****yi.kh.edu.tw")</f>
        <v>j10*****yi.kh.edu.tw</v>
      </c>
      <c r="E3922" s="17" t="str">
        <f>IFERROR(__xludf.DUMMYFUNCTION("""COMPUTED_VALUE"""),"高雄市內門區景義國民小學")</f>
        <v>高雄市內門區景義國民小學</v>
      </c>
      <c r="F3922" s="14" t="str">
        <f>IFERROR(__xludf.DUMMYFUNCTION("""COMPUTED_VALUE"""),"六年級")</f>
        <v>六年級</v>
      </c>
      <c r="G3922" s="14" t="str">
        <f>IFERROR(__xludf.DUMMYFUNCTION("""COMPUTED_VALUE"""),"●小禮物")</f>
        <v>●小禮物</v>
      </c>
      <c r="H3922" s="8"/>
    </row>
    <row r="3923">
      <c r="A3923" s="18"/>
      <c r="B3923" s="14">
        <f>IFERROR(__xludf.DUMMYFUNCTION("""COMPUTED_VALUE"""),1188158.0)</f>
        <v>1188158</v>
      </c>
      <c r="C3923" s="14" t="str">
        <f>IFERROR(__xludf.DUMMYFUNCTION("""COMPUTED_VALUE"""),"蔡旻萱")</f>
        <v>蔡旻萱</v>
      </c>
      <c r="D3923" s="16" t="str">
        <f>IFERROR(__xludf.DUMMYFUNCTION("""COMPUTED_VALUE"""),"j10*****yi.kh.edu.tw")</f>
        <v>j10*****yi.kh.edu.tw</v>
      </c>
      <c r="E3923" s="17" t="str">
        <f>IFERROR(__xludf.DUMMYFUNCTION("""COMPUTED_VALUE"""),"高雄市內門區景義國民小學")</f>
        <v>高雄市內門區景義國民小學</v>
      </c>
      <c r="F3923" s="14" t="str">
        <f>IFERROR(__xludf.DUMMYFUNCTION("""COMPUTED_VALUE"""),"六年級")</f>
        <v>六年級</v>
      </c>
      <c r="G3923" s="14" t="str">
        <f>IFERROR(__xludf.DUMMYFUNCTION("""COMPUTED_VALUE"""),"★禮券$200")</f>
        <v>★禮券$200</v>
      </c>
      <c r="H3923" s="8"/>
    </row>
    <row r="3924">
      <c r="A3924" s="18"/>
      <c r="B3924" s="14">
        <f>IFERROR(__xludf.DUMMYFUNCTION("""COMPUTED_VALUE"""),1188159.0)</f>
        <v>1188159</v>
      </c>
      <c r="C3924" s="14" t="str">
        <f>IFERROR(__xludf.DUMMYFUNCTION("""COMPUTED_VALUE"""),"余茹卉")</f>
        <v>余茹卉</v>
      </c>
      <c r="D3924" s="16" t="str">
        <f>IFERROR(__xludf.DUMMYFUNCTION("""COMPUTED_VALUE"""),"j10*****yi.kh.edu.tw")</f>
        <v>j10*****yi.kh.edu.tw</v>
      </c>
      <c r="E3924" s="17" t="str">
        <f>IFERROR(__xludf.DUMMYFUNCTION("""COMPUTED_VALUE"""),"高雄市內門區景義國民小學")</f>
        <v>高雄市內門區景義國民小學</v>
      </c>
      <c r="F3924" s="14" t="str">
        <f>IFERROR(__xludf.DUMMYFUNCTION("""COMPUTED_VALUE"""),"六年級")</f>
        <v>六年級</v>
      </c>
      <c r="G3924" s="14" t="str">
        <f>IFERROR(__xludf.DUMMYFUNCTION("""COMPUTED_VALUE"""),"獎狀")</f>
        <v>獎狀</v>
      </c>
      <c r="H3924" s="8"/>
    </row>
    <row r="3925">
      <c r="A3925" s="18"/>
      <c r="B3925" s="14">
        <f>IFERROR(__xludf.DUMMYFUNCTION("""COMPUTED_VALUE"""),1188157.0)</f>
        <v>1188157</v>
      </c>
      <c r="C3925" s="14" t="str">
        <f>IFERROR(__xludf.DUMMYFUNCTION("""COMPUTED_VALUE"""),"翼玉慧")</f>
        <v>翼玉慧</v>
      </c>
      <c r="D3925" s="16" t="str">
        <f>IFERROR(__xludf.DUMMYFUNCTION("""COMPUTED_VALUE"""),"j10*****yi.kh.edu.tw")</f>
        <v>j10*****yi.kh.edu.tw</v>
      </c>
      <c r="E3925" s="17" t="str">
        <f>IFERROR(__xludf.DUMMYFUNCTION("""COMPUTED_VALUE"""),"高雄市內門區景義國民小學")</f>
        <v>高雄市內門區景義國民小學</v>
      </c>
      <c r="F3925" s="14" t="str">
        <f>IFERROR(__xludf.DUMMYFUNCTION("""COMPUTED_VALUE"""),"六年級")</f>
        <v>六年級</v>
      </c>
      <c r="G3925" s="14" t="str">
        <f>IFERROR(__xludf.DUMMYFUNCTION("""COMPUTED_VALUE"""),"獎狀")</f>
        <v>獎狀</v>
      </c>
      <c r="H3925" s="8"/>
    </row>
    <row r="3926">
      <c r="A3926" s="18"/>
      <c r="B3926" s="14">
        <f>IFERROR(__xludf.DUMMYFUNCTION("""COMPUTED_VALUE"""),909088.0)</f>
        <v>909088</v>
      </c>
      <c r="C3926" s="14" t="str">
        <f>IFERROR(__xludf.DUMMYFUNCTION("""COMPUTED_VALUE"""),"許顥騰")</f>
        <v>許顥騰</v>
      </c>
      <c r="D3926" s="16" t="str">
        <f>IFERROR(__xludf.DUMMYFUNCTION("""COMPUTED_VALUE"""),"107*****mail.phc.edu.tw")</f>
        <v>107*****mail.phc.edu.tw</v>
      </c>
      <c r="E3926" s="17" t="str">
        <f>IFERROR(__xludf.DUMMYFUNCTION("""COMPUTED_VALUE"""),"澎湖縣馬公市五德國民小學")</f>
        <v>澎湖縣馬公市五德國民小學</v>
      </c>
      <c r="F3926" s="14" t="str">
        <f>IFERROR(__xludf.DUMMYFUNCTION("""COMPUTED_VALUE"""),"五年級")</f>
        <v>五年級</v>
      </c>
      <c r="G3926" s="14" t="str">
        <f>IFERROR(__xludf.DUMMYFUNCTION("""COMPUTED_VALUE"""),"●小禮物")</f>
        <v>●小禮物</v>
      </c>
      <c r="H3926" s="8"/>
    </row>
    <row r="3927">
      <c r="A3927" s="18"/>
      <c r="B3927" s="14">
        <f>IFERROR(__xludf.DUMMYFUNCTION("""COMPUTED_VALUE"""),909090.0)</f>
        <v>909090</v>
      </c>
      <c r="C3927" s="14" t="str">
        <f>IFERROR(__xludf.DUMMYFUNCTION("""COMPUTED_VALUE"""),"程俁厹")</f>
        <v>程俁厹</v>
      </c>
      <c r="D3927" s="16" t="str">
        <f>IFERROR(__xludf.DUMMYFUNCTION("""COMPUTED_VALUE"""),"107*****mail.phc.edu.tw")</f>
        <v>107*****mail.phc.edu.tw</v>
      </c>
      <c r="E3927" s="17" t="str">
        <f>IFERROR(__xludf.DUMMYFUNCTION("""COMPUTED_VALUE"""),"澎湖縣馬公市五德國民小學")</f>
        <v>澎湖縣馬公市五德國民小學</v>
      </c>
      <c r="F3927" s="14" t="str">
        <f>IFERROR(__xludf.DUMMYFUNCTION("""COMPUTED_VALUE"""),"五年級")</f>
        <v>五年級</v>
      </c>
      <c r="G3927" s="14" t="str">
        <f>IFERROR(__xludf.DUMMYFUNCTION("""COMPUTED_VALUE"""),"●小禮物")</f>
        <v>●小禮物</v>
      </c>
      <c r="H3927" s="8"/>
    </row>
    <row r="3928">
      <c r="A3928" s="18"/>
      <c r="B3928" s="14">
        <f>IFERROR(__xludf.DUMMYFUNCTION("""COMPUTED_VALUE"""),909082.0)</f>
        <v>909082</v>
      </c>
      <c r="C3928" s="14" t="str">
        <f>IFERROR(__xludf.DUMMYFUNCTION("""COMPUTED_VALUE"""),"劉承昕")</f>
        <v>劉承昕</v>
      </c>
      <c r="D3928" s="16" t="str">
        <f>IFERROR(__xludf.DUMMYFUNCTION("""COMPUTED_VALUE"""),"107*****mail.phc.edu.tw")</f>
        <v>107*****mail.phc.edu.tw</v>
      </c>
      <c r="E3928" s="17" t="str">
        <f>IFERROR(__xludf.DUMMYFUNCTION("""COMPUTED_VALUE"""),"澎湖縣馬公市五德國民小學")</f>
        <v>澎湖縣馬公市五德國民小學</v>
      </c>
      <c r="F3928" s="14" t="str">
        <f>IFERROR(__xludf.DUMMYFUNCTION("""COMPUTED_VALUE"""),"五年級")</f>
        <v>五年級</v>
      </c>
      <c r="G3928" s="14" t="str">
        <f>IFERROR(__xludf.DUMMYFUNCTION("""COMPUTED_VALUE"""),"●小禮物")</f>
        <v>●小禮物</v>
      </c>
      <c r="H3928" s="8"/>
    </row>
    <row r="3929">
      <c r="A3929" s="18"/>
      <c r="B3929" s="14">
        <f>IFERROR(__xludf.DUMMYFUNCTION("""COMPUTED_VALUE"""),909085.0)</f>
        <v>909085</v>
      </c>
      <c r="C3929" s="14" t="str">
        <f>IFERROR(__xludf.DUMMYFUNCTION("""COMPUTED_VALUE"""),"石晹勳")</f>
        <v>石晹勳</v>
      </c>
      <c r="D3929" s="16" t="str">
        <f>IFERROR(__xludf.DUMMYFUNCTION("""COMPUTED_VALUE"""),"107*****mail.phc.edu.tw")</f>
        <v>107*****mail.phc.edu.tw</v>
      </c>
      <c r="E3929" s="17" t="str">
        <f>IFERROR(__xludf.DUMMYFUNCTION("""COMPUTED_VALUE"""),"澎湖縣馬公市五德國民小學")</f>
        <v>澎湖縣馬公市五德國民小學</v>
      </c>
      <c r="F3929" s="14" t="str">
        <f>IFERROR(__xludf.DUMMYFUNCTION("""COMPUTED_VALUE"""),"五年級")</f>
        <v>五年級</v>
      </c>
      <c r="G3929" s="14" t="str">
        <f>IFERROR(__xludf.DUMMYFUNCTION("""COMPUTED_VALUE"""),"獎狀")</f>
        <v>獎狀</v>
      </c>
      <c r="H3929" s="8"/>
    </row>
    <row r="3930">
      <c r="A3930" s="18"/>
      <c r="B3930" s="14">
        <f>IFERROR(__xludf.DUMMYFUNCTION("""COMPUTED_VALUE"""),905357.0)</f>
        <v>905357</v>
      </c>
      <c r="C3930" s="14" t="str">
        <f>IFERROR(__xludf.DUMMYFUNCTION("""COMPUTED_VALUE"""),"陳憶潔")</f>
        <v>陳憶潔</v>
      </c>
      <c r="D3930" s="16" t="str">
        <f>IFERROR(__xludf.DUMMYFUNCTION("""COMPUTED_VALUE"""),"106*****mail.phc.edu.tw")</f>
        <v>106*****mail.phc.edu.tw</v>
      </c>
      <c r="E3930" s="17" t="str">
        <f>IFERROR(__xludf.DUMMYFUNCTION("""COMPUTED_VALUE"""),"澎湖縣馬公市五德國民小學")</f>
        <v>澎湖縣馬公市五德國民小學</v>
      </c>
      <c r="F3930" s="14" t="str">
        <f>IFERROR(__xludf.DUMMYFUNCTION("""COMPUTED_VALUE"""),"六年級")</f>
        <v>六年級</v>
      </c>
      <c r="G3930" s="14" t="str">
        <f>IFERROR(__xludf.DUMMYFUNCTION("""COMPUTED_VALUE"""),"●小禮物")</f>
        <v>●小禮物</v>
      </c>
      <c r="H3930" s="8"/>
    </row>
    <row r="3931">
      <c r="A3931" s="18"/>
      <c r="B3931" s="14">
        <f>IFERROR(__xludf.DUMMYFUNCTION("""COMPUTED_VALUE"""),905746.0)</f>
        <v>905746</v>
      </c>
      <c r="C3931" s="14" t="str">
        <f>IFERROR(__xludf.DUMMYFUNCTION("""COMPUTED_VALUE"""),"石泱臻")</f>
        <v>石泱臻</v>
      </c>
      <c r="D3931" s="16" t="str">
        <f>IFERROR(__xludf.DUMMYFUNCTION("""COMPUTED_VALUE"""),"106*****mail.phc.edu.tw")</f>
        <v>106*****mail.phc.edu.tw</v>
      </c>
      <c r="E3931" s="17" t="str">
        <f>IFERROR(__xludf.DUMMYFUNCTION("""COMPUTED_VALUE"""),"澎湖縣馬公市五德國民小學")</f>
        <v>澎湖縣馬公市五德國民小學</v>
      </c>
      <c r="F3931" s="14" t="str">
        <f>IFERROR(__xludf.DUMMYFUNCTION("""COMPUTED_VALUE"""),"六年級")</f>
        <v>六年級</v>
      </c>
      <c r="G3931" s="14" t="str">
        <f>IFERROR(__xludf.DUMMYFUNCTION("""COMPUTED_VALUE"""),"獎狀")</f>
        <v>獎狀</v>
      </c>
      <c r="H3931" s="8"/>
    </row>
    <row r="3932">
      <c r="A3932" s="18"/>
      <c r="B3932" s="14">
        <f>IFERROR(__xludf.DUMMYFUNCTION("""COMPUTED_VALUE"""),908727.0)</f>
        <v>908727</v>
      </c>
      <c r="C3932" s="14" t="str">
        <f>IFERROR(__xludf.DUMMYFUNCTION("""COMPUTED_VALUE"""),"吳岳紜")</f>
        <v>吳岳紜</v>
      </c>
      <c r="D3932" s="16" t="str">
        <f>IFERROR(__xludf.DUMMYFUNCTION("""COMPUTED_VALUE"""),"106*****mail.phc.edu.tw")</f>
        <v>106*****mail.phc.edu.tw</v>
      </c>
      <c r="E3932" s="17" t="str">
        <f>IFERROR(__xludf.DUMMYFUNCTION("""COMPUTED_VALUE"""),"澎湖縣馬公市五德國民小學")</f>
        <v>澎湖縣馬公市五德國民小學</v>
      </c>
      <c r="F3932" s="14" t="str">
        <f>IFERROR(__xludf.DUMMYFUNCTION("""COMPUTED_VALUE"""),"六年級")</f>
        <v>六年級</v>
      </c>
      <c r="G3932" s="14" t="str">
        <f>IFERROR(__xludf.DUMMYFUNCTION("""COMPUTED_VALUE"""),"獎狀")</f>
        <v>獎狀</v>
      </c>
      <c r="H3932" s="8"/>
    </row>
    <row r="3933">
      <c r="A3933" s="18"/>
      <c r="B3933" s="14">
        <f>IFERROR(__xludf.DUMMYFUNCTION("""COMPUTED_VALUE"""),908726.0)</f>
        <v>908726</v>
      </c>
      <c r="C3933" s="14" t="str">
        <f>IFERROR(__xludf.DUMMYFUNCTION("""COMPUTED_VALUE"""),"邵歆菲")</f>
        <v>邵歆菲</v>
      </c>
      <c r="D3933" s="16" t="str">
        <f>IFERROR(__xludf.DUMMYFUNCTION("""COMPUTED_VALUE"""),"106*****mail.phc.edu.tw")</f>
        <v>106*****mail.phc.edu.tw</v>
      </c>
      <c r="E3933" s="17" t="str">
        <f>IFERROR(__xludf.DUMMYFUNCTION("""COMPUTED_VALUE"""),"澎湖縣馬公市五德國民小學")</f>
        <v>澎湖縣馬公市五德國民小學</v>
      </c>
      <c r="F3933" s="14" t="str">
        <f>IFERROR(__xludf.DUMMYFUNCTION("""COMPUTED_VALUE"""),"六年級")</f>
        <v>六年級</v>
      </c>
      <c r="G3933" s="14" t="str">
        <f>IFERROR(__xludf.DUMMYFUNCTION("""COMPUTED_VALUE"""),"獎狀")</f>
        <v>獎狀</v>
      </c>
      <c r="H3933" s="8"/>
    </row>
    <row r="3934">
      <c r="A3934" s="18"/>
      <c r="B3934" s="14">
        <f>IFERROR(__xludf.DUMMYFUNCTION("""COMPUTED_VALUE"""),908732.0)</f>
        <v>908732</v>
      </c>
      <c r="C3934" s="14" t="str">
        <f>IFERROR(__xludf.DUMMYFUNCTION("""COMPUTED_VALUE"""),"翁瑋澤")</f>
        <v>翁瑋澤</v>
      </c>
      <c r="D3934" s="16" t="str">
        <f>IFERROR(__xludf.DUMMYFUNCTION("""COMPUTED_VALUE"""),"106*****mail.phc.edu.tw")</f>
        <v>106*****mail.phc.edu.tw</v>
      </c>
      <c r="E3934" s="17" t="str">
        <f>IFERROR(__xludf.DUMMYFUNCTION("""COMPUTED_VALUE"""),"澎湖縣馬公市五德國民小學")</f>
        <v>澎湖縣馬公市五德國民小學</v>
      </c>
      <c r="F3934" s="14" t="str">
        <f>IFERROR(__xludf.DUMMYFUNCTION("""COMPUTED_VALUE"""),"六年級")</f>
        <v>六年級</v>
      </c>
      <c r="G3934" s="14" t="str">
        <f>IFERROR(__xludf.DUMMYFUNCTION("""COMPUTED_VALUE"""),"獎狀")</f>
        <v>獎狀</v>
      </c>
      <c r="H3934" s="8"/>
    </row>
    <row r="3935">
      <c r="A3935" s="18"/>
      <c r="B3935" s="14">
        <f>IFERROR(__xludf.DUMMYFUNCTION("""COMPUTED_VALUE"""),905365.0)</f>
        <v>905365</v>
      </c>
      <c r="C3935" s="14" t="str">
        <f>IFERROR(__xludf.DUMMYFUNCTION("""COMPUTED_VALUE"""),"陳心如")</f>
        <v>陳心如</v>
      </c>
      <c r="D3935" s="16" t="str">
        <f>IFERROR(__xludf.DUMMYFUNCTION("""COMPUTED_VALUE"""),"106*****mail.phc.edu.tw")</f>
        <v>106*****mail.phc.edu.tw</v>
      </c>
      <c r="E3935" s="17" t="str">
        <f>IFERROR(__xludf.DUMMYFUNCTION("""COMPUTED_VALUE"""),"澎湖縣馬公市五德國民小學")</f>
        <v>澎湖縣馬公市五德國民小學</v>
      </c>
      <c r="F3935" s="14" t="str">
        <f>IFERROR(__xludf.DUMMYFUNCTION("""COMPUTED_VALUE"""),"六年級")</f>
        <v>六年級</v>
      </c>
      <c r="G3935" s="14" t="str">
        <f>IFERROR(__xludf.DUMMYFUNCTION("""COMPUTED_VALUE"""),"獎狀")</f>
        <v>獎狀</v>
      </c>
      <c r="H3935" s="8"/>
    </row>
    <row r="3936">
      <c r="A3936" s="18"/>
      <c r="B3936" s="14">
        <f>IFERROR(__xludf.DUMMYFUNCTION("""COMPUTED_VALUE"""),35168.0)</f>
        <v>35168</v>
      </c>
      <c r="C3936" s="14" t="str">
        <f>IFERROR(__xludf.DUMMYFUNCTION("""COMPUTED_VALUE"""),"洪子甯")</f>
        <v>洪子甯</v>
      </c>
      <c r="D3936" s="16" t="str">
        <f>IFERROR(__xludf.DUMMYFUNCTION("""COMPUTED_VALUE"""),"ani*****hotmail.com")</f>
        <v>ani*****hotmail.com</v>
      </c>
      <c r="E3936" s="17" t="str">
        <f>IFERROR(__xludf.DUMMYFUNCTION("""COMPUTED_VALUE"""),"澎湖縣馬公市中正國民小學")</f>
        <v>澎湖縣馬公市中正國民小學</v>
      </c>
      <c r="F3936" s="14" t="str">
        <f>IFERROR(__xludf.DUMMYFUNCTION("""COMPUTED_VALUE"""),"六年級")</f>
        <v>六年級</v>
      </c>
      <c r="G3936" s="14" t="str">
        <f>IFERROR(__xludf.DUMMYFUNCTION("""COMPUTED_VALUE"""),"獎狀")</f>
        <v>獎狀</v>
      </c>
      <c r="H3936" s="8"/>
    </row>
    <row r="3937">
      <c r="A3937" s="18"/>
      <c r="B3937" s="14">
        <f>IFERROR(__xludf.DUMMYFUNCTION("""COMPUTED_VALUE"""),1120915.0)</f>
        <v>1120915</v>
      </c>
      <c r="C3937" s="14" t="str">
        <f>IFERROR(__xludf.DUMMYFUNCTION("""COMPUTED_VALUE"""),"呂昀蓁")</f>
        <v>呂昀蓁</v>
      </c>
      <c r="D3937" s="16" t="str">
        <f>IFERROR(__xludf.DUMMYFUNCTION("""COMPUTED_VALUE"""),"phc*****80@mail.edu.tw")</f>
        <v>phc*****80@mail.edu.tw</v>
      </c>
      <c r="E3937" s="17" t="str">
        <f>IFERROR(__xludf.DUMMYFUNCTION("""COMPUTED_VALUE"""),"澎湖縣馬公市中興國民小學")</f>
        <v>澎湖縣馬公市中興國民小學</v>
      </c>
      <c r="F3937" s="14" t="str">
        <f>IFERROR(__xludf.DUMMYFUNCTION("""COMPUTED_VALUE"""),"三年級")</f>
        <v>三年級</v>
      </c>
      <c r="G3937" s="14" t="str">
        <f>IFERROR(__xludf.DUMMYFUNCTION("""COMPUTED_VALUE"""),"●小禮物")</f>
        <v>●小禮物</v>
      </c>
      <c r="H3937" s="8"/>
    </row>
    <row r="3938">
      <c r="A3938" s="18"/>
      <c r="B3938" s="14">
        <f>IFERROR(__xludf.DUMMYFUNCTION("""COMPUTED_VALUE"""),644960.0)</f>
        <v>644960</v>
      </c>
      <c r="C3938" s="14" t="str">
        <f>IFERROR(__xludf.DUMMYFUNCTION("""COMPUTED_VALUE"""),"高子忻")</f>
        <v>高子忻</v>
      </c>
      <c r="D3938" s="16" t="str">
        <f>IFERROR(__xludf.DUMMYFUNCTION("""COMPUTED_VALUE"""),"108*****mail.phc.edu.tw")</f>
        <v>108*****mail.phc.edu.tw</v>
      </c>
      <c r="E3938" s="17" t="str">
        <f>IFERROR(__xludf.DUMMYFUNCTION("""COMPUTED_VALUE"""),"澎湖縣馬公市中興國民小學")</f>
        <v>澎湖縣馬公市中興國民小學</v>
      </c>
      <c r="F3938" s="14" t="str">
        <f>IFERROR(__xludf.DUMMYFUNCTION("""COMPUTED_VALUE"""),"四年級")</f>
        <v>四年級</v>
      </c>
      <c r="G3938" s="14" t="str">
        <f>IFERROR(__xludf.DUMMYFUNCTION("""COMPUTED_VALUE"""),"●小禮物")</f>
        <v>●小禮物</v>
      </c>
      <c r="H3938" s="8"/>
    </row>
    <row r="3939">
      <c r="A3939" s="18"/>
      <c r="B3939" s="14">
        <f>IFERROR(__xludf.DUMMYFUNCTION("""COMPUTED_VALUE"""),1121075.0)</f>
        <v>1121075</v>
      </c>
      <c r="C3939" s="14" t="str">
        <f>IFERROR(__xludf.DUMMYFUNCTION("""COMPUTED_VALUE"""),"呂映潔")</f>
        <v>呂映潔</v>
      </c>
      <c r="D3939" s="16" t="str">
        <f>IFERROR(__xludf.DUMMYFUNCTION("""COMPUTED_VALUE"""),"phc*****88@mail.edu.tw")</f>
        <v>phc*****88@mail.edu.tw</v>
      </c>
      <c r="E3939" s="17" t="str">
        <f>IFERROR(__xludf.DUMMYFUNCTION("""COMPUTED_VALUE"""),"澎湖縣馬公市中興國民小學")</f>
        <v>澎湖縣馬公市中興國民小學</v>
      </c>
      <c r="F3939" s="14" t="str">
        <f>IFERROR(__xludf.DUMMYFUNCTION("""COMPUTED_VALUE"""),"五年級")</f>
        <v>五年級</v>
      </c>
      <c r="G3939" s="14" t="str">
        <f>IFERROR(__xludf.DUMMYFUNCTION("""COMPUTED_VALUE"""),"●小禮物")</f>
        <v>●小禮物</v>
      </c>
      <c r="H3939" s="8"/>
    </row>
    <row r="3940">
      <c r="A3940" s="18"/>
      <c r="B3940" s="14">
        <f>IFERROR(__xludf.DUMMYFUNCTION("""COMPUTED_VALUE"""),534569.0)</f>
        <v>534569</v>
      </c>
      <c r="C3940" s="14" t="str">
        <f>IFERROR(__xludf.DUMMYFUNCTION("""COMPUTED_VALUE"""),"梁唯芃")</f>
        <v>梁唯芃</v>
      </c>
      <c r="D3940" s="16" t="str">
        <f>IFERROR(__xludf.DUMMYFUNCTION("""COMPUTED_VALUE"""),"107*****mail.phc.edu.tw")</f>
        <v>107*****mail.phc.edu.tw</v>
      </c>
      <c r="E3940" s="17" t="str">
        <f>IFERROR(__xludf.DUMMYFUNCTION("""COMPUTED_VALUE"""),"澎湖縣馬公市中興國民小學")</f>
        <v>澎湖縣馬公市中興國民小學</v>
      </c>
      <c r="F3940" s="14" t="str">
        <f>IFERROR(__xludf.DUMMYFUNCTION("""COMPUTED_VALUE"""),"五年級")</f>
        <v>五年級</v>
      </c>
      <c r="G3940" s="14" t="str">
        <f>IFERROR(__xludf.DUMMYFUNCTION("""COMPUTED_VALUE"""),"獎狀")</f>
        <v>獎狀</v>
      </c>
      <c r="H3940" s="8"/>
    </row>
    <row r="3941">
      <c r="A3941" s="18"/>
      <c r="B3941" s="14">
        <f>IFERROR(__xludf.DUMMYFUNCTION("""COMPUTED_VALUE"""),535274.0)</f>
        <v>535274</v>
      </c>
      <c r="C3941" s="14" t="str">
        <f>IFERROR(__xludf.DUMMYFUNCTION("""COMPUTED_VALUE"""),"呂軒佑")</f>
        <v>呂軒佑</v>
      </c>
      <c r="D3941" s="16" t="str">
        <f>IFERROR(__xludf.DUMMYFUNCTION("""COMPUTED_VALUE"""),"107*****mail.phc.edu.tw")</f>
        <v>107*****mail.phc.edu.tw</v>
      </c>
      <c r="E3941" s="17" t="str">
        <f>IFERROR(__xludf.DUMMYFUNCTION("""COMPUTED_VALUE"""),"澎湖縣馬公市中興國民小學")</f>
        <v>澎湖縣馬公市中興國民小學</v>
      </c>
      <c r="F3941" s="14" t="str">
        <f>IFERROR(__xludf.DUMMYFUNCTION("""COMPUTED_VALUE"""),"五年級")</f>
        <v>五年級</v>
      </c>
      <c r="G3941" s="14" t="str">
        <f>IFERROR(__xludf.DUMMYFUNCTION("""COMPUTED_VALUE"""),"●小禮物")</f>
        <v>●小禮物</v>
      </c>
      <c r="H3941" s="8"/>
    </row>
    <row r="3942">
      <c r="A3942" s="18"/>
      <c r="B3942" s="14">
        <f>IFERROR(__xludf.DUMMYFUNCTION("""COMPUTED_VALUE"""),670346.0)</f>
        <v>670346</v>
      </c>
      <c r="C3942" s="14" t="str">
        <f>IFERROR(__xludf.DUMMYFUNCTION("""COMPUTED_VALUE"""),"薛凱元")</f>
        <v>薛凱元</v>
      </c>
      <c r="D3942" s="16" t="str">
        <f>IFERROR(__xludf.DUMMYFUNCTION("""COMPUTED_VALUE"""),"106*****mail.phc.edu.tw")</f>
        <v>106*****mail.phc.edu.tw</v>
      </c>
      <c r="E3942" s="17" t="str">
        <f>IFERROR(__xludf.DUMMYFUNCTION("""COMPUTED_VALUE"""),"澎湖縣馬公市中興國民小學")</f>
        <v>澎湖縣馬公市中興國民小學</v>
      </c>
      <c r="F3942" s="14" t="str">
        <f>IFERROR(__xludf.DUMMYFUNCTION("""COMPUTED_VALUE"""),"六年級")</f>
        <v>六年級</v>
      </c>
      <c r="G3942" s="14" t="str">
        <f>IFERROR(__xludf.DUMMYFUNCTION("""COMPUTED_VALUE"""),"獎狀")</f>
        <v>獎狀</v>
      </c>
      <c r="H3942" s="8"/>
    </row>
    <row r="3943">
      <c r="A3943" s="18"/>
      <c r="B3943" s="14">
        <f>IFERROR(__xludf.DUMMYFUNCTION("""COMPUTED_VALUE"""),363549.0)</f>
        <v>363549</v>
      </c>
      <c r="C3943" s="14" t="str">
        <f>IFERROR(__xludf.DUMMYFUNCTION("""COMPUTED_VALUE"""),"陳奕愷")</f>
        <v>陳奕愷</v>
      </c>
      <c r="D3943" s="16" t="str">
        <f>IFERROR(__xludf.DUMMYFUNCTION("""COMPUTED_VALUE"""),"bri*****6146@mail.edu.tw")</f>
        <v>bri*****6146@mail.edu.tw</v>
      </c>
      <c r="E3943" s="17" t="str">
        <f>IFERROR(__xludf.DUMMYFUNCTION("""COMPUTED_VALUE"""),"澎湖縣馬公市中興國民小學")</f>
        <v>澎湖縣馬公市中興國民小學</v>
      </c>
      <c r="F3943" s="14" t="str">
        <f>IFERROR(__xludf.DUMMYFUNCTION("""COMPUTED_VALUE"""),"六年級")</f>
        <v>六年級</v>
      </c>
      <c r="G3943" s="14" t="str">
        <f>IFERROR(__xludf.DUMMYFUNCTION("""COMPUTED_VALUE"""),"獎狀")</f>
        <v>獎狀</v>
      </c>
      <c r="H3943" s="8"/>
    </row>
    <row r="3944">
      <c r="A3944" s="18"/>
      <c r="B3944" s="14">
        <f>IFERROR(__xludf.DUMMYFUNCTION("""COMPUTED_VALUE"""),888612.0)</f>
        <v>888612</v>
      </c>
      <c r="C3944" s="14" t="str">
        <f>IFERROR(__xludf.DUMMYFUNCTION("""COMPUTED_VALUE"""),"王楒惟")</f>
        <v>王楒惟</v>
      </c>
      <c r="D3944" s="16" t="str">
        <f>IFERROR(__xludf.DUMMYFUNCTION("""COMPUTED_VALUE"""),"phc*****37@mail.edu.tw")</f>
        <v>phc*****37@mail.edu.tw</v>
      </c>
      <c r="E3944" s="17" t="str">
        <f>IFERROR(__xludf.DUMMYFUNCTION("""COMPUTED_VALUE"""),"澎湖縣馬公市文澳國民小學")</f>
        <v>澎湖縣馬公市文澳國民小學</v>
      </c>
      <c r="F3944" s="14" t="str">
        <f>IFERROR(__xludf.DUMMYFUNCTION("""COMPUTED_VALUE"""),"四年級")</f>
        <v>四年級</v>
      </c>
      <c r="G3944" s="14" t="str">
        <f>IFERROR(__xludf.DUMMYFUNCTION("""COMPUTED_VALUE"""),"獎狀")</f>
        <v>獎狀</v>
      </c>
      <c r="H3944" s="8"/>
    </row>
    <row r="3945">
      <c r="A3945" s="18"/>
      <c r="B3945" s="14">
        <f>IFERROR(__xludf.DUMMYFUNCTION("""COMPUTED_VALUE"""),363356.0)</f>
        <v>363356</v>
      </c>
      <c r="C3945" s="14" t="str">
        <f>IFERROR(__xludf.DUMMYFUNCTION("""COMPUTED_VALUE"""),"林芯睿")</f>
        <v>林芯睿</v>
      </c>
      <c r="D3945" s="16" t="str">
        <f>IFERROR(__xludf.DUMMYFUNCTION("""COMPUTED_VALUE"""),"108*****mail.phc.edu.tw")</f>
        <v>108*****mail.phc.edu.tw</v>
      </c>
      <c r="E3945" s="17" t="str">
        <f>IFERROR(__xludf.DUMMYFUNCTION("""COMPUTED_VALUE"""),"澎湖縣馬公市文澳國民小學")</f>
        <v>澎湖縣馬公市文澳國民小學</v>
      </c>
      <c r="F3945" s="14" t="str">
        <f>IFERROR(__xludf.DUMMYFUNCTION("""COMPUTED_VALUE"""),"四年級")</f>
        <v>四年級</v>
      </c>
      <c r="G3945" s="14" t="str">
        <f>IFERROR(__xludf.DUMMYFUNCTION("""COMPUTED_VALUE"""),"獎狀")</f>
        <v>獎狀</v>
      </c>
      <c r="H3945" s="8"/>
    </row>
    <row r="3946">
      <c r="A3946" s="18"/>
      <c r="B3946" s="14">
        <f>IFERROR(__xludf.DUMMYFUNCTION("""COMPUTED_VALUE"""),835144.0)</f>
        <v>835144</v>
      </c>
      <c r="C3946" s="14" t="str">
        <f>IFERROR(__xludf.DUMMYFUNCTION("""COMPUTED_VALUE"""),"陳泓搢")</f>
        <v>陳泓搢</v>
      </c>
      <c r="D3946" s="16" t="str">
        <f>IFERROR(__xludf.DUMMYFUNCTION("""COMPUTED_VALUE"""),"iic*****gmai.com")</f>
        <v>iic*****gmai.com</v>
      </c>
      <c r="E3946" s="17" t="str">
        <f>IFERROR(__xludf.DUMMYFUNCTION("""COMPUTED_VALUE"""),"澎湖縣馬公市文澳國民小學")</f>
        <v>澎湖縣馬公市文澳國民小學</v>
      </c>
      <c r="F3946" s="14" t="str">
        <f>IFERROR(__xludf.DUMMYFUNCTION("""COMPUTED_VALUE"""),"四年級")</f>
        <v>四年級</v>
      </c>
      <c r="G3946" s="14" t="str">
        <f>IFERROR(__xludf.DUMMYFUNCTION("""COMPUTED_VALUE"""),"獎狀")</f>
        <v>獎狀</v>
      </c>
      <c r="H3946" s="8"/>
    </row>
    <row r="3947">
      <c r="A3947" s="18"/>
      <c r="B3947" s="14">
        <f>IFERROR(__xludf.DUMMYFUNCTION("""COMPUTED_VALUE"""),1077323.0)</f>
        <v>1077323</v>
      </c>
      <c r="C3947" s="14" t="str">
        <f>IFERROR(__xludf.DUMMYFUNCTION("""COMPUTED_VALUE"""),"林子珺")</f>
        <v>林子珺</v>
      </c>
      <c r="D3947" s="16" t="str">
        <f>IFERROR(__xludf.DUMMYFUNCTION("""COMPUTED_VALUE"""),"107*****mail.phc.edu.tw")</f>
        <v>107*****mail.phc.edu.tw</v>
      </c>
      <c r="E3947" s="17" t="str">
        <f>IFERROR(__xludf.DUMMYFUNCTION("""COMPUTED_VALUE"""),"澎湖縣馬公市馬公國民小學")</f>
        <v>澎湖縣馬公市馬公國民小學</v>
      </c>
      <c r="F3947" s="14" t="str">
        <f>IFERROR(__xludf.DUMMYFUNCTION("""COMPUTED_VALUE"""),"五年級")</f>
        <v>五年級</v>
      </c>
      <c r="G3947" s="14" t="str">
        <f>IFERROR(__xludf.DUMMYFUNCTION("""COMPUTED_VALUE"""),"獎狀")</f>
        <v>獎狀</v>
      </c>
      <c r="H3947" s="8"/>
    </row>
    <row r="3948">
      <c r="A3948" s="18"/>
      <c r="B3948" s="14">
        <f>IFERROR(__xludf.DUMMYFUNCTION("""COMPUTED_VALUE"""),373973.0)</f>
        <v>373973</v>
      </c>
      <c r="C3948" s="14" t="str">
        <f>IFERROR(__xludf.DUMMYFUNCTION("""COMPUTED_VALUE"""),"周鼎期")</f>
        <v>周鼎期</v>
      </c>
      <c r="D3948" s="16" t="str">
        <f>IFERROR(__xludf.DUMMYFUNCTION("""COMPUTED_VALUE"""),"106*****mail.phc.edu.tw")</f>
        <v>106*****mail.phc.edu.tw</v>
      </c>
      <c r="E3948" s="17" t="str">
        <f>IFERROR(__xludf.DUMMYFUNCTION("""COMPUTED_VALUE"""),"澎湖縣馬公市中山國民小學")</f>
        <v>澎湖縣馬公市中山國民小學</v>
      </c>
      <c r="F3948" s="14" t="str">
        <f>IFERROR(__xludf.DUMMYFUNCTION("""COMPUTED_VALUE"""),"六年級")</f>
        <v>六年級</v>
      </c>
      <c r="G3948" s="14" t="str">
        <f>IFERROR(__xludf.DUMMYFUNCTION("""COMPUTED_VALUE"""),"獎狀")</f>
        <v>獎狀</v>
      </c>
      <c r="H3948" s="8"/>
    </row>
    <row r="3949">
      <c r="A3949" s="18"/>
      <c r="B3949" s="14">
        <f>IFERROR(__xludf.DUMMYFUNCTION("""COMPUTED_VALUE"""),1076299.0)</f>
        <v>1076299</v>
      </c>
      <c r="C3949" s="14" t="str">
        <f>IFERROR(__xludf.DUMMYFUNCTION("""COMPUTED_VALUE"""),"高翊庭")</f>
        <v>高翊庭</v>
      </c>
      <c r="D3949" s="16" t="str">
        <f>IFERROR(__xludf.DUMMYFUNCTION("""COMPUTED_VALUE"""),"109*****mail.phc.edu.tw")</f>
        <v>109*****mail.phc.edu.tw</v>
      </c>
      <c r="E3949" s="17" t="str">
        <f>IFERROR(__xludf.DUMMYFUNCTION("""COMPUTED_VALUE"""),"澎湖縣望安鄉花嶼國民小學")</f>
        <v>澎湖縣望安鄉花嶼國民小學</v>
      </c>
      <c r="F3949" s="14" t="str">
        <f>IFERROR(__xludf.DUMMYFUNCTION("""COMPUTED_VALUE"""),"三年級")</f>
        <v>三年級</v>
      </c>
      <c r="G3949" s="14" t="str">
        <f>IFERROR(__xludf.DUMMYFUNCTION("""COMPUTED_VALUE"""),"獎狀")</f>
        <v>獎狀</v>
      </c>
      <c r="H3949" s="8"/>
    </row>
    <row r="3950">
      <c r="A3950" s="18"/>
      <c r="B3950" s="14">
        <f>IFERROR(__xludf.DUMMYFUNCTION("""COMPUTED_VALUE"""),403805.0)</f>
        <v>403805</v>
      </c>
      <c r="C3950" s="14" t="str">
        <f>IFERROR(__xludf.DUMMYFUNCTION("""COMPUTED_VALUE"""),"高婕玲")</f>
        <v>高婕玲</v>
      </c>
      <c r="D3950" s="16" t="str">
        <f>IFERROR(__xludf.DUMMYFUNCTION("""COMPUTED_VALUE"""),"107*****mail.phc.edu.tw")</f>
        <v>107*****mail.phc.edu.tw</v>
      </c>
      <c r="E3950" s="17" t="str">
        <f>IFERROR(__xludf.DUMMYFUNCTION("""COMPUTED_VALUE"""),"澎湖縣望安鄉花嶼國民小學")</f>
        <v>澎湖縣望安鄉花嶼國民小學</v>
      </c>
      <c r="F3950" s="14" t="str">
        <f>IFERROR(__xludf.DUMMYFUNCTION("""COMPUTED_VALUE"""),"五年級")</f>
        <v>五年級</v>
      </c>
      <c r="G3950" s="14" t="str">
        <f>IFERROR(__xludf.DUMMYFUNCTION("""COMPUTED_VALUE"""),"獎狀")</f>
        <v>獎狀</v>
      </c>
      <c r="H3950" s="8"/>
    </row>
    <row r="3951">
      <c r="A3951" s="18"/>
      <c r="B3951" s="14">
        <f>IFERROR(__xludf.DUMMYFUNCTION("""COMPUTED_VALUE"""),880730.0)</f>
        <v>880730</v>
      </c>
      <c r="C3951" s="14" t="str">
        <f>IFERROR(__xludf.DUMMYFUNCTION("""COMPUTED_VALUE"""),"陳茸杏")</f>
        <v>陳茸杏</v>
      </c>
      <c r="D3951" s="16" t="str">
        <f>IFERROR(__xludf.DUMMYFUNCTION("""COMPUTED_VALUE"""),"108*****mail.phc.edu.tw")</f>
        <v>108*****mail.phc.edu.tw</v>
      </c>
      <c r="E3951" s="17" t="str">
        <f>IFERROR(__xludf.DUMMYFUNCTION("""COMPUTED_VALUE"""),"澎湖縣望安鄉將軍國民小學")</f>
        <v>澎湖縣望安鄉將軍國民小學</v>
      </c>
      <c r="F3951" s="14" t="str">
        <f>IFERROR(__xludf.DUMMYFUNCTION("""COMPUTED_VALUE"""),"四年級")</f>
        <v>四年級</v>
      </c>
      <c r="G3951" s="14" t="str">
        <f>IFERROR(__xludf.DUMMYFUNCTION("""COMPUTED_VALUE"""),"●小禮物")</f>
        <v>●小禮物</v>
      </c>
      <c r="H3951" s="8"/>
    </row>
    <row r="3952">
      <c r="A3952" s="18"/>
      <c r="B3952" s="14">
        <f>IFERROR(__xludf.DUMMYFUNCTION("""COMPUTED_VALUE"""),1158641.0)</f>
        <v>1158641</v>
      </c>
      <c r="C3952" s="14" t="str">
        <f>IFERROR(__xludf.DUMMYFUNCTION("""COMPUTED_VALUE"""),"王佑丞")</f>
        <v>王佑丞</v>
      </c>
      <c r="D3952" s="16" t="str">
        <f>IFERROR(__xludf.DUMMYFUNCTION("""COMPUTED_VALUE"""),"108*****mail.phc.edu.tw")</f>
        <v>108*****mail.phc.edu.tw</v>
      </c>
      <c r="E3952" s="17" t="str">
        <f>IFERROR(__xludf.DUMMYFUNCTION("""COMPUTED_VALUE"""),"澎湖縣白沙鄉中屯國民小學")</f>
        <v>澎湖縣白沙鄉中屯國民小學</v>
      </c>
      <c r="F3952" s="14" t="str">
        <f>IFERROR(__xludf.DUMMYFUNCTION("""COMPUTED_VALUE"""),"四年級")</f>
        <v>四年級</v>
      </c>
      <c r="G3952" s="14" t="str">
        <f>IFERROR(__xludf.DUMMYFUNCTION("""COMPUTED_VALUE"""),"獎狀")</f>
        <v>獎狀</v>
      </c>
      <c r="H3952" s="8"/>
    </row>
    <row r="3953">
      <c r="A3953" s="18"/>
      <c r="B3953" s="14">
        <f>IFERROR(__xludf.DUMMYFUNCTION("""COMPUTED_VALUE"""),902742.0)</f>
        <v>902742</v>
      </c>
      <c r="C3953" s="14" t="str">
        <f>IFERROR(__xludf.DUMMYFUNCTION("""COMPUTED_VALUE"""),"呂玄翊")</f>
        <v>呂玄翊</v>
      </c>
      <c r="D3953" s="16" t="str">
        <f>IFERROR(__xludf.DUMMYFUNCTION("""COMPUTED_VALUE"""),"108*****mail.phc.edu.tw")</f>
        <v>108*****mail.phc.edu.tw</v>
      </c>
      <c r="E3953" s="17" t="str">
        <f>IFERROR(__xludf.DUMMYFUNCTION("""COMPUTED_VALUE"""),"澎湖縣白沙鄉中屯國民小學")</f>
        <v>澎湖縣白沙鄉中屯國民小學</v>
      </c>
      <c r="F3953" s="14" t="str">
        <f>IFERROR(__xludf.DUMMYFUNCTION("""COMPUTED_VALUE"""),"四年級")</f>
        <v>四年級</v>
      </c>
      <c r="G3953" s="14" t="str">
        <f>IFERROR(__xludf.DUMMYFUNCTION("""COMPUTED_VALUE"""),"獎狀")</f>
        <v>獎狀</v>
      </c>
      <c r="H3953" s="8"/>
    </row>
    <row r="3954">
      <c r="A3954" s="18"/>
      <c r="B3954" s="14">
        <f>IFERROR(__xludf.DUMMYFUNCTION("""COMPUTED_VALUE"""),1158651.0)</f>
        <v>1158651</v>
      </c>
      <c r="C3954" s="14" t="str">
        <f>IFERROR(__xludf.DUMMYFUNCTION("""COMPUTED_VALUE"""),"張季石")</f>
        <v>張季石</v>
      </c>
      <c r="D3954" s="16" t="str">
        <f>IFERROR(__xludf.DUMMYFUNCTION("""COMPUTED_VALUE"""),"108*****mail.phc.edu.tw")</f>
        <v>108*****mail.phc.edu.tw</v>
      </c>
      <c r="E3954" s="17" t="str">
        <f>IFERROR(__xludf.DUMMYFUNCTION("""COMPUTED_VALUE"""),"澎湖縣白沙鄉中屯國民小學")</f>
        <v>澎湖縣白沙鄉中屯國民小學</v>
      </c>
      <c r="F3954" s="14" t="str">
        <f>IFERROR(__xludf.DUMMYFUNCTION("""COMPUTED_VALUE"""),"四年級")</f>
        <v>四年級</v>
      </c>
      <c r="G3954" s="14" t="str">
        <f>IFERROR(__xludf.DUMMYFUNCTION("""COMPUTED_VALUE"""),"獎狀")</f>
        <v>獎狀</v>
      </c>
      <c r="H3954" s="8"/>
    </row>
    <row r="3955">
      <c r="A3955" s="18"/>
      <c r="B3955" s="14">
        <f>IFERROR(__xludf.DUMMYFUNCTION("""COMPUTED_VALUE"""),1158643.0)</f>
        <v>1158643</v>
      </c>
      <c r="C3955" s="14" t="str">
        <f>IFERROR(__xludf.DUMMYFUNCTION("""COMPUTED_VALUE"""),"廖羽謙")</f>
        <v>廖羽謙</v>
      </c>
      <c r="D3955" s="16" t="str">
        <f>IFERROR(__xludf.DUMMYFUNCTION("""COMPUTED_VALUE"""),"108*****mail.phc.edu.tw")</f>
        <v>108*****mail.phc.edu.tw</v>
      </c>
      <c r="E3955" s="17" t="str">
        <f>IFERROR(__xludf.DUMMYFUNCTION("""COMPUTED_VALUE"""),"澎湖縣白沙鄉中屯國民小學")</f>
        <v>澎湖縣白沙鄉中屯國民小學</v>
      </c>
      <c r="F3955" s="14" t="str">
        <f>IFERROR(__xludf.DUMMYFUNCTION("""COMPUTED_VALUE"""),"四年級")</f>
        <v>四年級</v>
      </c>
      <c r="G3955" s="14" t="str">
        <f>IFERROR(__xludf.DUMMYFUNCTION("""COMPUTED_VALUE"""),"獎狀")</f>
        <v>獎狀</v>
      </c>
      <c r="H3955" s="8"/>
    </row>
    <row r="3956">
      <c r="A3956" s="18"/>
      <c r="B3956" s="14">
        <f>IFERROR(__xludf.DUMMYFUNCTION("""COMPUTED_VALUE"""),638658.0)</f>
        <v>638658</v>
      </c>
      <c r="C3956" s="14" t="str">
        <f>IFERROR(__xludf.DUMMYFUNCTION("""COMPUTED_VALUE"""),"吳亭縈")</f>
        <v>吳亭縈</v>
      </c>
      <c r="D3956" s="16" t="str">
        <f>IFERROR(__xludf.DUMMYFUNCTION("""COMPUTED_VALUE"""),"107*****mail.phc.edu.tw")</f>
        <v>107*****mail.phc.edu.tw</v>
      </c>
      <c r="E3956" s="17" t="str">
        <f>IFERROR(__xludf.DUMMYFUNCTION("""COMPUTED_VALUE"""),"澎湖縣白沙鄉中屯國民小學")</f>
        <v>澎湖縣白沙鄉中屯國民小學</v>
      </c>
      <c r="F3956" s="14" t="str">
        <f>IFERROR(__xludf.DUMMYFUNCTION("""COMPUTED_VALUE"""),"五年級")</f>
        <v>五年級</v>
      </c>
      <c r="G3956" s="14" t="str">
        <f>IFERROR(__xludf.DUMMYFUNCTION("""COMPUTED_VALUE"""),"●小禮物")</f>
        <v>●小禮物</v>
      </c>
      <c r="H3956" s="8"/>
    </row>
    <row r="3957">
      <c r="A3957" s="18"/>
      <c r="B3957" s="14">
        <f>IFERROR(__xludf.DUMMYFUNCTION("""COMPUTED_VALUE"""),1168434.0)</f>
        <v>1168434</v>
      </c>
      <c r="C3957" s="14" t="str">
        <f>IFERROR(__xludf.DUMMYFUNCTION("""COMPUTED_VALUE"""),"呂家和")</f>
        <v>呂家和</v>
      </c>
      <c r="D3957" s="16" t="str">
        <f>IFERROR(__xludf.DUMMYFUNCTION("""COMPUTED_VALUE"""),"107*****mail.phc.edu.tw")</f>
        <v>107*****mail.phc.edu.tw</v>
      </c>
      <c r="E3957" s="17" t="str">
        <f>IFERROR(__xludf.DUMMYFUNCTION("""COMPUTED_VALUE"""),"澎湖縣白沙鄉中屯國民小學")</f>
        <v>澎湖縣白沙鄉中屯國民小學</v>
      </c>
      <c r="F3957" s="14" t="str">
        <f>IFERROR(__xludf.DUMMYFUNCTION("""COMPUTED_VALUE"""),"五年級")</f>
        <v>五年級</v>
      </c>
      <c r="G3957" s="14" t="str">
        <f>IFERROR(__xludf.DUMMYFUNCTION("""COMPUTED_VALUE"""),"獎狀")</f>
        <v>獎狀</v>
      </c>
      <c r="H3957" s="8"/>
    </row>
    <row r="3958">
      <c r="A3958" s="18"/>
      <c r="B3958" s="14">
        <f>IFERROR(__xludf.DUMMYFUNCTION("""COMPUTED_VALUE"""),780233.0)</f>
        <v>780233</v>
      </c>
      <c r="C3958" s="14" t="str">
        <f>IFERROR(__xludf.DUMMYFUNCTION("""COMPUTED_VALUE"""),"謝兆勛")</f>
        <v>謝兆勛</v>
      </c>
      <c r="D3958" s="16" t="str">
        <f>IFERROR(__xludf.DUMMYFUNCTION("""COMPUTED_VALUE"""),"107*****mail.phc.edu.tw")</f>
        <v>107*****mail.phc.edu.tw</v>
      </c>
      <c r="E3958" s="17" t="str">
        <f>IFERROR(__xludf.DUMMYFUNCTION("""COMPUTED_VALUE"""),"澎湖縣白沙鄉中屯國民小學")</f>
        <v>澎湖縣白沙鄉中屯國民小學</v>
      </c>
      <c r="F3958" s="14" t="str">
        <f>IFERROR(__xludf.DUMMYFUNCTION("""COMPUTED_VALUE"""),"五年級")</f>
        <v>五年級</v>
      </c>
      <c r="G3958" s="14" t="str">
        <f>IFERROR(__xludf.DUMMYFUNCTION("""COMPUTED_VALUE"""),"獎狀")</f>
        <v>獎狀</v>
      </c>
      <c r="H3958" s="8"/>
    </row>
    <row r="3959">
      <c r="A3959" s="18"/>
      <c r="B3959" s="14">
        <f>IFERROR(__xludf.DUMMYFUNCTION("""COMPUTED_VALUE"""),1156368.0)</f>
        <v>1156368</v>
      </c>
      <c r="C3959" s="14" t="str">
        <f>IFERROR(__xludf.DUMMYFUNCTION("""COMPUTED_VALUE"""),"王佑婷")</f>
        <v>王佑婷</v>
      </c>
      <c r="D3959" s="16" t="str">
        <f>IFERROR(__xludf.DUMMYFUNCTION("""COMPUTED_VALUE"""),"106*****mail.phc.edu.tw")</f>
        <v>106*****mail.phc.edu.tw</v>
      </c>
      <c r="E3959" s="17" t="str">
        <f>IFERROR(__xludf.DUMMYFUNCTION("""COMPUTED_VALUE"""),"澎湖縣白沙鄉中屯國民小學")</f>
        <v>澎湖縣白沙鄉中屯國民小學</v>
      </c>
      <c r="F3959" s="14" t="str">
        <f>IFERROR(__xludf.DUMMYFUNCTION("""COMPUTED_VALUE"""),"六年級")</f>
        <v>六年級</v>
      </c>
      <c r="G3959" s="14" t="str">
        <f>IFERROR(__xludf.DUMMYFUNCTION("""COMPUTED_VALUE"""),"●小禮物")</f>
        <v>●小禮物</v>
      </c>
      <c r="H3959" s="8"/>
    </row>
    <row r="3960">
      <c r="A3960" s="18"/>
      <c r="B3960" s="14">
        <f>IFERROR(__xludf.DUMMYFUNCTION("""COMPUTED_VALUE"""),1156375.0)</f>
        <v>1156375</v>
      </c>
      <c r="C3960" s="14" t="str">
        <f>IFERROR(__xludf.DUMMYFUNCTION("""COMPUTED_VALUE"""),"胡宇為")</f>
        <v>胡宇為</v>
      </c>
      <c r="D3960" s="16" t="str">
        <f>IFERROR(__xludf.DUMMYFUNCTION("""COMPUTED_VALUE"""),"106*****mail.phc.edu.tw")</f>
        <v>106*****mail.phc.edu.tw</v>
      </c>
      <c r="E3960" s="17" t="str">
        <f>IFERROR(__xludf.DUMMYFUNCTION("""COMPUTED_VALUE"""),"澎湖縣白沙鄉中屯國民小學")</f>
        <v>澎湖縣白沙鄉中屯國民小學</v>
      </c>
      <c r="F3960" s="14" t="str">
        <f>IFERROR(__xludf.DUMMYFUNCTION("""COMPUTED_VALUE"""),"六年級")</f>
        <v>六年級</v>
      </c>
      <c r="G3960" s="14" t="str">
        <f>IFERROR(__xludf.DUMMYFUNCTION("""COMPUTED_VALUE"""),"●小禮物")</f>
        <v>●小禮物</v>
      </c>
      <c r="H3960" s="8"/>
    </row>
    <row r="3961">
      <c r="A3961" s="18"/>
      <c r="B3961" s="14">
        <f>IFERROR(__xludf.DUMMYFUNCTION("""COMPUTED_VALUE"""),1156387.0)</f>
        <v>1156387</v>
      </c>
      <c r="C3961" s="14" t="str">
        <f>IFERROR(__xludf.DUMMYFUNCTION("""COMPUTED_VALUE"""),"張凱馨")</f>
        <v>張凱馨</v>
      </c>
      <c r="D3961" s="16" t="str">
        <f>IFERROR(__xludf.DUMMYFUNCTION("""COMPUTED_VALUE"""),"106*****mail.phc.edu.tw")</f>
        <v>106*****mail.phc.edu.tw</v>
      </c>
      <c r="E3961" s="17" t="str">
        <f>IFERROR(__xludf.DUMMYFUNCTION("""COMPUTED_VALUE"""),"澎湖縣白沙鄉中屯國民小學")</f>
        <v>澎湖縣白沙鄉中屯國民小學</v>
      </c>
      <c r="F3961" s="14" t="str">
        <f>IFERROR(__xludf.DUMMYFUNCTION("""COMPUTED_VALUE"""),"六年級")</f>
        <v>六年級</v>
      </c>
      <c r="G3961" s="14" t="str">
        <f>IFERROR(__xludf.DUMMYFUNCTION("""COMPUTED_VALUE"""),"●小禮物")</f>
        <v>●小禮物</v>
      </c>
      <c r="H3961" s="8"/>
    </row>
    <row r="3962">
      <c r="A3962" s="18"/>
      <c r="B3962" s="14">
        <f>IFERROR(__xludf.DUMMYFUNCTION("""COMPUTED_VALUE"""),1156374.0)</f>
        <v>1156374</v>
      </c>
      <c r="C3962" s="14" t="str">
        <f>IFERROR(__xludf.DUMMYFUNCTION("""COMPUTED_VALUE"""),"紀均澔")</f>
        <v>紀均澔</v>
      </c>
      <c r="D3962" s="16" t="str">
        <f>IFERROR(__xludf.DUMMYFUNCTION("""COMPUTED_VALUE"""),"106*****mail.phc.edu.tw")</f>
        <v>106*****mail.phc.edu.tw</v>
      </c>
      <c r="E3962" s="17" t="str">
        <f>IFERROR(__xludf.DUMMYFUNCTION("""COMPUTED_VALUE"""),"澎湖縣白沙鄉中屯國民小學")</f>
        <v>澎湖縣白沙鄉中屯國民小學</v>
      </c>
      <c r="F3962" s="14" t="str">
        <f>IFERROR(__xludf.DUMMYFUNCTION("""COMPUTED_VALUE"""),"六年級")</f>
        <v>六年級</v>
      </c>
      <c r="G3962" s="14" t="str">
        <f>IFERROR(__xludf.DUMMYFUNCTION("""COMPUTED_VALUE"""),"獎狀")</f>
        <v>獎狀</v>
      </c>
      <c r="H3962" s="8"/>
    </row>
    <row r="3963">
      <c r="A3963" s="18"/>
      <c r="B3963" s="14">
        <f>IFERROR(__xludf.DUMMYFUNCTION("""COMPUTED_VALUE"""),1073255.0)</f>
        <v>1073255</v>
      </c>
      <c r="C3963" s="14" t="str">
        <f>IFERROR(__xludf.DUMMYFUNCTION("""COMPUTED_VALUE"""),"劉晏")</f>
        <v>劉晏</v>
      </c>
      <c r="D3963" s="16" t="str">
        <f>IFERROR(__xludf.DUMMYFUNCTION("""COMPUTED_VALUE"""),"106*****mail.phc.edu.tw")</f>
        <v>106*****mail.phc.edu.tw</v>
      </c>
      <c r="E3963" s="17" t="str">
        <f>IFERROR(__xludf.DUMMYFUNCTION("""COMPUTED_VALUE"""),"澎湖縣白沙鄉中屯國民小學")</f>
        <v>澎湖縣白沙鄉中屯國民小學</v>
      </c>
      <c r="F3963" s="14" t="str">
        <f>IFERROR(__xludf.DUMMYFUNCTION("""COMPUTED_VALUE"""),"六年級")</f>
        <v>六年級</v>
      </c>
      <c r="G3963" s="14" t="str">
        <f>IFERROR(__xludf.DUMMYFUNCTION("""COMPUTED_VALUE"""),"獎狀")</f>
        <v>獎狀</v>
      </c>
      <c r="H3963" s="8"/>
    </row>
    <row r="3964">
      <c r="A3964" s="18"/>
      <c r="B3964" s="14">
        <f>IFERROR(__xludf.DUMMYFUNCTION("""COMPUTED_VALUE"""),1162570.0)</f>
        <v>1162570</v>
      </c>
      <c r="C3964" s="14" t="str">
        <f>IFERROR(__xludf.DUMMYFUNCTION("""COMPUTED_VALUE"""),"鄭淑芬")</f>
        <v>鄭淑芬</v>
      </c>
      <c r="D3964" s="16" t="str">
        <f>IFERROR(__xludf.DUMMYFUNCTION("""COMPUTED_VALUE"""),"106*****mail.phc.edu.tw")</f>
        <v>106*****mail.phc.edu.tw</v>
      </c>
      <c r="E3964" s="17" t="str">
        <f>IFERROR(__xludf.DUMMYFUNCTION("""COMPUTED_VALUE"""),"澎湖縣白沙鄉中屯國民小學")</f>
        <v>澎湖縣白沙鄉中屯國民小學</v>
      </c>
      <c r="F3964" s="14" t="str">
        <f>IFERROR(__xludf.DUMMYFUNCTION("""COMPUTED_VALUE"""),"六年級")</f>
        <v>六年級</v>
      </c>
      <c r="G3964" s="14" t="str">
        <f>IFERROR(__xludf.DUMMYFUNCTION("""COMPUTED_VALUE"""),"獎狀")</f>
        <v>獎狀</v>
      </c>
      <c r="H3964" s="8"/>
    </row>
    <row r="3965">
      <c r="A3965" s="18"/>
      <c r="B3965" s="14">
        <f>IFERROR(__xludf.DUMMYFUNCTION("""COMPUTED_VALUE"""),513266.0)</f>
        <v>513266</v>
      </c>
      <c r="C3965" s="14" t="str">
        <f>IFERROR(__xludf.DUMMYFUNCTION("""COMPUTED_VALUE"""),"鄭苡柔")</f>
        <v>鄭苡柔</v>
      </c>
      <c r="D3965" s="16" t="str">
        <f>IFERROR(__xludf.DUMMYFUNCTION("""COMPUTED_VALUE"""),"tyc*****81@mail.edu.tw")</f>
        <v>tyc*****81@mail.edu.tw</v>
      </c>
      <c r="E3965" s="17" t="str">
        <f>IFERROR(__xludf.DUMMYFUNCTION("""COMPUTED_VALUE"""),"澎湖縣白沙鄉鳥嶼國民小學")</f>
        <v>澎湖縣白沙鄉鳥嶼國民小學</v>
      </c>
      <c r="F3965" s="14" t="str">
        <f>IFERROR(__xludf.DUMMYFUNCTION("""COMPUTED_VALUE"""),"六年級")</f>
        <v>六年級</v>
      </c>
      <c r="G3965" s="14" t="str">
        <f>IFERROR(__xludf.DUMMYFUNCTION("""COMPUTED_VALUE"""),"獎狀")</f>
        <v>獎狀</v>
      </c>
      <c r="H3965" s="8"/>
    </row>
    <row r="3966">
      <c r="A3966" s="18"/>
      <c r="B3966" s="14">
        <f>IFERROR(__xludf.DUMMYFUNCTION("""COMPUTED_VALUE"""),541033.0)</f>
        <v>541033</v>
      </c>
      <c r="C3966" s="14" t="str">
        <f>IFERROR(__xludf.DUMMYFUNCTION("""COMPUTED_VALUE"""),"許至妍")</f>
        <v>許至妍</v>
      </c>
      <c r="D3966" s="16" t="str">
        <f>IFERROR(__xludf.DUMMYFUNCTION("""COMPUTED_VALUE"""),"lin*****tw@yahoo.com.tw")</f>
        <v>lin*****tw@yahoo.com.tw</v>
      </c>
      <c r="E3966" s="17" t="str">
        <f>IFERROR(__xludf.DUMMYFUNCTION("""COMPUTED_VALUE"""),"金門縣金城鎮中正國民小學")</f>
        <v>金門縣金城鎮中正國民小學</v>
      </c>
      <c r="F3966" s="14" t="str">
        <f>IFERROR(__xludf.DUMMYFUNCTION("""COMPUTED_VALUE"""),"六年級")</f>
        <v>六年級</v>
      </c>
      <c r="G3966" s="14" t="str">
        <f>IFERROR(__xludf.DUMMYFUNCTION("""COMPUTED_VALUE"""),"●小禮物")</f>
        <v>●小禮物</v>
      </c>
      <c r="H3966" s="8"/>
    </row>
    <row r="3967">
      <c r="A3967" s="18"/>
      <c r="B3967" s="14">
        <f>IFERROR(__xludf.DUMMYFUNCTION("""COMPUTED_VALUE"""),939226.0)</f>
        <v>939226</v>
      </c>
      <c r="C3967" s="14" t="str">
        <f>IFERROR(__xludf.DUMMYFUNCTION("""COMPUTED_VALUE"""),"陳秉嘉")</f>
        <v>陳秉嘉</v>
      </c>
      <c r="D3967" s="16" t="str">
        <f>IFERROR(__xludf.DUMMYFUNCTION("""COMPUTED_VALUE"""),"ka7*****m@mail.edu.tw")</f>
        <v>ka7*****m@mail.edu.tw</v>
      </c>
      <c r="E3967" s="17" t="str">
        <f>IFERROR(__xludf.DUMMYFUNCTION("""COMPUTED_VALUE"""),"金門縣金城鎮中正國民小學")</f>
        <v>金門縣金城鎮中正國民小學</v>
      </c>
      <c r="F3967" s="14" t="str">
        <f>IFERROR(__xludf.DUMMYFUNCTION("""COMPUTED_VALUE"""),"六年級")</f>
        <v>六年級</v>
      </c>
      <c r="G3967" s="14" t="str">
        <f>IFERROR(__xludf.DUMMYFUNCTION("""COMPUTED_VALUE"""),"●小禮物")</f>
        <v>●小禮物</v>
      </c>
      <c r="H3967" s="8"/>
    </row>
    <row r="3968">
      <c r="A3968" s="18"/>
      <c r="B3968" s="14">
        <f>IFERROR(__xludf.DUMMYFUNCTION("""COMPUTED_VALUE"""),1091408.0)</f>
        <v>1091408</v>
      </c>
      <c r="C3968" s="14" t="str">
        <f>IFERROR(__xludf.DUMMYFUNCTION("""COMPUTED_VALUE"""),"洪苡芯")</f>
        <v>洪苡芯</v>
      </c>
      <c r="D3968" s="16" t="str">
        <f>IFERROR(__xludf.DUMMYFUNCTION("""COMPUTED_VALUE"""),"kb7*****nc.km.edu.tw")</f>
        <v>kb7*****nc.km.edu.tw</v>
      </c>
      <c r="E3968" s="17" t="str">
        <f>IFERROR(__xludf.DUMMYFUNCTION("""COMPUTED_VALUE"""),"金門縣烈嶼鄉上岐國民小學")</f>
        <v>金門縣烈嶼鄉上岐國民小學</v>
      </c>
      <c r="F3968" s="14" t="str">
        <f>IFERROR(__xludf.DUMMYFUNCTION("""COMPUTED_VALUE"""),"四年級")</f>
        <v>四年級</v>
      </c>
      <c r="G3968" s="14" t="str">
        <f>IFERROR(__xludf.DUMMYFUNCTION("""COMPUTED_VALUE"""),"●小禮物")</f>
        <v>●小禮物</v>
      </c>
      <c r="H3968" s="8"/>
    </row>
    <row r="3969">
      <c r="A3969" s="18"/>
      <c r="B3969" s="14">
        <f>IFERROR(__xludf.DUMMYFUNCTION("""COMPUTED_VALUE"""),1091407.0)</f>
        <v>1091407</v>
      </c>
      <c r="C3969" s="14" t="str">
        <f>IFERROR(__xludf.DUMMYFUNCTION("""COMPUTED_VALUE"""),"洪子涵")</f>
        <v>洪子涵</v>
      </c>
      <c r="D3969" s="16" t="str">
        <f>IFERROR(__xludf.DUMMYFUNCTION("""COMPUTED_VALUE"""),"kb7*****nc.km.edu.tw")</f>
        <v>kb7*****nc.km.edu.tw</v>
      </c>
      <c r="E3969" s="17" t="str">
        <f>IFERROR(__xludf.DUMMYFUNCTION("""COMPUTED_VALUE"""),"金門縣烈嶼鄉上岐國民小學")</f>
        <v>金門縣烈嶼鄉上岐國民小學</v>
      </c>
      <c r="F3969" s="14" t="str">
        <f>IFERROR(__xludf.DUMMYFUNCTION("""COMPUTED_VALUE"""),"四年級")</f>
        <v>四年級</v>
      </c>
      <c r="G3969" s="14" t="str">
        <f>IFERROR(__xludf.DUMMYFUNCTION("""COMPUTED_VALUE"""),"獎狀")</f>
        <v>獎狀</v>
      </c>
      <c r="H3969" s="8"/>
    </row>
    <row r="3970">
      <c r="A3970" s="18"/>
      <c r="B3970" s="14">
        <f>IFERROR(__xludf.DUMMYFUNCTION("""COMPUTED_VALUE"""),1091427.0)</f>
        <v>1091427</v>
      </c>
      <c r="C3970" s="14" t="str">
        <f>IFERROR(__xludf.DUMMYFUNCTION("""COMPUTED_VALUE"""),"洪苡瑄")</f>
        <v>洪苡瑄</v>
      </c>
      <c r="D3970" s="16" t="str">
        <f>IFERROR(__xludf.DUMMYFUNCTION("""COMPUTED_VALUE"""),"kc7*****nc.km.edu.tw")</f>
        <v>kc7*****nc.km.edu.tw</v>
      </c>
      <c r="E3970" s="17" t="str">
        <f>IFERROR(__xludf.DUMMYFUNCTION("""COMPUTED_VALUE"""),"金門縣烈嶼鄉上岐國民小學")</f>
        <v>金門縣烈嶼鄉上岐國民小學</v>
      </c>
      <c r="F3970" s="14" t="str">
        <f>IFERROR(__xludf.DUMMYFUNCTION("""COMPUTED_VALUE"""),"四年級")</f>
        <v>四年級</v>
      </c>
      <c r="G3970" s="14" t="str">
        <f>IFERROR(__xludf.DUMMYFUNCTION("""COMPUTED_VALUE"""),"獎狀")</f>
        <v>獎狀</v>
      </c>
      <c r="H3970" s="8"/>
    </row>
    <row r="3971">
      <c r="A3971" s="18"/>
      <c r="B3971" s="14">
        <f>IFERROR(__xludf.DUMMYFUNCTION("""COMPUTED_VALUE"""),1088888.0)</f>
        <v>1088888</v>
      </c>
      <c r="C3971" s="14" t="str">
        <f>IFERROR(__xludf.DUMMYFUNCTION("""COMPUTED_VALUE"""),"陳玉麒")</f>
        <v>陳玉麒</v>
      </c>
      <c r="D3971" s="16" t="str">
        <f>IFERROR(__xludf.DUMMYFUNCTION("""COMPUTED_VALUE"""),"ka3*****nc.km.edu.tw")</f>
        <v>ka3*****nc.km.edu.tw</v>
      </c>
      <c r="E3971" s="17" t="str">
        <f>IFERROR(__xludf.DUMMYFUNCTION("""COMPUTED_VALUE"""),"金門縣烈嶼鄉上岐國民小學")</f>
        <v>金門縣烈嶼鄉上岐國民小學</v>
      </c>
      <c r="F3971" s="14" t="str">
        <f>IFERROR(__xludf.DUMMYFUNCTION("""COMPUTED_VALUE"""),"四年級")</f>
        <v>四年級</v>
      </c>
      <c r="G3971" s="14" t="str">
        <f>IFERROR(__xludf.DUMMYFUNCTION("""COMPUTED_VALUE"""),"獎狀")</f>
        <v>獎狀</v>
      </c>
      <c r="H3971" s="8"/>
    </row>
    <row r="3972">
      <c r="A3972" s="18"/>
      <c r="B3972" s="14">
        <f>IFERROR(__xludf.DUMMYFUNCTION("""COMPUTED_VALUE"""),1174182.0)</f>
        <v>1174182</v>
      </c>
      <c r="C3972" s="14" t="str">
        <f>IFERROR(__xludf.DUMMYFUNCTION("""COMPUTED_VALUE"""),"洪顗恩")</f>
        <v>洪顗恩</v>
      </c>
      <c r="D3972" s="16" t="str">
        <f>IFERROR(__xludf.DUMMYFUNCTION("""COMPUTED_VALUE"""),"kb2*****nc.km.edu.tw")</f>
        <v>kb2*****nc.km.edu.tw</v>
      </c>
      <c r="E3972" s="17" t="str">
        <f>IFERROR(__xludf.DUMMYFUNCTION("""COMPUTED_VALUE"""),"金門縣烈嶼鄉上岐國民小學")</f>
        <v>金門縣烈嶼鄉上岐國民小學</v>
      </c>
      <c r="F3972" s="14" t="str">
        <f>IFERROR(__xludf.DUMMYFUNCTION("""COMPUTED_VALUE"""),"五年級")</f>
        <v>五年級</v>
      </c>
      <c r="G3972" s="14" t="str">
        <f>IFERROR(__xludf.DUMMYFUNCTION("""COMPUTED_VALUE"""),"●小禮物")</f>
        <v>●小禮物</v>
      </c>
      <c r="H3972" s="8"/>
    </row>
    <row r="3973">
      <c r="A3973" s="18"/>
      <c r="B3973" s="14">
        <f>IFERROR(__xludf.DUMMYFUNCTION("""COMPUTED_VALUE"""),1126205.0)</f>
        <v>1126205</v>
      </c>
      <c r="C3973" s="14" t="str">
        <f>IFERROR(__xludf.DUMMYFUNCTION("""COMPUTED_VALUE"""),"薛筠樺")</f>
        <v>薛筠樺</v>
      </c>
      <c r="D3973" s="16" t="str">
        <f>IFERROR(__xludf.DUMMYFUNCTION("""COMPUTED_VALUE"""),"a78*****@gmail.com")</f>
        <v>a78*****@gmail.com</v>
      </c>
      <c r="E3973" s="17" t="str">
        <f>IFERROR(__xludf.DUMMYFUNCTION("""COMPUTED_VALUE"""),"屏東縣屏東市中正國民小學")</f>
        <v>屏東縣屏東市中正國民小學</v>
      </c>
      <c r="F3973" s="14" t="str">
        <f>IFERROR(__xludf.DUMMYFUNCTION("""COMPUTED_VALUE"""),"三年級")</f>
        <v>三年級</v>
      </c>
      <c r="G3973" s="14" t="str">
        <f>IFERROR(__xludf.DUMMYFUNCTION("""COMPUTED_VALUE"""),"獎狀")</f>
        <v>獎狀</v>
      </c>
      <c r="H3973" s="8"/>
    </row>
    <row r="3974">
      <c r="A3974" s="18"/>
      <c r="B3974" s="14">
        <f>IFERROR(__xludf.DUMMYFUNCTION("""COMPUTED_VALUE"""),83611.0)</f>
        <v>83611</v>
      </c>
      <c r="C3974" s="14" t="str">
        <f>IFERROR(__xludf.DUMMYFUNCTION("""COMPUTED_VALUE"""),"蕭亦圻")</f>
        <v>蕭亦圻</v>
      </c>
      <c r="D3974" s="16" t="str">
        <f>IFERROR(__xludf.DUMMYFUNCTION("""COMPUTED_VALUE"""),"jac*****05@yahoo.com.tw")</f>
        <v>jac*****05@yahoo.com.tw</v>
      </c>
      <c r="E3974" s="17" t="str">
        <f>IFERROR(__xludf.DUMMYFUNCTION("""COMPUTED_VALUE"""),"屏東縣屏東市中正國民小學")</f>
        <v>屏東縣屏東市中正國民小學</v>
      </c>
      <c r="F3974" s="14" t="str">
        <f>IFERROR(__xludf.DUMMYFUNCTION("""COMPUTED_VALUE"""),"三年級")</f>
        <v>三年級</v>
      </c>
      <c r="G3974" s="14" t="str">
        <f>IFERROR(__xludf.DUMMYFUNCTION("""COMPUTED_VALUE"""),"獎狀")</f>
        <v>獎狀</v>
      </c>
      <c r="H3974" s="8"/>
    </row>
    <row r="3975">
      <c r="A3975" s="18"/>
      <c r="B3975" s="14">
        <f>IFERROR(__xludf.DUMMYFUNCTION("""COMPUTED_VALUE"""),1190197.0)</f>
        <v>1190197</v>
      </c>
      <c r="C3975" s="14" t="str">
        <f>IFERROR(__xludf.DUMMYFUNCTION("""COMPUTED_VALUE"""),"黃馨瑩")</f>
        <v>黃馨瑩</v>
      </c>
      <c r="D3975" s="16" t="str">
        <f>IFERROR(__xludf.DUMMYFUNCTION("""COMPUTED_VALUE"""),"dtp*****17@dtps.ptc.edu.tw")</f>
        <v>dtp*****17@dtps.ptc.edu.tw</v>
      </c>
      <c r="E3975" s="17" t="str">
        <f>IFERROR(__xludf.DUMMYFUNCTION("""COMPUTED_VALUE"""),"屏東縣屏東市大同國民小學")</f>
        <v>屏東縣屏東市大同國民小學</v>
      </c>
      <c r="F3975" s="14" t="str">
        <f>IFERROR(__xludf.DUMMYFUNCTION("""COMPUTED_VALUE"""),"四年級")</f>
        <v>四年級</v>
      </c>
      <c r="G3975" s="14" t="str">
        <f>IFERROR(__xludf.DUMMYFUNCTION("""COMPUTED_VALUE"""),"●小禮物")</f>
        <v>●小禮物</v>
      </c>
      <c r="H3975" s="8"/>
    </row>
    <row r="3976">
      <c r="A3976" s="18"/>
      <c r="B3976" s="14">
        <f>IFERROR(__xludf.DUMMYFUNCTION("""COMPUTED_VALUE"""),952572.0)</f>
        <v>952572</v>
      </c>
      <c r="C3976" s="14" t="str">
        <f>IFERROR(__xludf.DUMMYFUNCTION("""COMPUTED_VALUE"""),"宋以萱")</f>
        <v>宋以萱</v>
      </c>
      <c r="D3976" s="16" t="str">
        <f>IFERROR(__xludf.DUMMYFUNCTION("""COMPUTED_VALUE"""),"dtp*****15@dtps.ptc.edu.tw")</f>
        <v>dtp*****15@dtps.ptc.edu.tw</v>
      </c>
      <c r="E3976" s="17" t="str">
        <f>IFERROR(__xludf.DUMMYFUNCTION("""COMPUTED_VALUE"""),"屏東縣屏東市大同國民小學")</f>
        <v>屏東縣屏東市大同國民小學</v>
      </c>
      <c r="F3976" s="14" t="str">
        <f>IFERROR(__xludf.DUMMYFUNCTION("""COMPUTED_VALUE"""),"四年級")</f>
        <v>四年級</v>
      </c>
      <c r="G3976" s="14" t="str">
        <f>IFERROR(__xludf.DUMMYFUNCTION("""COMPUTED_VALUE"""),"●小禮物")</f>
        <v>●小禮物</v>
      </c>
      <c r="H3976" s="8"/>
    </row>
    <row r="3977">
      <c r="A3977" s="18"/>
      <c r="B3977" s="14">
        <f>IFERROR(__xludf.DUMMYFUNCTION("""COMPUTED_VALUE"""),952562.0)</f>
        <v>952562</v>
      </c>
      <c r="C3977" s="14" t="str">
        <f>IFERROR(__xludf.DUMMYFUNCTION("""COMPUTED_VALUE"""),"林妤潔")</f>
        <v>林妤潔</v>
      </c>
      <c r="D3977" s="16" t="str">
        <f>IFERROR(__xludf.DUMMYFUNCTION("""COMPUTED_VALUE"""),"dtp*****05@dtps.ptc.edu.tw")</f>
        <v>dtp*****05@dtps.ptc.edu.tw</v>
      </c>
      <c r="E3977" s="17" t="str">
        <f>IFERROR(__xludf.DUMMYFUNCTION("""COMPUTED_VALUE"""),"屏東縣屏東市大同國民小學")</f>
        <v>屏東縣屏東市大同國民小學</v>
      </c>
      <c r="F3977" s="14" t="str">
        <f>IFERROR(__xludf.DUMMYFUNCTION("""COMPUTED_VALUE"""),"四年級")</f>
        <v>四年級</v>
      </c>
      <c r="G3977" s="14" t="str">
        <f>IFERROR(__xludf.DUMMYFUNCTION("""COMPUTED_VALUE"""),"●小禮物")</f>
        <v>●小禮物</v>
      </c>
      <c r="H3977" s="8"/>
    </row>
    <row r="3978">
      <c r="A3978" s="18"/>
      <c r="B3978" s="14">
        <f>IFERROR(__xludf.DUMMYFUNCTION("""COMPUTED_VALUE"""),952567.0)</f>
        <v>952567</v>
      </c>
      <c r="C3978" s="14" t="str">
        <f>IFERROR(__xludf.DUMMYFUNCTION("""COMPUTED_VALUE"""),"高予喬")</f>
        <v>高予喬</v>
      </c>
      <c r="D3978" s="16" t="str">
        <f>IFERROR(__xludf.DUMMYFUNCTION("""COMPUTED_VALUE"""),"dtp*****10@dtps.ptc.edu.tw")</f>
        <v>dtp*****10@dtps.ptc.edu.tw</v>
      </c>
      <c r="E3978" s="17" t="str">
        <f>IFERROR(__xludf.DUMMYFUNCTION("""COMPUTED_VALUE"""),"屏東縣屏東市大同國民小學")</f>
        <v>屏東縣屏東市大同國民小學</v>
      </c>
      <c r="F3978" s="14" t="str">
        <f>IFERROR(__xludf.DUMMYFUNCTION("""COMPUTED_VALUE"""),"四年級")</f>
        <v>四年級</v>
      </c>
      <c r="G3978" s="14" t="str">
        <f>IFERROR(__xludf.DUMMYFUNCTION("""COMPUTED_VALUE"""),"●小禮物")</f>
        <v>●小禮物</v>
      </c>
      <c r="H3978" s="8"/>
    </row>
    <row r="3979">
      <c r="A3979" s="18"/>
      <c r="B3979" s="14">
        <f>IFERROR(__xludf.DUMMYFUNCTION("""COMPUTED_VALUE"""),952565.0)</f>
        <v>952565</v>
      </c>
      <c r="C3979" s="14" t="str">
        <f>IFERROR(__xludf.DUMMYFUNCTION("""COMPUTED_VALUE"""),"陳芊忏")</f>
        <v>陳芊忏</v>
      </c>
      <c r="D3979" s="16" t="str">
        <f>IFERROR(__xludf.DUMMYFUNCTION("""COMPUTED_VALUE"""),"dtp*****08@dtps.ptc.edu.tw")</f>
        <v>dtp*****08@dtps.ptc.edu.tw</v>
      </c>
      <c r="E3979" s="17" t="str">
        <f>IFERROR(__xludf.DUMMYFUNCTION("""COMPUTED_VALUE"""),"屏東縣屏東市大同國民小學")</f>
        <v>屏東縣屏東市大同國民小學</v>
      </c>
      <c r="F3979" s="14" t="str">
        <f>IFERROR(__xludf.DUMMYFUNCTION("""COMPUTED_VALUE"""),"四年級")</f>
        <v>四年級</v>
      </c>
      <c r="G3979" s="14" t="str">
        <f>IFERROR(__xludf.DUMMYFUNCTION("""COMPUTED_VALUE"""),"●小禮物")</f>
        <v>●小禮物</v>
      </c>
      <c r="H3979" s="8"/>
    </row>
    <row r="3980">
      <c r="A3980" s="18"/>
      <c r="B3980" s="14">
        <f>IFERROR(__xludf.DUMMYFUNCTION("""COMPUTED_VALUE"""),952568.0)</f>
        <v>952568</v>
      </c>
      <c r="C3980" s="14" t="str">
        <f>IFERROR(__xludf.DUMMYFUNCTION("""COMPUTED_VALUE"""),"陳姸希")</f>
        <v>陳姸希</v>
      </c>
      <c r="D3980" s="16" t="str">
        <f>IFERROR(__xludf.DUMMYFUNCTION("""COMPUTED_VALUE"""),"dtp*****11@dtps.ptc.edu.tw")</f>
        <v>dtp*****11@dtps.ptc.edu.tw</v>
      </c>
      <c r="E3980" s="17" t="str">
        <f>IFERROR(__xludf.DUMMYFUNCTION("""COMPUTED_VALUE"""),"屏東縣屏東市大同國民小學")</f>
        <v>屏東縣屏東市大同國民小學</v>
      </c>
      <c r="F3980" s="14" t="str">
        <f>IFERROR(__xludf.DUMMYFUNCTION("""COMPUTED_VALUE"""),"四年級")</f>
        <v>四年級</v>
      </c>
      <c r="G3980" s="14" t="str">
        <f>IFERROR(__xludf.DUMMYFUNCTION("""COMPUTED_VALUE"""),"●小禮物")</f>
        <v>●小禮物</v>
      </c>
      <c r="H3980" s="8"/>
    </row>
    <row r="3981">
      <c r="A3981" s="18"/>
      <c r="B3981" s="14">
        <f>IFERROR(__xludf.DUMMYFUNCTION("""COMPUTED_VALUE"""),952563.0)</f>
        <v>952563</v>
      </c>
      <c r="C3981" s="14" t="str">
        <f>IFERROR(__xludf.DUMMYFUNCTION("""COMPUTED_VALUE"""),"陳宣沂")</f>
        <v>陳宣沂</v>
      </c>
      <c r="D3981" s="16" t="str">
        <f>IFERROR(__xludf.DUMMYFUNCTION("""COMPUTED_VALUE"""),"dtp*****06@dtps.ptc.edu.tw")</f>
        <v>dtp*****06@dtps.ptc.edu.tw</v>
      </c>
      <c r="E3981" s="17" t="str">
        <f>IFERROR(__xludf.DUMMYFUNCTION("""COMPUTED_VALUE"""),"屏東縣屏東市大同國民小學")</f>
        <v>屏東縣屏東市大同國民小學</v>
      </c>
      <c r="F3981" s="14" t="str">
        <f>IFERROR(__xludf.DUMMYFUNCTION("""COMPUTED_VALUE"""),"四年級")</f>
        <v>四年級</v>
      </c>
      <c r="G3981" s="14" t="str">
        <f>IFERROR(__xludf.DUMMYFUNCTION("""COMPUTED_VALUE"""),"●小禮物")</f>
        <v>●小禮物</v>
      </c>
      <c r="H3981" s="8"/>
    </row>
    <row r="3982">
      <c r="A3982" s="18"/>
      <c r="B3982" s="14">
        <f>IFERROR(__xludf.DUMMYFUNCTION("""COMPUTED_VALUE"""),952566.0)</f>
        <v>952566</v>
      </c>
      <c r="C3982" s="14" t="str">
        <f>IFERROR(__xludf.DUMMYFUNCTION("""COMPUTED_VALUE"""),"蔡亞庭")</f>
        <v>蔡亞庭</v>
      </c>
      <c r="D3982" s="16" t="str">
        <f>IFERROR(__xludf.DUMMYFUNCTION("""COMPUTED_VALUE"""),"dtp*****09@dtps.ptc.edu.tw")</f>
        <v>dtp*****09@dtps.ptc.edu.tw</v>
      </c>
      <c r="E3982" s="17" t="str">
        <f>IFERROR(__xludf.DUMMYFUNCTION("""COMPUTED_VALUE"""),"屏東縣屏東市大同國民小學")</f>
        <v>屏東縣屏東市大同國民小學</v>
      </c>
      <c r="F3982" s="14" t="str">
        <f>IFERROR(__xludf.DUMMYFUNCTION("""COMPUTED_VALUE"""),"四年級")</f>
        <v>四年級</v>
      </c>
      <c r="G3982" s="14" t="str">
        <f>IFERROR(__xludf.DUMMYFUNCTION("""COMPUTED_VALUE"""),"●小禮物")</f>
        <v>●小禮物</v>
      </c>
      <c r="H3982" s="8"/>
    </row>
    <row r="3983">
      <c r="A3983" s="18"/>
      <c r="B3983" s="14">
        <f>IFERROR(__xludf.DUMMYFUNCTION("""COMPUTED_VALUE"""),964997.0)</f>
        <v>964997</v>
      </c>
      <c r="C3983" s="14" t="str">
        <f>IFERROR(__xludf.DUMMYFUNCTION("""COMPUTED_VALUE"""),"林桓愷")</f>
        <v>林桓愷</v>
      </c>
      <c r="D3983" s="16" t="str">
        <f>IFERROR(__xludf.DUMMYFUNCTION("""COMPUTED_VALUE"""),"dtp*****16@dtps.ptc.edu.tw")</f>
        <v>dtp*****16@dtps.ptc.edu.tw</v>
      </c>
      <c r="E3983" s="17" t="str">
        <f>IFERROR(__xludf.DUMMYFUNCTION("""COMPUTED_VALUE"""),"屏東縣屏東市大同國民小學")</f>
        <v>屏東縣屏東市大同國民小學</v>
      </c>
      <c r="F3983" s="14" t="str">
        <f>IFERROR(__xludf.DUMMYFUNCTION("""COMPUTED_VALUE"""),"四年級")</f>
        <v>四年級</v>
      </c>
      <c r="G3983" s="14" t="str">
        <f>IFERROR(__xludf.DUMMYFUNCTION("""COMPUTED_VALUE"""),"獎狀")</f>
        <v>獎狀</v>
      </c>
      <c r="H3983" s="8"/>
    </row>
    <row r="3984">
      <c r="A3984" s="18"/>
      <c r="B3984" s="14">
        <f>IFERROR(__xludf.DUMMYFUNCTION("""COMPUTED_VALUE"""),952570.0)</f>
        <v>952570</v>
      </c>
      <c r="C3984" s="14" t="str">
        <f>IFERROR(__xludf.DUMMYFUNCTION("""COMPUTED_VALUE"""),"林曉潼")</f>
        <v>林曉潼</v>
      </c>
      <c r="D3984" s="16" t="str">
        <f>IFERROR(__xludf.DUMMYFUNCTION("""COMPUTED_VALUE"""),"dtp*****13@dtps.ptc.edu.tw")</f>
        <v>dtp*****13@dtps.ptc.edu.tw</v>
      </c>
      <c r="E3984" s="17" t="str">
        <f>IFERROR(__xludf.DUMMYFUNCTION("""COMPUTED_VALUE"""),"屏東縣屏東市大同國民小學")</f>
        <v>屏東縣屏東市大同國民小學</v>
      </c>
      <c r="F3984" s="14" t="str">
        <f>IFERROR(__xludf.DUMMYFUNCTION("""COMPUTED_VALUE"""),"四年級")</f>
        <v>四年級</v>
      </c>
      <c r="G3984" s="14" t="str">
        <f>IFERROR(__xludf.DUMMYFUNCTION("""COMPUTED_VALUE"""),"獎狀")</f>
        <v>獎狀</v>
      </c>
      <c r="H3984" s="8"/>
    </row>
    <row r="3985">
      <c r="A3985" s="18"/>
      <c r="B3985" s="14">
        <f>IFERROR(__xludf.DUMMYFUNCTION("""COMPUTED_VALUE"""),952564.0)</f>
        <v>952564</v>
      </c>
      <c r="C3985" s="14" t="str">
        <f>IFERROR(__xludf.DUMMYFUNCTION("""COMPUTED_VALUE"""),"莊昀霓")</f>
        <v>莊昀霓</v>
      </c>
      <c r="D3985" s="16" t="str">
        <f>IFERROR(__xludf.DUMMYFUNCTION("""COMPUTED_VALUE"""),"dtp*****07@dtps.ptc.edu.tw")</f>
        <v>dtp*****07@dtps.ptc.edu.tw</v>
      </c>
      <c r="E3985" s="17" t="str">
        <f>IFERROR(__xludf.DUMMYFUNCTION("""COMPUTED_VALUE"""),"屏東縣屏東市大同國民小學")</f>
        <v>屏東縣屏東市大同國民小學</v>
      </c>
      <c r="F3985" s="14" t="str">
        <f>IFERROR(__xludf.DUMMYFUNCTION("""COMPUTED_VALUE"""),"四年級")</f>
        <v>四年級</v>
      </c>
      <c r="G3985" s="14" t="str">
        <f>IFERROR(__xludf.DUMMYFUNCTION("""COMPUTED_VALUE"""),"獎狀")</f>
        <v>獎狀</v>
      </c>
      <c r="H3985" s="8"/>
    </row>
    <row r="3986">
      <c r="A3986" s="18"/>
      <c r="B3986" s="14">
        <f>IFERROR(__xludf.DUMMYFUNCTION("""COMPUTED_VALUE"""),952571.0)</f>
        <v>952571</v>
      </c>
      <c r="C3986" s="14" t="str">
        <f>IFERROR(__xludf.DUMMYFUNCTION("""COMPUTED_VALUE"""),"許釉訢")</f>
        <v>許釉訢</v>
      </c>
      <c r="D3986" s="16" t="str">
        <f>IFERROR(__xludf.DUMMYFUNCTION("""COMPUTED_VALUE"""),"dtp*****14@dtps.ptc.edu.tw")</f>
        <v>dtp*****14@dtps.ptc.edu.tw</v>
      </c>
      <c r="E3986" s="17" t="str">
        <f>IFERROR(__xludf.DUMMYFUNCTION("""COMPUTED_VALUE"""),"屏東縣屏東市大同國民小學")</f>
        <v>屏東縣屏東市大同國民小學</v>
      </c>
      <c r="F3986" s="14" t="str">
        <f>IFERROR(__xludf.DUMMYFUNCTION("""COMPUTED_VALUE"""),"四年級")</f>
        <v>四年級</v>
      </c>
      <c r="G3986" s="14" t="str">
        <f>IFERROR(__xludf.DUMMYFUNCTION("""COMPUTED_VALUE"""),"獎狀")</f>
        <v>獎狀</v>
      </c>
      <c r="H3986" s="8"/>
    </row>
    <row r="3987">
      <c r="A3987" s="18"/>
      <c r="B3987" s="14">
        <f>IFERROR(__xludf.DUMMYFUNCTION("""COMPUTED_VALUE"""),952559.0)</f>
        <v>952559</v>
      </c>
      <c r="C3987" s="14" t="str">
        <f>IFERROR(__xludf.DUMMYFUNCTION("""COMPUTED_VALUE"""),"楊晉灃")</f>
        <v>楊晉灃</v>
      </c>
      <c r="D3987" s="16" t="str">
        <f>IFERROR(__xludf.DUMMYFUNCTION("""COMPUTED_VALUE"""),"dtp*****02@dtps.ptc.edu.tw")</f>
        <v>dtp*****02@dtps.ptc.edu.tw</v>
      </c>
      <c r="E3987" s="17" t="str">
        <f>IFERROR(__xludf.DUMMYFUNCTION("""COMPUTED_VALUE"""),"屏東縣屏東市大同國民小學")</f>
        <v>屏東縣屏東市大同國民小學</v>
      </c>
      <c r="F3987" s="14" t="str">
        <f>IFERROR(__xludf.DUMMYFUNCTION("""COMPUTED_VALUE"""),"四年級")</f>
        <v>四年級</v>
      </c>
      <c r="G3987" s="14" t="str">
        <f>IFERROR(__xludf.DUMMYFUNCTION("""COMPUTED_VALUE"""),"獎狀")</f>
        <v>獎狀</v>
      </c>
      <c r="H3987" s="8"/>
    </row>
    <row r="3988">
      <c r="A3988" s="18"/>
      <c r="B3988" s="14">
        <f>IFERROR(__xludf.DUMMYFUNCTION("""COMPUTED_VALUE"""),952558.0)</f>
        <v>952558</v>
      </c>
      <c r="C3988" s="14" t="str">
        <f>IFERROR(__xludf.DUMMYFUNCTION("""COMPUTED_VALUE"""),"蔡昆澄")</f>
        <v>蔡昆澄</v>
      </c>
      <c r="D3988" s="16" t="str">
        <f>IFERROR(__xludf.DUMMYFUNCTION("""COMPUTED_VALUE"""),"dtp*****01@dtps.ptc.edu.tw")</f>
        <v>dtp*****01@dtps.ptc.edu.tw</v>
      </c>
      <c r="E3988" s="17" t="str">
        <f>IFERROR(__xludf.DUMMYFUNCTION("""COMPUTED_VALUE"""),"屏東縣屏東市大同國民小學")</f>
        <v>屏東縣屏東市大同國民小學</v>
      </c>
      <c r="F3988" s="14" t="str">
        <f>IFERROR(__xludf.DUMMYFUNCTION("""COMPUTED_VALUE"""),"四年級")</f>
        <v>四年級</v>
      </c>
      <c r="G3988" s="14" t="str">
        <f>IFERROR(__xludf.DUMMYFUNCTION("""COMPUTED_VALUE"""),"獎狀")</f>
        <v>獎狀</v>
      </c>
      <c r="H3988" s="8"/>
    </row>
    <row r="3989">
      <c r="A3989" s="18"/>
      <c r="B3989" s="14">
        <f>IFERROR(__xludf.DUMMYFUNCTION("""COMPUTED_VALUE"""),490750.0)</f>
        <v>490750</v>
      </c>
      <c r="C3989" s="14" t="str">
        <f>IFERROR(__xludf.DUMMYFUNCTION("""COMPUTED_VALUE"""),"張亦霆")</f>
        <v>張亦霆</v>
      </c>
      <c r="D3989" s="16" t="str">
        <f>IFERROR(__xludf.DUMMYFUNCTION("""COMPUTED_VALUE"""),"dtp*****06@dtps.ptc.edu.tw")</f>
        <v>dtp*****06@dtps.ptc.edu.tw</v>
      </c>
      <c r="E3989" s="17" t="str">
        <f>IFERROR(__xludf.DUMMYFUNCTION("""COMPUTED_VALUE"""),"屏東縣屏東市大同國民小學")</f>
        <v>屏東縣屏東市大同國民小學</v>
      </c>
      <c r="F3989" s="14" t="str">
        <f>IFERROR(__xludf.DUMMYFUNCTION("""COMPUTED_VALUE"""),"五年級")</f>
        <v>五年級</v>
      </c>
      <c r="G3989" s="14" t="str">
        <f>IFERROR(__xludf.DUMMYFUNCTION("""COMPUTED_VALUE"""),"●小禮物")</f>
        <v>●小禮物</v>
      </c>
      <c r="H3989" s="8"/>
    </row>
    <row r="3990">
      <c r="A3990" s="18"/>
      <c r="B3990" s="14">
        <f>IFERROR(__xludf.DUMMYFUNCTION("""COMPUTED_VALUE"""),490756.0)</f>
        <v>490756</v>
      </c>
      <c r="C3990" s="14" t="str">
        <f>IFERROR(__xludf.DUMMYFUNCTION("""COMPUTED_VALUE"""),"楊清翔")</f>
        <v>楊清翔</v>
      </c>
      <c r="D3990" s="16" t="str">
        <f>IFERROR(__xludf.DUMMYFUNCTION("""COMPUTED_VALUE"""),"dtp*****12@dtps.ptc.edu.tw")</f>
        <v>dtp*****12@dtps.ptc.edu.tw</v>
      </c>
      <c r="E3990" s="17" t="str">
        <f>IFERROR(__xludf.DUMMYFUNCTION("""COMPUTED_VALUE"""),"屏東縣屏東市大同國民小學")</f>
        <v>屏東縣屏東市大同國民小學</v>
      </c>
      <c r="F3990" s="14" t="str">
        <f>IFERROR(__xludf.DUMMYFUNCTION("""COMPUTED_VALUE"""),"五年級")</f>
        <v>五年級</v>
      </c>
      <c r="G3990" s="14" t="str">
        <f>IFERROR(__xludf.DUMMYFUNCTION("""COMPUTED_VALUE"""),"●小禮物")</f>
        <v>●小禮物</v>
      </c>
      <c r="H3990" s="8"/>
    </row>
    <row r="3991">
      <c r="A3991" s="18"/>
      <c r="B3991" s="14">
        <f>IFERROR(__xludf.DUMMYFUNCTION("""COMPUTED_VALUE"""),490766.0)</f>
        <v>490766</v>
      </c>
      <c r="C3991" s="14" t="str">
        <f>IFERROR(__xludf.DUMMYFUNCTION("""COMPUTED_VALUE"""),"韓佳霖")</f>
        <v>韓佳霖</v>
      </c>
      <c r="D3991" s="16" t="str">
        <f>IFERROR(__xludf.DUMMYFUNCTION("""COMPUTED_VALUE"""),"dtp*****22@dtps.ptc.edu.tw")</f>
        <v>dtp*****22@dtps.ptc.edu.tw</v>
      </c>
      <c r="E3991" s="17" t="str">
        <f>IFERROR(__xludf.DUMMYFUNCTION("""COMPUTED_VALUE"""),"屏東縣屏東市大同國民小學")</f>
        <v>屏東縣屏東市大同國民小學</v>
      </c>
      <c r="F3991" s="14" t="str">
        <f>IFERROR(__xludf.DUMMYFUNCTION("""COMPUTED_VALUE"""),"五年級")</f>
        <v>五年級</v>
      </c>
      <c r="G3991" s="14" t="str">
        <f>IFERROR(__xludf.DUMMYFUNCTION("""COMPUTED_VALUE"""),"●小禮物")</f>
        <v>●小禮物</v>
      </c>
      <c r="H3991" s="8"/>
    </row>
    <row r="3992">
      <c r="A3992" s="18"/>
      <c r="B3992" s="14">
        <f>IFERROR(__xludf.DUMMYFUNCTION("""COMPUTED_VALUE"""),490745.0)</f>
        <v>490745</v>
      </c>
      <c r="C3992" s="14" t="str">
        <f>IFERROR(__xludf.DUMMYFUNCTION("""COMPUTED_VALUE"""),"饒嘉威")</f>
        <v>饒嘉威</v>
      </c>
      <c r="D3992" s="16" t="str">
        <f>IFERROR(__xludf.DUMMYFUNCTION("""COMPUTED_VALUE"""),"dtp*****01@dtps.ptc.edu.tw")</f>
        <v>dtp*****01@dtps.ptc.edu.tw</v>
      </c>
      <c r="E3992" s="17" t="str">
        <f>IFERROR(__xludf.DUMMYFUNCTION("""COMPUTED_VALUE"""),"屏東縣屏東市大同國民小學")</f>
        <v>屏東縣屏東市大同國民小學</v>
      </c>
      <c r="F3992" s="14" t="str">
        <f>IFERROR(__xludf.DUMMYFUNCTION("""COMPUTED_VALUE"""),"五年級")</f>
        <v>五年級</v>
      </c>
      <c r="G3992" s="14" t="str">
        <f>IFERROR(__xludf.DUMMYFUNCTION("""COMPUTED_VALUE"""),"●小禮物")</f>
        <v>●小禮物</v>
      </c>
      <c r="H3992" s="8"/>
    </row>
    <row r="3993">
      <c r="A3993" s="18"/>
      <c r="B3993" s="14">
        <f>IFERROR(__xludf.DUMMYFUNCTION("""COMPUTED_VALUE"""),490768.0)</f>
        <v>490768</v>
      </c>
      <c r="C3993" s="14" t="str">
        <f>IFERROR(__xludf.DUMMYFUNCTION("""COMPUTED_VALUE"""),"吳金雅")</f>
        <v>吳金雅</v>
      </c>
      <c r="D3993" s="16" t="str">
        <f>IFERROR(__xludf.DUMMYFUNCTION("""COMPUTED_VALUE"""),"dtp*****24@dtps.ptc.edu.tw")</f>
        <v>dtp*****24@dtps.ptc.edu.tw</v>
      </c>
      <c r="E3993" s="17" t="str">
        <f>IFERROR(__xludf.DUMMYFUNCTION("""COMPUTED_VALUE"""),"屏東縣屏東市大同國民小學")</f>
        <v>屏東縣屏東市大同國民小學</v>
      </c>
      <c r="F3993" s="14" t="str">
        <f>IFERROR(__xludf.DUMMYFUNCTION("""COMPUTED_VALUE"""),"五年級")</f>
        <v>五年級</v>
      </c>
      <c r="G3993" s="14" t="str">
        <f>IFERROR(__xludf.DUMMYFUNCTION("""COMPUTED_VALUE"""),"獎狀")</f>
        <v>獎狀</v>
      </c>
      <c r="H3993" s="8"/>
    </row>
    <row r="3994">
      <c r="A3994" s="18"/>
      <c r="B3994" s="14">
        <f>IFERROR(__xludf.DUMMYFUNCTION("""COMPUTED_VALUE"""),490760.0)</f>
        <v>490760</v>
      </c>
      <c r="C3994" s="14" t="str">
        <f>IFERROR(__xludf.DUMMYFUNCTION("""COMPUTED_VALUE"""),"李育廷")</f>
        <v>李育廷</v>
      </c>
      <c r="D3994" s="16" t="str">
        <f>IFERROR(__xludf.DUMMYFUNCTION("""COMPUTED_VALUE"""),"dtp*****16@dtps.ptc.edu.tw")</f>
        <v>dtp*****16@dtps.ptc.edu.tw</v>
      </c>
      <c r="E3994" s="17" t="str">
        <f>IFERROR(__xludf.DUMMYFUNCTION("""COMPUTED_VALUE"""),"屏東縣屏東市大同國民小學")</f>
        <v>屏東縣屏東市大同國民小學</v>
      </c>
      <c r="F3994" s="14" t="str">
        <f>IFERROR(__xludf.DUMMYFUNCTION("""COMPUTED_VALUE"""),"五年級")</f>
        <v>五年級</v>
      </c>
      <c r="G3994" s="14" t="str">
        <f>IFERROR(__xludf.DUMMYFUNCTION("""COMPUTED_VALUE"""),"獎狀")</f>
        <v>獎狀</v>
      </c>
      <c r="H3994" s="8"/>
    </row>
    <row r="3995">
      <c r="A3995" s="18"/>
      <c r="B3995" s="14">
        <f>IFERROR(__xludf.DUMMYFUNCTION("""COMPUTED_VALUE"""),490767.0)</f>
        <v>490767</v>
      </c>
      <c r="C3995" s="14" t="str">
        <f>IFERROR(__xludf.DUMMYFUNCTION("""COMPUTED_VALUE"""),"周緯彤")</f>
        <v>周緯彤</v>
      </c>
      <c r="D3995" s="16" t="str">
        <f>IFERROR(__xludf.DUMMYFUNCTION("""COMPUTED_VALUE"""),"dtp*****23@dtps.ptc.edu.tw")</f>
        <v>dtp*****23@dtps.ptc.edu.tw</v>
      </c>
      <c r="E3995" s="17" t="str">
        <f>IFERROR(__xludf.DUMMYFUNCTION("""COMPUTED_VALUE"""),"屏東縣屏東市大同國民小學")</f>
        <v>屏東縣屏東市大同國民小學</v>
      </c>
      <c r="F3995" s="14" t="str">
        <f>IFERROR(__xludf.DUMMYFUNCTION("""COMPUTED_VALUE"""),"五年級")</f>
        <v>五年級</v>
      </c>
      <c r="G3995" s="14" t="str">
        <f>IFERROR(__xludf.DUMMYFUNCTION("""COMPUTED_VALUE"""),"獎狀")</f>
        <v>獎狀</v>
      </c>
      <c r="H3995" s="8"/>
    </row>
    <row r="3996">
      <c r="A3996" s="18"/>
      <c r="B3996" s="14">
        <f>IFERROR(__xludf.DUMMYFUNCTION("""COMPUTED_VALUE"""),490769.0)</f>
        <v>490769</v>
      </c>
      <c r="C3996" s="14" t="str">
        <f>IFERROR(__xludf.DUMMYFUNCTION("""COMPUTED_VALUE"""),"林佩蓉")</f>
        <v>林佩蓉</v>
      </c>
      <c r="D3996" s="16" t="str">
        <f>IFERROR(__xludf.DUMMYFUNCTION("""COMPUTED_VALUE"""),"dtp*****25@dtps.ptc.edu.tw")</f>
        <v>dtp*****25@dtps.ptc.edu.tw</v>
      </c>
      <c r="E3996" s="17" t="str">
        <f>IFERROR(__xludf.DUMMYFUNCTION("""COMPUTED_VALUE"""),"屏東縣屏東市大同國民小學")</f>
        <v>屏東縣屏東市大同國民小學</v>
      </c>
      <c r="F3996" s="14" t="str">
        <f>IFERROR(__xludf.DUMMYFUNCTION("""COMPUTED_VALUE"""),"五年級")</f>
        <v>五年級</v>
      </c>
      <c r="G3996" s="14" t="str">
        <f>IFERROR(__xludf.DUMMYFUNCTION("""COMPUTED_VALUE"""),"獎狀")</f>
        <v>獎狀</v>
      </c>
      <c r="H3996" s="8"/>
    </row>
    <row r="3997">
      <c r="A3997" s="18"/>
      <c r="B3997" s="14">
        <f>IFERROR(__xludf.DUMMYFUNCTION("""COMPUTED_VALUE"""),490765.0)</f>
        <v>490765</v>
      </c>
      <c r="C3997" s="14" t="str">
        <f>IFERROR(__xludf.DUMMYFUNCTION("""COMPUTED_VALUE"""),"林毓橋")</f>
        <v>林毓橋</v>
      </c>
      <c r="D3997" s="16" t="str">
        <f>IFERROR(__xludf.DUMMYFUNCTION("""COMPUTED_VALUE"""),"dtp*****21@dtps.ptc.edu.tw")</f>
        <v>dtp*****21@dtps.ptc.edu.tw</v>
      </c>
      <c r="E3997" s="17" t="str">
        <f>IFERROR(__xludf.DUMMYFUNCTION("""COMPUTED_VALUE"""),"屏東縣屏東市大同國民小學")</f>
        <v>屏東縣屏東市大同國民小學</v>
      </c>
      <c r="F3997" s="14" t="str">
        <f>IFERROR(__xludf.DUMMYFUNCTION("""COMPUTED_VALUE"""),"五年級")</f>
        <v>五年級</v>
      </c>
      <c r="G3997" s="14" t="str">
        <f>IFERROR(__xludf.DUMMYFUNCTION("""COMPUTED_VALUE"""),"獎狀")</f>
        <v>獎狀</v>
      </c>
      <c r="H3997" s="8"/>
    </row>
    <row r="3998">
      <c r="A3998" s="18"/>
      <c r="B3998" s="14">
        <f>IFERROR(__xludf.DUMMYFUNCTION("""COMPUTED_VALUE"""),490747.0)</f>
        <v>490747</v>
      </c>
      <c r="C3998" s="14" t="str">
        <f>IFERROR(__xludf.DUMMYFUNCTION("""COMPUTED_VALUE"""),"陳秉宏")</f>
        <v>陳秉宏</v>
      </c>
      <c r="D3998" s="16" t="str">
        <f>IFERROR(__xludf.DUMMYFUNCTION("""COMPUTED_VALUE"""),"dtp*****03@dtps.ptc.edu.tw")</f>
        <v>dtp*****03@dtps.ptc.edu.tw</v>
      </c>
      <c r="E3998" s="17" t="str">
        <f>IFERROR(__xludf.DUMMYFUNCTION("""COMPUTED_VALUE"""),"屏東縣屏東市大同國民小學")</f>
        <v>屏東縣屏東市大同國民小學</v>
      </c>
      <c r="F3998" s="14" t="str">
        <f>IFERROR(__xludf.DUMMYFUNCTION("""COMPUTED_VALUE"""),"五年級")</f>
        <v>五年級</v>
      </c>
      <c r="G3998" s="14" t="str">
        <f>IFERROR(__xludf.DUMMYFUNCTION("""COMPUTED_VALUE"""),"獎狀")</f>
        <v>獎狀</v>
      </c>
      <c r="H3998" s="8"/>
    </row>
    <row r="3999">
      <c r="A3999" s="18"/>
      <c r="B3999" s="14">
        <f>IFERROR(__xludf.DUMMYFUNCTION("""COMPUTED_VALUE"""),490749.0)</f>
        <v>490749</v>
      </c>
      <c r="C3999" s="14" t="str">
        <f>IFERROR(__xludf.DUMMYFUNCTION("""COMPUTED_VALUE"""),"陳宥丞")</f>
        <v>陳宥丞</v>
      </c>
      <c r="D3999" s="16" t="str">
        <f>IFERROR(__xludf.DUMMYFUNCTION("""COMPUTED_VALUE"""),"dtp*****05@dtps.ptc.edu.tw")</f>
        <v>dtp*****05@dtps.ptc.edu.tw</v>
      </c>
      <c r="E3999" s="17" t="str">
        <f>IFERROR(__xludf.DUMMYFUNCTION("""COMPUTED_VALUE"""),"屏東縣屏東市大同國民小學")</f>
        <v>屏東縣屏東市大同國民小學</v>
      </c>
      <c r="F3999" s="14" t="str">
        <f>IFERROR(__xludf.DUMMYFUNCTION("""COMPUTED_VALUE"""),"五年級")</f>
        <v>五年級</v>
      </c>
      <c r="G3999" s="14" t="str">
        <f>IFERROR(__xludf.DUMMYFUNCTION("""COMPUTED_VALUE"""),"獎狀")</f>
        <v>獎狀</v>
      </c>
      <c r="H3999" s="8"/>
    </row>
    <row r="4000">
      <c r="A4000" s="18"/>
      <c r="B4000" s="14">
        <f>IFERROR(__xludf.DUMMYFUNCTION("""COMPUTED_VALUE"""),490754.0)</f>
        <v>490754</v>
      </c>
      <c r="C4000" s="14" t="str">
        <f>IFERROR(__xludf.DUMMYFUNCTION("""COMPUTED_VALUE"""),"湯昊玗")</f>
        <v>湯昊玗</v>
      </c>
      <c r="D4000" s="16" t="str">
        <f>IFERROR(__xludf.DUMMYFUNCTION("""COMPUTED_VALUE"""),"dtp*****10@dtps.ptc.edu.tw")</f>
        <v>dtp*****10@dtps.ptc.edu.tw</v>
      </c>
      <c r="E4000" s="17" t="str">
        <f>IFERROR(__xludf.DUMMYFUNCTION("""COMPUTED_VALUE"""),"屏東縣屏東市大同國民小學")</f>
        <v>屏東縣屏東市大同國民小學</v>
      </c>
      <c r="F4000" s="14" t="str">
        <f>IFERROR(__xludf.DUMMYFUNCTION("""COMPUTED_VALUE"""),"五年級")</f>
        <v>五年級</v>
      </c>
      <c r="G4000" s="14" t="str">
        <f>IFERROR(__xludf.DUMMYFUNCTION("""COMPUTED_VALUE"""),"獎狀")</f>
        <v>獎狀</v>
      </c>
      <c r="H4000" s="8"/>
    </row>
    <row r="4001">
      <c r="A4001" s="18"/>
      <c r="B4001" s="14">
        <f>IFERROR(__xludf.DUMMYFUNCTION("""COMPUTED_VALUE"""),490751.0)</f>
        <v>490751</v>
      </c>
      <c r="C4001" s="14" t="str">
        <f>IFERROR(__xludf.DUMMYFUNCTION("""COMPUTED_VALUE"""),"劉軒旗")</f>
        <v>劉軒旗</v>
      </c>
      <c r="D4001" s="16" t="str">
        <f>IFERROR(__xludf.DUMMYFUNCTION("""COMPUTED_VALUE"""),"dtp*****07@dtps.ptc.edu.tw")</f>
        <v>dtp*****07@dtps.ptc.edu.tw</v>
      </c>
      <c r="E4001" s="17" t="str">
        <f>IFERROR(__xludf.DUMMYFUNCTION("""COMPUTED_VALUE"""),"屏東縣屏東市大同國民小學")</f>
        <v>屏東縣屏東市大同國民小學</v>
      </c>
      <c r="F4001" s="14" t="str">
        <f>IFERROR(__xludf.DUMMYFUNCTION("""COMPUTED_VALUE"""),"五年級")</f>
        <v>五年級</v>
      </c>
      <c r="G4001" s="14" t="str">
        <f>IFERROR(__xludf.DUMMYFUNCTION("""COMPUTED_VALUE"""),"獎狀")</f>
        <v>獎狀</v>
      </c>
      <c r="H4001" s="8"/>
    </row>
    <row r="4002">
      <c r="A4002" s="18"/>
      <c r="B4002" s="14">
        <f>IFERROR(__xludf.DUMMYFUNCTION("""COMPUTED_VALUE"""),490746.0)</f>
        <v>490746</v>
      </c>
      <c r="C4002" s="14" t="str">
        <f>IFERROR(__xludf.DUMMYFUNCTION("""COMPUTED_VALUE"""),"劉瑋脩")</f>
        <v>劉瑋脩</v>
      </c>
      <c r="D4002" s="16" t="str">
        <f>IFERROR(__xludf.DUMMYFUNCTION("""COMPUTED_VALUE"""),"dtp*****02@dtps.ptc.edu.tw")</f>
        <v>dtp*****02@dtps.ptc.edu.tw</v>
      </c>
      <c r="E4002" s="17" t="str">
        <f>IFERROR(__xludf.DUMMYFUNCTION("""COMPUTED_VALUE"""),"屏東縣屏東市大同國民小學")</f>
        <v>屏東縣屏東市大同國民小學</v>
      </c>
      <c r="F4002" s="14" t="str">
        <f>IFERROR(__xludf.DUMMYFUNCTION("""COMPUTED_VALUE"""),"五年級")</f>
        <v>五年級</v>
      </c>
      <c r="G4002" s="14" t="str">
        <f>IFERROR(__xludf.DUMMYFUNCTION("""COMPUTED_VALUE"""),"獎狀")</f>
        <v>獎狀</v>
      </c>
      <c r="H4002" s="8"/>
    </row>
    <row r="4003">
      <c r="A4003" s="18"/>
      <c r="B4003" s="14">
        <f>IFERROR(__xludf.DUMMYFUNCTION("""COMPUTED_VALUE"""),490758.0)</f>
        <v>490758</v>
      </c>
      <c r="C4003" s="14" t="str">
        <f>IFERROR(__xludf.DUMMYFUNCTION("""COMPUTED_VALUE"""),"鄭品希")</f>
        <v>鄭品希</v>
      </c>
      <c r="D4003" s="16" t="str">
        <f>IFERROR(__xludf.DUMMYFUNCTION("""COMPUTED_VALUE"""),"dtp*****14@dtps.ptc.edu.tw")</f>
        <v>dtp*****14@dtps.ptc.edu.tw</v>
      </c>
      <c r="E4003" s="17" t="str">
        <f>IFERROR(__xludf.DUMMYFUNCTION("""COMPUTED_VALUE"""),"屏東縣屏東市大同國民小學")</f>
        <v>屏東縣屏東市大同國民小學</v>
      </c>
      <c r="F4003" s="14" t="str">
        <f>IFERROR(__xludf.DUMMYFUNCTION("""COMPUTED_VALUE"""),"五年級")</f>
        <v>五年級</v>
      </c>
      <c r="G4003" s="14" t="str">
        <f>IFERROR(__xludf.DUMMYFUNCTION("""COMPUTED_VALUE"""),"獎狀")</f>
        <v>獎狀</v>
      </c>
      <c r="H4003" s="8"/>
    </row>
    <row r="4004">
      <c r="A4004" s="18"/>
      <c r="B4004" s="14">
        <f>IFERROR(__xludf.DUMMYFUNCTION("""COMPUTED_VALUE"""),490771.0)</f>
        <v>490771</v>
      </c>
      <c r="C4004" s="14" t="str">
        <f>IFERROR(__xludf.DUMMYFUNCTION("""COMPUTED_VALUE"""),"羅婕瑜")</f>
        <v>羅婕瑜</v>
      </c>
      <c r="D4004" s="16" t="str">
        <f>IFERROR(__xludf.DUMMYFUNCTION("""COMPUTED_VALUE"""),"dtp*****27@dtps.ptc.edu.tw")</f>
        <v>dtp*****27@dtps.ptc.edu.tw</v>
      </c>
      <c r="E4004" s="17" t="str">
        <f>IFERROR(__xludf.DUMMYFUNCTION("""COMPUTED_VALUE"""),"屏東縣屏東市大同國民小學")</f>
        <v>屏東縣屏東市大同國民小學</v>
      </c>
      <c r="F4004" s="14" t="str">
        <f>IFERROR(__xludf.DUMMYFUNCTION("""COMPUTED_VALUE"""),"五年級")</f>
        <v>五年級</v>
      </c>
      <c r="G4004" s="14" t="str">
        <f>IFERROR(__xludf.DUMMYFUNCTION("""COMPUTED_VALUE"""),"獎狀")</f>
        <v>獎狀</v>
      </c>
      <c r="H4004" s="8"/>
    </row>
    <row r="4005">
      <c r="A4005" s="18"/>
      <c r="B4005" s="14">
        <f>IFERROR(__xludf.DUMMYFUNCTION("""COMPUTED_VALUE"""),490797.0)</f>
        <v>490797</v>
      </c>
      <c r="C4005" s="14" t="str">
        <f>IFERROR(__xludf.DUMMYFUNCTION("""COMPUTED_VALUE"""),"李沛芸")</f>
        <v>李沛芸</v>
      </c>
      <c r="D4005" s="16" t="str">
        <f>IFERROR(__xludf.DUMMYFUNCTION("""COMPUTED_VALUE"""),"dtp*****26@dtps.ptc.edu.tw")</f>
        <v>dtp*****26@dtps.ptc.edu.tw</v>
      </c>
      <c r="E4005" s="17" t="str">
        <f>IFERROR(__xludf.DUMMYFUNCTION("""COMPUTED_VALUE"""),"屏東縣屏東市大同國民小學")</f>
        <v>屏東縣屏東市大同國民小學</v>
      </c>
      <c r="F4005" s="14" t="str">
        <f>IFERROR(__xludf.DUMMYFUNCTION("""COMPUTED_VALUE"""),"六年級")</f>
        <v>六年級</v>
      </c>
      <c r="G4005" s="14" t="str">
        <f>IFERROR(__xludf.DUMMYFUNCTION("""COMPUTED_VALUE"""),"●小禮物")</f>
        <v>●小禮物</v>
      </c>
      <c r="H4005" s="8"/>
    </row>
    <row r="4006">
      <c r="A4006" s="18"/>
      <c r="B4006" s="14">
        <f>IFERROR(__xludf.DUMMYFUNCTION("""COMPUTED_VALUE"""),490792.0)</f>
        <v>490792</v>
      </c>
      <c r="C4006" s="14" t="str">
        <f>IFERROR(__xludf.DUMMYFUNCTION("""COMPUTED_VALUE"""),"拉巴烏斯馬達拉拉")</f>
        <v>拉巴烏斯馬達拉拉</v>
      </c>
      <c r="D4006" s="16" t="str">
        <f>IFERROR(__xludf.DUMMYFUNCTION("""COMPUTED_VALUE"""),"dtp*****21@dtps.ptc.edu.tw")</f>
        <v>dtp*****21@dtps.ptc.edu.tw</v>
      </c>
      <c r="E4006" s="17" t="str">
        <f>IFERROR(__xludf.DUMMYFUNCTION("""COMPUTED_VALUE"""),"屏東縣屏東市大同國民小學")</f>
        <v>屏東縣屏東市大同國民小學</v>
      </c>
      <c r="F4006" s="14" t="str">
        <f>IFERROR(__xludf.DUMMYFUNCTION("""COMPUTED_VALUE"""),"六年級")</f>
        <v>六年級</v>
      </c>
      <c r="G4006" s="14" t="str">
        <f>IFERROR(__xludf.DUMMYFUNCTION("""COMPUTED_VALUE"""),"●小禮物")</f>
        <v>●小禮物</v>
      </c>
      <c r="H4006" s="8"/>
    </row>
    <row r="4007">
      <c r="A4007" s="18"/>
      <c r="B4007" s="14">
        <f>IFERROR(__xludf.DUMMYFUNCTION("""COMPUTED_VALUE"""),490779.0)</f>
        <v>490779</v>
      </c>
      <c r="C4007" s="14" t="str">
        <f>IFERROR(__xludf.DUMMYFUNCTION("""COMPUTED_VALUE"""),"郭宗祐")</f>
        <v>郭宗祐</v>
      </c>
      <c r="D4007" s="16" t="str">
        <f>IFERROR(__xludf.DUMMYFUNCTION("""COMPUTED_VALUE"""),"dtp*****08@dtps.ptc.edu.tw")</f>
        <v>dtp*****08@dtps.ptc.edu.tw</v>
      </c>
      <c r="E4007" s="17" t="str">
        <f>IFERROR(__xludf.DUMMYFUNCTION("""COMPUTED_VALUE"""),"屏東縣屏東市大同國民小學")</f>
        <v>屏東縣屏東市大同國民小學</v>
      </c>
      <c r="F4007" s="14" t="str">
        <f>IFERROR(__xludf.DUMMYFUNCTION("""COMPUTED_VALUE"""),"六年級")</f>
        <v>六年級</v>
      </c>
      <c r="G4007" s="14" t="str">
        <f>IFERROR(__xludf.DUMMYFUNCTION("""COMPUTED_VALUE"""),"●小禮物")</f>
        <v>●小禮物</v>
      </c>
      <c r="H4007" s="8"/>
    </row>
    <row r="4008">
      <c r="A4008" s="18"/>
      <c r="B4008" s="14">
        <f>IFERROR(__xludf.DUMMYFUNCTION("""COMPUTED_VALUE"""),490778.0)</f>
        <v>490778</v>
      </c>
      <c r="C4008" s="14" t="str">
        <f>IFERROR(__xludf.DUMMYFUNCTION("""COMPUTED_VALUE"""),"蔡承軒")</f>
        <v>蔡承軒</v>
      </c>
      <c r="D4008" s="16" t="str">
        <f>IFERROR(__xludf.DUMMYFUNCTION("""COMPUTED_VALUE"""),"dtp*****07@dtps.ptc.edu.tw")</f>
        <v>dtp*****07@dtps.ptc.edu.tw</v>
      </c>
      <c r="E4008" s="17" t="str">
        <f>IFERROR(__xludf.DUMMYFUNCTION("""COMPUTED_VALUE"""),"屏東縣屏東市大同國民小學")</f>
        <v>屏東縣屏東市大同國民小學</v>
      </c>
      <c r="F4008" s="14" t="str">
        <f>IFERROR(__xludf.DUMMYFUNCTION("""COMPUTED_VALUE"""),"六年級")</f>
        <v>六年級</v>
      </c>
      <c r="G4008" s="14" t="str">
        <f>IFERROR(__xludf.DUMMYFUNCTION("""COMPUTED_VALUE"""),"●小禮物")</f>
        <v>●小禮物</v>
      </c>
      <c r="H4008" s="8"/>
    </row>
    <row r="4009">
      <c r="A4009" s="18"/>
      <c r="B4009" s="14">
        <f>IFERROR(__xludf.DUMMYFUNCTION("""COMPUTED_VALUE"""),490773.0)</f>
        <v>490773</v>
      </c>
      <c r="C4009" s="14" t="str">
        <f>IFERROR(__xludf.DUMMYFUNCTION("""COMPUTED_VALUE"""),"簡子暘")</f>
        <v>簡子暘</v>
      </c>
      <c r="D4009" s="16" t="str">
        <f>IFERROR(__xludf.DUMMYFUNCTION("""COMPUTED_VALUE"""),"dtp*****02@dtps.ptc.edu.tw")</f>
        <v>dtp*****02@dtps.ptc.edu.tw</v>
      </c>
      <c r="E4009" s="17" t="str">
        <f>IFERROR(__xludf.DUMMYFUNCTION("""COMPUTED_VALUE"""),"屏東縣屏東市大同國民小學")</f>
        <v>屏東縣屏東市大同國民小學</v>
      </c>
      <c r="F4009" s="14" t="str">
        <f>IFERROR(__xludf.DUMMYFUNCTION("""COMPUTED_VALUE"""),"六年級")</f>
        <v>六年級</v>
      </c>
      <c r="G4009" s="14" t="str">
        <f>IFERROR(__xludf.DUMMYFUNCTION("""COMPUTED_VALUE"""),"●小禮物")</f>
        <v>●小禮物</v>
      </c>
      <c r="H4009" s="8"/>
    </row>
    <row r="4010">
      <c r="A4010" s="18"/>
      <c r="B4010" s="14">
        <f>IFERROR(__xludf.DUMMYFUNCTION("""COMPUTED_VALUE"""),490772.0)</f>
        <v>490772</v>
      </c>
      <c r="C4010" s="14" t="str">
        <f>IFERROR(__xludf.DUMMYFUNCTION("""COMPUTED_VALUE"""),"伊政泰")</f>
        <v>伊政泰</v>
      </c>
      <c r="D4010" s="16" t="str">
        <f>IFERROR(__xludf.DUMMYFUNCTION("""COMPUTED_VALUE"""),"dtp*****01@dtps.ptc.edu.tw")</f>
        <v>dtp*****01@dtps.ptc.edu.tw</v>
      </c>
      <c r="E4010" s="17" t="str">
        <f>IFERROR(__xludf.DUMMYFUNCTION("""COMPUTED_VALUE"""),"屏東縣屏東市大同國民小學")</f>
        <v>屏東縣屏東市大同國民小學</v>
      </c>
      <c r="F4010" s="14" t="str">
        <f>IFERROR(__xludf.DUMMYFUNCTION("""COMPUTED_VALUE"""),"六年級")</f>
        <v>六年級</v>
      </c>
      <c r="G4010" s="14" t="str">
        <f>IFERROR(__xludf.DUMMYFUNCTION("""COMPUTED_VALUE"""),"★禮券$200")</f>
        <v>★禮券$200</v>
      </c>
      <c r="H4010" s="8"/>
    </row>
    <row r="4011">
      <c r="A4011" s="18"/>
      <c r="B4011" s="14">
        <f>IFERROR(__xludf.DUMMYFUNCTION("""COMPUTED_VALUE"""),499030.0)</f>
        <v>499030</v>
      </c>
      <c r="C4011" s="14" t="str">
        <f>IFERROR(__xludf.DUMMYFUNCTION("""COMPUTED_VALUE"""),"王若雅")</f>
        <v>王若雅</v>
      </c>
      <c r="D4011" s="16" t="str">
        <f>IFERROR(__xludf.DUMMYFUNCTION("""COMPUTED_VALUE"""),"dtp*****27@dtps.ptc.edu.tw")</f>
        <v>dtp*****27@dtps.ptc.edu.tw</v>
      </c>
      <c r="E4011" s="17" t="str">
        <f>IFERROR(__xludf.DUMMYFUNCTION("""COMPUTED_VALUE"""),"屏東縣屏東市大同國民小學")</f>
        <v>屏東縣屏東市大同國民小學</v>
      </c>
      <c r="F4011" s="14" t="str">
        <f>IFERROR(__xludf.DUMMYFUNCTION("""COMPUTED_VALUE"""),"六年級")</f>
        <v>六年級</v>
      </c>
      <c r="G4011" s="14" t="str">
        <f>IFERROR(__xludf.DUMMYFUNCTION("""COMPUTED_VALUE"""),"獎狀")</f>
        <v>獎狀</v>
      </c>
      <c r="H4011" s="8"/>
    </row>
    <row r="4012">
      <c r="A4012" s="18"/>
      <c r="B4012" s="14">
        <f>IFERROR(__xludf.DUMMYFUNCTION("""COMPUTED_VALUE"""),490790.0)</f>
        <v>490790</v>
      </c>
      <c r="C4012" s="14" t="str">
        <f>IFERROR(__xludf.DUMMYFUNCTION("""COMPUTED_VALUE"""),"李翊禎")</f>
        <v>李翊禎</v>
      </c>
      <c r="D4012" s="16" t="str">
        <f>IFERROR(__xludf.DUMMYFUNCTION("""COMPUTED_VALUE"""),"dtp*****19@dtps.ptc.edu.tw")</f>
        <v>dtp*****19@dtps.ptc.edu.tw</v>
      </c>
      <c r="E4012" s="17" t="str">
        <f>IFERROR(__xludf.DUMMYFUNCTION("""COMPUTED_VALUE"""),"屏東縣屏東市大同國民小學")</f>
        <v>屏東縣屏東市大同國民小學</v>
      </c>
      <c r="F4012" s="14" t="str">
        <f>IFERROR(__xludf.DUMMYFUNCTION("""COMPUTED_VALUE"""),"六年級")</f>
        <v>六年級</v>
      </c>
      <c r="G4012" s="14" t="str">
        <f>IFERROR(__xludf.DUMMYFUNCTION("""COMPUTED_VALUE"""),"獎狀")</f>
        <v>獎狀</v>
      </c>
      <c r="H4012" s="8"/>
    </row>
    <row r="4013">
      <c r="A4013" s="18"/>
      <c r="B4013" s="14">
        <f>IFERROR(__xludf.DUMMYFUNCTION("""COMPUTED_VALUE"""),490796.0)</f>
        <v>490796</v>
      </c>
      <c r="C4013" s="14" t="str">
        <f>IFERROR(__xludf.DUMMYFUNCTION("""COMPUTED_VALUE"""),"林渝娸")</f>
        <v>林渝娸</v>
      </c>
      <c r="D4013" s="16" t="str">
        <f>IFERROR(__xludf.DUMMYFUNCTION("""COMPUTED_VALUE"""),"dtp*****25@dtps.ptc.edu.tw")</f>
        <v>dtp*****25@dtps.ptc.edu.tw</v>
      </c>
      <c r="E4013" s="17" t="str">
        <f>IFERROR(__xludf.DUMMYFUNCTION("""COMPUTED_VALUE"""),"屏東縣屏東市大同國民小學")</f>
        <v>屏東縣屏東市大同國民小學</v>
      </c>
      <c r="F4013" s="14" t="str">
        <f>IFERROR(__xludf.DUMMYFUNCTION("""COMPUTED_VALUE"""),"六年級")</f>
        <v>六年級</v>
      </c>
      <c r="G4013" s="14" t="str">
        <f>IFERROR(__xludf.DUMMYFUNCTION("""COMPUTED_VALUE"""),"獎狀")</f>
        <v>獎狀</v>
      </c>
      <c r="H4013" s="8"/>
    </row>
    <row r="4014">
      <c r="A4014" s="18"/>
      <c r="B4014" s="14">
        <f>IFERROR(__xludf.DUMMYFUNCTION("""COMPUTED_VALUE"""),490781.0)</f>
        <v>490781</v>
      </c>
      <c r="C4014" s="14" t="str">
        <f>IFERROR(__xludf.DUMMYFUNCTION("""COMPUTED_VALUE"""),"邱冠愷")</f>
        <v>邱冠愷</v>
      </c>
      <c r="D4014" s="16" t="str">
        <f>IFERROR(__xludf.DUMMYFUNCTION("""COMPUTED_VALUE"""),"dtp*****10@dtps.ptc.edu.tw")</f>
        <v>dtp*****10@dtps.ptc.edu.tw</v>
      </c>
      <c r="E4014" s="17" t="str">
        <f>IFERROR(__xludf.DUMMYFUNCTION("""COMPUTED_VALUE"""),"屏東縣屏東市大同國民小學")</f>
        <v>屏東縣屏東市大同國民小學</v>
      </c>
      <c r="F4014" s="14" t="str">
        <f>IFERROR(__xludf.DUMMYFUNCTION("""COMPUTED_VALUE"""),"六年級")</f>
        <v>六年級</v>
      </c>
      <c r="G4014" s="14" t="str">
        <f>IFERROR(__xludf.DUMMYFUNCTION("""COMPUTED_VALUE"""),"獎狀")</f>
        <v>獎狀</v>
      </c>
      <c r="H4014" s="8"/>
    </row>
    <row r="4015">
      <c r="A4015" s="18"/>
      <c r="B4015" s="14">
        <f>IFERROR(__xludf.DUMMYFUNCTION("""COMPUTED_VALUE"""),490776.0)</f>
        <v>490776</v>
      </c>
      <c r="C4015" s="14" t="str">
        <f>IFERROR(__xludf.DUMMYFUNCTION("""COMPUTED_VALUE"""),"柯鴻鈞")</f>
        <v>柯鴻鈞</v>
      </c>
      <c r="D4015" s="16" t="str">
        <f>IFERROR(__xludf.DUMMYFUNCTION("""COMPUTED_VALUE"""),"dtp*****05@dtps.ptc.edu.tw")</f>
        <v>dtp*****05@dtps.ptc.edu.tw</v>
      </c>
      <c r="E4015" s="17" t="str">
        <f>IFERROR(__xludf.DUMMYFUNCTION("""COMPUTED_VALUE"""),"屏東縣屏東市大同國民小學")</f>
        <v>屏東縣屏東市大同國民小學</v>
      </c>
      <c r="F4015" s="14" t="str">
        <f>IFERROR(__xludf.DUMMYFUNCTION("""COMPUTED_VALUE"""),"六年級")</f>
        <v>六年級</v>
      </c>
      <c r="G4015" s="14" t="str">
        <f>IFERROR(__xludf.DUMMYFUNCTION("""COMPUTED_VALUE"""),"獎狀")</f>
        <v>獎狀</v>
      </c>
      <c r="H4015" s="8"/>
    </row>
    <row r="4016">
      <c r="A4016" s="18"/>
      <c r="B4016" s="14">
        <f>IFERROR(__xludf.DUMMYFUNCTION("""COMPUTED_VALUE"""),490785.0)</f>
        <v>490785</v>
      </c>
      <c r="C4016" s="14" t="str">
        <f>IFERROR(__xludf.DUMMYFUNCTION("""COMPUTED_VALUE"""),"桂笠峰")</f>
        <v>桂笠峰</v>
      </c>
      <c r="D4016" s="16" t="str">
        <f>IFERROR(__xludf.DUMMYFUNCTION("""COMPUTED_VALUE"""),"dtp*****14@dtps.ptc.edu.tw")</f>
        <v>dtp*****14@dtps.ptc.edu.tw</v>
      </c>
      <c r="E4016" s="17" t="str">
        <f>IFERROR(__xludf.DUMMYFUNCTION("""COMPUTED_VALUE"""),"屏東縣屏東市大同國民小學")</f>
        <v>屏東縣屏東市大同國民小學</v>
      </c>
      <c r="F4016" s="14" t="str">
        <f>IFERROR(__xludf.DUMMYFUNCTION("""COMPUTED_VALUE"""),"六年級")</f>
        <v>六年級</v>
      </c>
      <c r="G4016" s="14" t="str">
        <f>IFERROR(__xludf.DUMMYFUNCTION("""COMPUTED_VALUE"""),"獎狀")</f>
        <v>獎狀</v>
      </c>
      <c r="H4016" s="8"/>
    </row>
    <row r="4017">
      <c r="A4017" s="18"/>
      <c r="B4017" s="14">
        <f>IFERROR(__xludf.DUMMYFUNCTION("""COMPUTED_VALUE"""),490777.0)</f>
        <v>490777</v>
      </c>
      <c r="C4017" s="14" t="str">
        <f>IFERROR(__xludf.DUMMYFUNCTION("""COMPUTED_VALUE"""),"張亦均")</f>
        <v>張亦均</v>
      </c>
      <c r="D4017" s="16" t="str">
        <f>IFERROR(__xludf.DUMMYFUNCTION("""COMPUTED_VALUE"""),"dtp*****06@dtps.ptc.edu.tw")</f>
        <v>dtp*****06@dtps.ptc.edu.tw</v>
      </c>
      <c r="E4017" s="17" t="str">
        <f>IFERROR(__xludf.DUMMYFUNCTION("""COMPUTED_VALUE"""),"屏東縣屏東市大同國民小學")</f>
        <v>屏東縣屏東市大同國民小學</v>
      </c>
      <c r="F4017" s="14" t="str">
        <f>IFERROR(__xludf.DUMMYFUNCTION("""COMPUTED_VALUE"""),"六年級")</f>
        <v>六年級</v>
      </c>
      <c r="G4017" s="14" t="str">
        <f>IFERROR(__xludf.DUMMYFUNCTION("""COMPUTED_VALUE"""),"獎狀")</f>
        <v>獎狀</v>
      </c>
      <c r="H4017" s="8"/>
    </row>
    <row r="4018">
      <c r="A4018" s="18"/>
      <c r="B4018" s="14">
        <f>IFERROR(__xludf.DUMMYFUNCTION("""COMPUTED_VALUE"""),490784.0)</f>
        <v>490784</v>
      </c>
      <c r="C4018" s="14" t="str">
        <f>IFERROR(__xludf.DUMMYFUNCTION("""COMPUTED_VALUE"""),"張豐櫃")</f>
        <v>張豐櫃</v>
      </c>
      <c r="D4018" s="16" t="str">
        <f>IFERROR(__xludf.DUMMYFUNCTION("""COMPUTED_VALUE"""),"dtp*****13@dtps.ptc.edu.tw")</f>
        <v>dtp*****13@dtps.ptc.edu.tw</v>
      </c>
      <c r="E4018" s="17" t="str">
        <f>IFERROR(__xludf.DUMMYFUNCTION("""COMPUTED_VALUE"""),"屏東縣屏東市大同國民小學")</f>
        <v>屏東縣屏東市大同國民小學</v>
      </c>
      <c r="F4018" s="14" t="str">
        <f>IFERROR(__xludf.DUMMYFUNCTION("""COMPUTED_VALUE"""),"六年級")</f>
        <v>六年級</v>
      </c>
      <c r="G4018" s="14" t="str">
        <f>IFERROR(__xludf.DUMMYFUNCTION("""COMPUTED_VALUE"""),"獎狀")</f>
        <v>獎狀</v>
      </c>
      <c r="H4018" s="8"/>
    </row>
    <row r="4019">
      <c r="A4019" s="18"/>
      <c r="B4019" s="14">
        <f>IFERROR(__xludf.DUMMYFUNCTION("""COMPUTED_VALUE"""),490794.0)</f>
        <v>490794</v>
      </c>
      <c r="C4019" s="14" t="str">
        <f>IFERROR(__xludf.DUMMYFUNCTION("""COMPUTED_VALUE"""),"許芯")</f>
        <v>許芯</v>
      </c>
      <c r="D4019" s="16" t="str">
        <f>IFERROR(__xludf.DUMMYFUNCTION("""COMPUTED_VALUE"""),"dtp*****23@dtps.ptc.edu.tw")</f>
        <v>dtp*****23@dtps.ptc.edu.tw</v>
      </c>
      <c r="E4019" s="17" t="str">
        <f>IFERROR(__xludf.DUMMYFUNCTION("""COMPUTED_VALUE"""),"屏東縣屏東市大同國民小學")</f>
        <v>屏東縣屏東市大同國民小學</v>
      </c>
      <c r="F4019" s="14" t="str">
        <f>IFERROR(__xludf.DUMMYFUNCTION("""COMPUTED_VALUE"""),"六年級")</f>
        <v>六年級</v>
      </c>
      <c r="G4019" s="14" t="str">
        <f>IFERROR(__xludf.DUMMYFUNCTION("""COMPUTED_VALUE"""),"獎狀")</f>
        <v>獎狀</v>
      </c>
      <c r="H4019" s="8"/>
    </row>
    <row r="4020">
      <c r="A4020" s="18"/>
      <c r="B4020" s="14">
        <f>IFERROR(__xludf.DUMMYFUNCTION("""COMPUTED_VALUE"""),490791.0)</f>
        <v>490791</v>
      </c>
      <c r="C4020" s="14" t="str">
        <f>IFERROR(__xludf.DUMMYFUNCTION("""COMPUTED_VALUE"""),"許庭瑋")</f>
        <v>許庭瑋</v>
      </c>
      <c r="D4020" s="16" t="str">
        <f>IFERROR(__xludf.DUMMYFUNCTION("""COMPUTED_VALUE"""),"dtp*****20@dtps.ptc.edu.tw")</f>
        <v>dtp*****20@dtps.ptc.edu.tw</v>
      </c>
      <c r="E4020" s="17" t="str">
        <f>IFERROR(__xludf.DUMMYFUNCTION("""COMPUTED_VALUE"""),"屏東縣屏東市大同國民小學")</f>
        <v>屏東縣屏東市大同國民小學</v>
      </c>
      <c r="F4020" s="14" t="str">
        <f>IFERROR(__xludf.DUMMYFUNCTION("""COMPUTED_VALUE"""),"六年級")</f>
        <v>六年級</v>
      </c>
      <c r="G4020" s="14" t="str">
        <f>IFERROR(__xludf.DUMMYFUNCTION("""COMPUTED_VALUE"""),"獎狀")</f>
        <v>獎狀</v>
      </c>
      <c r="H4020" s="8"/>
    </row>
    <row r="4021">
      <c r="A4021" s="18"/>
      <c r="B4021" s="14">
        <f>IFERROR(__xludf.DUMMYFUNCTION("""COMPUTED_VALUE"""),490783.0)</f>
        <v>490783</v>
      </c>
      <c r="C4021" s="14" t="str">
        <f>IFERROR(__xludf.DUMMYFUNCTION("""COMPUTED_VALUE"""),"陳柏智")</f>
        <v>陳柏智</v>
      </c>
      <c r="D4021" s="16" t="str">
        <f>IFERROR(__xludf.DUMMYFUNCTION("""COMPUTED_VALUE"""),"dtp*****12@dtps.ptc.edu.tw")</f>
        <v>dtp*****12@dtps.ptc.edu.tw</v>
      </c>
      <c r="E4021" s="17" t="str">
        <f>IFERROR(__xludf.DUMMYFUNCTION("""COMPUTED_VALUE"""),"屏東縣屏東市大同國民小學")</f>
        <v>屏東縣屏東市大同國民小學</v>
      </c>
      <c r="F4021" s="14" t="str">
        <f>IFERROR(__xludf.DUMMYFUNCTION("""COMPUTED_VALUE"""),"六年級")</f>
        <v>六年級</v>
      </c>
      <c r="G4021" s="14" t="str">
        <f>IFERROR(__xludf.DUMMYFUNCTION("""COMPUTED_VALUE"""),"獎狀")</f>
        <v>獎狀</v>
      </c>
      <c r="H4021" s="8"/>
    </row>
    <row r="4022">
      <c r="A4022" s="18"/>
      <c r="B4022" s="14">
        <f>IFERROR(__xludf.DUMMYFUNCTION("""COMPUTED_VALUE"""),490786.0)</f>
        <v>490786</v>
      </c>
      <c r="C4022" s="14" t="str">
        <f>IFERROR(__xludf.DUMMYFUNCTION("""COMPUTED_VALUE"""),"麥程皓")</f>
        <v>麥程皓</v>
      </c>
      <c r="D4022" s="16" t="str">
        <f>IFERROR(__xludf.DUMMYFUNCTION("""COMPUTED_VALUE"""),"dtp*****15@dtps.ptc.edu.tw")</f>
        <v>dtp*****15@dtps.ptc.edu.tw</v>
      </c>
      <c r="E4022" s="17" t="str">
        <f>IFERROR(__xludf.DUMMYFUNCTION("""COMPUTED_VALUE"""),"屏東縣屏東市大同國民小學")</f>
        <v>屏東縣屏東市大同國民小學</v>
      </c>
      <c r="F4022" s="14" t="str">
        <f>IFERROR(__xludf.DUMMYFUNCTION("""COMPUTED_VALUE"""),"六年級")</f>
        <v>六年級</v>
      </c>
      <c r="G4022" s="14" t="str">
        <f>IFERROR(__xludf.DUMMYFUNCTION("""COMPUTED_VALUE"""),"獎狀")</f>
        <v>獎狀</v>
      </c>
      <c r="H4022" s="8"/>
    </row>
    <row r="4023">
      <c r="A4023" s="18"/>
      <c r="B4023" s="14">
        <f>IFERROR(__xludf.DUMMYFUNCTION("""COMPUTED_VALUE"""),490795.0)</f>
        <v>490795</v>
      </c>
      <c r="C4023" s="14" t="str">
        <f>IFERROR(__xludf.DUMMYFUNCTION("""COMPUTED_VALUE"""),"開葦琳")</f>
        <v>開葦琳</v>
      </c>
      <c r="D4023" s="16" t="str">
        <f>IFERROR(__xludf.DUMMYFUNCTION("""COMPUTED_VALUE"""),"dtp*****24@dtps.ptc.edu.tw")</f>
        <v>dtp*****24@dtps.ptc.edu.tw</v>
      </c>
      <c r="E4023" s="17" t="str">
        <f>IFERROR(__xludf.DUMMYFUNCTION("""COMPUTED_VALUE"""),"屏東縣屏東市大同國民小學")</f>
        <v>屏東縣屏東市大同國民小學</v>
      </c>
      <c r="F4023" s="14" t="str">
        <f>IFERROR(__xludf.DUMMYFUNCTION("""COMPUTED_VALUE"""),"六年級")</f>
        <v>六年級</v>
      </c>
      <c r="G4023" s="14" t="str">
        <f>IFERROR(__xludf.DUMMYFUNCTION("""COMPUTED_VALUE"""),"獎狀")</f>
        <v>獎狀</v>
      </c>
      <c r="H4023" s="8"/>
    </row>
    <row r="4024">
      <c r="A4024" s="18"/>
      <c r="B4024" s="14">
        <f>IFERROR(__xludf.DUMMYFUNCTION("""COMPUTED_VALUE"""),490787.0)</f>
        <v>490787</v>
      </c>
      <c r="C4024" s="14" t="str">
        <f>IFERROR(__xludf.DUMMYFUNCTION("""COMPUTED_VALUE"""),"黃彥綸")</f>
        <v>黃彥綸</v>
      </c>
      <c r="D4024" s="16" t="str">
        <f>IFERROR(__xludf.DUMMYFUNCTION("""COMPUTED_VALUE"""),"dtp*****16@dtps.ptc.edu.tw")</f>
        <v>dtp*****16@dtps.ptc.edu.tw</v>
      </c>
      <c r="E4024" s="17" t="str">
        <f>IFERROR(__xludf.DUMMYFUNCTION("""COMPUTED_VALUE"""),"屏東縣屏東市大同國民小學")</f>
        <v>屏東縣屏東市大同國民小學</v>
      </c>
      <c r="F4024" s="14" t="str">
        <f>IFERROR(__xludf.DUMMYFUNCTION("""COMPUTED_VALUE"""),"六年級")</f>
        <v>六年級</v>
      </c>
      <c r="G4024" s="14" t="str">
        <f>IFERROR(__xludf.DUMMYFUNCTION("""COMPUTED_VALUE"""),"獎狀")</f>
        <v>獎狀</v>
      </c>
      <c r="H4024" s="8"/>
    </row>
    <row r="4025">
      <c r="A4025" s="18"/>
      <c r="B4025" s="14">
        <f>IFERROR(__xludf.DUMMYFUNCTION("""COMPUTED_VALUE"""),490775.0)</f>
        <v>490775</v>
      </c>
      <c r="C4025" s="14" t="str">
        <f>IFERROR(__xludf.DUMMYFUNCTION("""COMPUTED_VALUE"""),"廖家鴻")</f>
        <v>廖家鴻</v>
      </c>
      <c r="D4025" s="16" t="str">
        <f>IFERROR(__xludf.DUMMYFUNCTION("""COMPUTED_VALUE"""),"dtp*****04@dtps.ptc.edu.tw")</f>
        <v>dtp*****04@dtps.ptc.edu.tw</v>
      </c>
      <c r="E4025" s="17" t="str">
        <f>IFERROR(__xludf.DUMMYFUNCTION("""COMPUTED_VALUE"""),"屏東縣屏東市大同國民小學")</f>
        <v>屏東縣屏東市大同國民小學</v>
      </c>
      <c r="F4025" s="14" t="str">
        <f>IFERROR(__xludf.DUMMYFUNCTION("""COMPUTED_VALUE"""),"六年級")</f>
        <v>六年級</v>
      </c>
      <c r="G4025" s="14" t="str">
        <f>IFERROR(__xludf.DUMMYFUNCTION("""COMPUTED_VALUE"""),"獎狀")</f>
        <v>獎狀</v>
      </c>
      <c r="H4025" s="8"/>
    </row>
    <row r="4026">
      <c r="A4026" s="18"/>
      <c r="B4026" s="14">
        <f>IFERROR(__xludf.DUMMYFUNCTION("""COMPUTED_VALUE"""),490793.0)</f>
        <v>490793</v>
      </c>
      <c r="C4026" s="14" t="str">
        <f>IFERROR(__xludf.DUMMYFUNCTION("""COMPUTED_VALUE"""),"蔡宇恩")</f>
        <v>蔡宇恩</v>
      </c>
      <c r="D4026" s="16" t="str">
        <f>IFERROR(__xludf.DUMMYFUNCTION("""COMPUTED_VALUE"""),"dtp*****22@dtps.ptc.edu.tw")</f>
        <v>dtp*****22@dtps.ptc.edu.tw</v>
      </c>
      <c r="E4026" s="17" t="str">
        <f>IFERROR(__xludf.DUMMYFUNCTION("""COMPUTED_VALUE"""),"屏東縣屏東市大同國民小學")</f>
        <v>屏東縣屏東市大同國民小學</v>
      </c>
      <c r="F4026" s="14" t="str">
        <f>IFERROR(__xludf.DUMMYFUNCTION("""COMPUTED_VALUE"""),"六年級")</f>
        <v>六年級</v>
      </c>
      <c r="G4026" s="14" t="str">
        <f>IFERROR(__xludf.DUMMYFUNCTION("""COMPUTED_VALUE"""),"獎狀")</f>
        <v>獎狀</v>
      </c>
      <c r="H4026" s="8"/>
    </row>
    <row r="4027">
      <c r="A4027" s="18"/>
      <c r="B4027" s="14">
        <f>IFERROR(__xludf.DUMMYFUNCTION("""COMPUTED_VALUE"""),490782.0)</f>
        <v>490782</v>
      </c>
      <c r="C4027" s="14" t="str">
        <f>IFERROR(__xludf.DUMMYFUNCTION("""COMPUTED_VALUE"""),"錢柏維")</f>
        <v>錢柏維</v>
      </c>
      <c r="D4027" s="16" t="str">
        <f>IFERROR(__xludf.DUMMYFUNCTION("""COMPUTED_VALUE"""),"dtp*****11@dtps.ptc.edu.tw")</f>
        <v>dtp*****11@dtps.ptc.edu.tw</v>
      </c>
      <c r="E4027" s="17" t="str">
        <f>IFERROR(__xludf.DUMMYFUNCTION("""COMPUTED_VALUE"""),"屏東縣屏東市大同國民小學")</f>
        <v>屏東縣屏東市大同國民小學</v>
      </c>
      <c r="F4027" s="14" t="str">
        <f>IFERROR(__xludf.DUMMYFUNCTION("""COMPUTED_VALUE"""),"六年級")</f>
        <v>六年級</v>
      </c>
      <c r="G4027" s="14" t="str">
        <f>IFERROR(__xludf.DUMMYFUNCTION("""COMPUTED_VALUE"""),"獎狀")</f>
        <v>獎狀</v>
      </c>
      <c r="H4027" s="8"/>
    </row>
    <row r="4028">
      <c r="A4028" s="18"/>
      <c r="B4028" s="14">
        <f>IFERROR(__xludf.DUMMYFUNCTION("""COMPUTED_VALUE"""),490774.0)</f>
        <v>490774</v>
      </c>
      <c r="C4028" s="14" t="str">
        <f>IFERROR(__xludf.DUMMYFUNCTION("""COMPUTED_VALUE"""),"韓建誠")</f>
        <v>韓建誠</v>
      </c>
      <c r="D4028" s="16" t="str">
        <f>IFERROR(__xludf.DUMMYFUNCTION("""COMPUTED_VALUE"""),"dtp*****03@dtps.ptc.edu.tw")</f>
        <v>dtp*****03@dtps.ptc.edu.tw</v>
      </c>
      <c r="E4028" s="17" t="str">
        <f>IFERROR(__xludf.DUMMYFUNCTION("""COMPUTED_VALUE"""),"屏東縣屏東市大同國民小學")</f>
        <v>屏東縣屏東市大同國民小學</v>
      </c>
      <c r="F4028" s="14" t="str">
        <f>IFERROR(__xludf.DUMMYFUNCTION("""COMPUTED_VALUE"""),"六年級")</f>
        <v>六年級</v>
      </c>
      <c r="G4028" s="14" t="str">
        <f>IFERROR(__xludf.DUMMYFUNCTION("""COMPUTED_VALUE"""),"獎狀")</f>
        <v>獎狀</v>
      </c>
      <c r="H4028" s="8"/>
    </row>
    <row r="4029">
      <c r="A4029" s="18"/>
      <c r="B4029" s="14">
        <f>IFERROR(__xludf.DUMMYFUNCTION("""COMPUTED_VALUE"""),490789.0)</f>
        <v>490789</v>
      </c>
      <c r="C4029" s="14" t="str">
        <f>IFERROR(__xludf.DUMMYFUNCTION("""COMPUTED_VALUE"""),"羅文蔚")</f>
        <v>羅文蔚</v>
      </c>
      <c r="D4029" s="16" t="str">
        <f>IFERROR(__xludf.DUMMYFUNCTION("""COMPUTED_VALUE"""),"dtp*****18@dtps.ptc.edu.tw")</f>
        <v>dtp*****18@dtps.ptc.edu.tw</v>
      </c>
      <c r="E4029" s="17" t="str">
        <f>IFERROR(__xludf.DUMMYFUNCTION("""COMPUTED_VALUE"""),"屏東縣屏東市大同國民小學")</f>
        <v>屏東縣屏東市大同國民小學</v>
      </c>
      <c r="F4029" s="14" t="str">
        <f>IFERROR(__xludf.DUMMYFUNCTION("""COMPUTED_VALUE"""),"六年級")</f>
        <v>六年級</v>
      </c>
      <c r="G4029" s="14" t="str">
        <f>IFERROR(__xludf.DUMMYFUNCTION("""COMPUTED_VALUE"""),"獎狀")</f>
        <v>獎狀</v>
      </c>
      <c r="H4029" s="8"/>
    </row>
    <row r="4030">
      <c r="A4030" s="18"/>
      <c r="B4030" s="14">
        <f>IFERROR(__xludf.DUMMYFUNCTION("""COMPUTED_VALUE"""),490780.0)</f>
        <v>490780</v>
      </c>
      <c r="C4030" s="14" t="str">
        <f>IFERROR(__xludf.DUMMYFUNCTION("""COMPUTED_VALUE"""),"蘇湧升")</f>
        <v>蘇湧升</v>
      </c>
      <c r="D4030" s="16" t="str">
        <f>IFERROR(__xludf.DUMMYFUNCTION("""COMPUTED_VALUE"""),"dtp*****09@dtps.ptc.edu.tw")</f>
        <v>dtp*****09@dtps.ptc.edu.tw</v>
      </c>
      <c r="E4030" s="17" t="str">
        <f>IFERROR(__xludf.DUMMYFUNCTION("""COMPUTED_VALUE"""),"屏東縣屏東市大同國民小學")</f>
        <v>屏東縣屏東市大同國民小學</v>
      </c>
      <c r="F4030" s="14" t="str">
        <f>IFERROR(__xludf.DUMMYFUNCTION("""COMPUTED_VALUE"""),"六年級")</f>
        <v>六年級</v>
      </c>
      <c r="G4030" s="14" t="str">
        <f>IFERROR(__xludf.DUMMYFUNCTION("""COMPUTED_VALUE"""),"獎狀")</f>
        <v>獎狀</v>
      </c>
      <c r="H4030" s="8"/>
    </row>
    <row r="4031">
      <c r="A4031" s="18"/>
      <c r="B4031" s="14">
        <f>IFERROR(__xludf.DUMMYFUNCTION("""COMPUTED_VALUE"""),532846.0)</f>
        <v>532846</v>
      </c>
      <c r="C4031" s="14" t="str">
        <f>IFERROR(__xludf.DUMMYFUNCTION("""COMPUTED_VALUE"""),"鄭珵心")</f>
        <v>鄭珵心</v>
      </c>
      <c r="D4031" s="16" t="str">
        <f>IFERROR(__xludf.DUMMYFUNCTION("""COMPUTED_VALUE"""),"ali*****20628@mail.edu.tw")</f>
        <v>ali*****20628@mail.edu.tw</v>
      </c>
      <c r="E4031" s="17" t="str">
        <f>IFERROR(__xludf.DUMMYFUNCTION("""COMPUTED_VALUE"""),"屏東縣屏東市民和國民小學")</f>
        <v>屏東縣屏東市民和國民小學</v>
      </c>
      <c r="F4031" s="14" t="str">
        <f>IFERROR(__xludf.DUMMYFUNCTION("""COMPUTED_VALUE"""),"五年級")</f>
        <v>五年級</v>
      </c>
      <c r="G4031" s="14" t="str">
        <f>IFERROR(__xludf.DUMMYFUNCTION("""COMPUTED_VALUE"""),"●小禮物")</f>
        <v>●小禮物</v>
      </c>
      <c r="H4031" s="8"/>
    </row>
    <row r="4032">
      <c r="A4032" s="18"/>
      <c r="B4032" s="14">
        <f>IFERROR(__xludf.DUMMYFUNCTION("""COMPUTED_VALUE"""),532853.0)</f>
        <v>532853</v>
      </c>
      <c r="C4032" s="14" t="str">
        <f>IFERROR(__xludf.DUMMYFUNCTION("""COMPUTED_VALUE"""),"江佳軒")</f>
        <v>江佳軒</v>
      </c>
      <c r="D4032" s="16" t="str">
        <f>IFERROR(__xludf.DUMMYFUNCTION("""COMPUTED_VALUE"""),"emm*****0823@mail.edu.tw")</f>
        <v>emm*****0823@mail.edu.tw</v>
      </c>
      <c r="E4032" s="17" t="str">
        <f>IFERROR(__xludf.DUMMYFUNCTION("""COMPUTED_VALUE"""),"屏東縣屏東市民和國民小學")</f>
        <v>屏東縣屏東市民和國民小學</v>
      </c>
      <c r="F4032" s="14" t="str">
        <f>IFERROR(__xludf.DUMMYFUNCTION("""COMPUTED_VALUE"""),"五年級")</f>
        <v>五年級</v>
      </c>
      <c r="G4032" s="14" t="str">
        <f>IFERROR(__xludf.DUMMYFUNCTION("""COMPUTED_VALUE"""),"獎狀")</f>
        <v>獎狀</v>
      </c>
      <c r="H4032" s="8"/>
    </row>
    <row r="4033">
      <c r="A4033" s="18"/>
      <c r="B4033" s="14">
        <f>IFERROR(__xludf.DUMMYFUNCTION("""COMPUTED_VALUE"""),1097753.0)</f>
        <v>1097753</v>
      </c>
      <c r="C4033" s="14" t="str">
        <f>IFERROR(__xludf.DUMMYFUNCTION("""COMPUTED_VALUE"""),"李泉叡")</f>
        <v>李泉叡</v>
      </c>
      <c r="D4033" s="16" t="str">
        <f>IFERROR(__xludf.DUMMYFUNCTION("""COMPUTED_VALUE"""),"stu*****22@nptups.ptc.edu.tw")</f>
        <v>stu*****22@nptups.ptc.edu.tw</v>
      </c>
      <c r="E4033" s="17" t="str">
        <f>IFERROR(__xludf.DUMMYFUNCTION("""COMPUTED_VALUE"""),"國立屏東大學附設實驗國民小學")</f>
        <v>國立屏東大學附設實驗國民小學</v>
      </c>
      <c r="F4033" s="14" t="str">
        <f>IFERROR(__xludf.DUMMYFUNCTION("""COMPUTED_VALUE"""),"四年級")</f>
        <v>四年級</v>
      </c>
      <c r="G4033" s="14" t="str">
        <f>IFERROR(__xludf.DUMMYFUNCTION("""COMPUTED_VALUE"""),"獎狀")</f>
        <v>獎狀</v>
      </c>
      <c r="H4033" s="8"/>
    </row>
    <row r="4034">
      <c r="A4034" s="18"/>
      <c r="B4034" s="14">
        <f>IFERROR(__xludf.DUMMYFUNCTION("""COMPUTED_VALUE"""),419408.0)</f>
        <v>419408</v>
      </c>
      <c r="C4034" s="14" t="str">
        <f>IFERROR(__xludf.DUMMYFUNCTION("""COMPUTED_VALUE"""),"沈可芯")</f>
        <v>沈可芯</v>
      </c>
      <c r="D4034" s="16" t="str">
        <f>IFERROR(__xludf.DUMMYFUNCTION("""COMPUTED_VALUE"""),"Ell*****en0207@gmail.com")</f>
        <v>Ell*****en0207@gmail.com</v>
      </c>
      <c r="E4034" s="17" t="str">
        <f>IFERROR(__xludf.DUMMYFUNCTION("""COMPUTED_VALUE"""),"屏東縣屏東市忠孝國民小學")</f>
        <v>屏東縣屏東市忠孝國民小學</v>
      </c>
      <c r="F4034" s="14" t="str">
        <f>IFERROR(__xludf.DUMMYFUNCTION("""COMPUTED_VALUE"""),"六年級")</f>
        <v>六年級</v>
      </c>
      <c r="G4034" s="14" t="str">
        <f>IFERROR(__xludf.DUMMYFUNCTION("""COMPUTED_VALUE"""),"獎狀")</f>
        <v>獎狀</v>
      </c>
      <c r="H4034" s="8"/>
    </row>
    <row r="4035">
      <c r="A4035" s="18"/>
      <c r="B4035" s="14">
        <f>IFERROR(__xludf.DUMMYFUNCTION("""COMPUTED_VALUE"""),818660.0)</f>
        <v>818660</v>
      </c>
      <c r="C4035" s="14" t="str">
        <f>IFERROR(__xludf.DUMMYFUNCTION("""COMPUTED_VALUE"""),"邱品溱")</f>
        <v>邱品溱</v>
      </c>
      <c r="D4035" s="16" t="str">
        <f>IFERROR(__xludf.DUMMYFUNCTION("""COMPUTED_VALUE"""),"ks3*****go.edu.tw")</f>
        <v>ks3*****go.edu.tw</v>
      </c>
      <c r="E4035" s="17" t="str">
        <f>IFERROR(__xludf.DUMMYFUNCTION("""COMPUTED_VALUE"""),"屏東縣屏東市民生國民小學")</f>
        <v>屏東縣屏東市民生國民小學</v>
      </c>
      <c r="F4035" s="14" t="str">
        <f>IFERROR(__xludf.DUMMYFUNCTION("""COMPUTED_VALUE"""),"五年級")</f>
        <v>五年級</v>
      </c>
      <c r="G4035" s="14" t="str">
        <f>IFERROR(__xludf.DUMMYFUNCTION("""COMPUTED_VALUE"""),"●小禮物")</f>
        <v>●小禮物</v>
      </c>
      <c r="H4035" s="8"/>
    </row>
    <row r="4036">
      <c r="A4036" s="18"/>
      <c r="B4036" s="14">
        <f>IFERROR(__xludf.DUMMYFUNCTION("""COMPUTED_VALUE"""),818667.0)</f>
        <v>818667</v>
      </c>
      <c r="C4036" s="14" t="str">
        <f>IFERROR(__xludf.DUMMYFUNCTION("""COMPUTED_VALUE"""),"李辰琳")</f>
        <v>李辰琳</v>
      </c>
      <c r="D4036" s="16" t="str">
        <f>IFERROR(__xludf.DUMMYFUNCTION("""COMPUTED_VALUE"""),"van*****7@go.edu.tw")</f>
        <v>van*****7@go.edu.tw</v>
      </c>
      <c r="E4036" s="17" t="str">
        <f>IFERROR(__xludf.DUMMYFUNCTION("""COMPUTED_VALUE"""),"屏東縣屏東市民生國民小學")</f>
        <v>屏東縣屏東市民生國民小學</v>
      </c>
      <c r="F4036" s="14" t="str">
        <f>IFERROR(__xludf.DUMMYFUNCTION("""COMPUTED_VALUE"""),"五年級")</f>
        <v>五年級</v>
      </c>
      <c r="G4036" s="14" t="str">
        <f>IFERROR(__xludf.DUMMYFUNCTION("""COMPUTED_VALUE"""),"獎狀")</f>
        <v>獎狀</v>
      </c>
      <c r="H4036" s="8"/>
    </row>
    <row r="4037">
      <c r="A4037" s="18"/>
      <c r="B4037" s="14">
        <f>IFERROR(__xludf.DUMMYFUNCTION("""COMPUTED_VALUE"""),818828.0)</f>
        <v>818828</v>
      </c>
      <c r="C4037" s="14" t="str">
        <f>IFERROR(__xludf.DUMMYFUNCTION("""COMPUTED_VALUE"""),"徐佳")</f>
        <v>徐佳</v>
      </c>
      <c r="D4037" s="16" t="str">
        <f>IFERROR(__xludf.DUMMYFUNCTION("""COMPUTED_VALUE"""),"ham*****0@go.edu.tw")</f>
        <v>ham*****0@go.edu.tw</v>
      </c>
      <c r="E4037" s="17" t="str">
        <f>IFERROR(__xludf.DUMMYFUNCTION("""COMPUTED_VALUE"""),"屏東縣屏東市民生國民小學")</f>
        <v>屏東縣屏東市民生國民小學</v>
      </c>
      <c r="F4037" s="14" t="str">
        <f>IFERROR(__xludf.DUMMYFUNCTION("""COMPUTED_VALUE"""),"五年級")</f>
        <v>五年級</v>
      </c>
      <c r="G4037" s="14" t="str">
        <f>IFERROR(__xludf.DUMMYFUNCTION("""COMPUTED_VALUE"""),"獎狀")</f>
        <v>獎狀</v>
      </c>
      <c r="H4037" s="8"/>
    </row>
    <row r="4038">
      <c r="A4038" s="18"/>
      <c r="B4038" s="14">
        <f>IFERROR(__xludf.DUMMYFUNCTION("""COMPUTED_VALUE"""),818674.0)</f>
        <v>818674</v>
      </c>
      <c r="C4038" s="14" t="str">
        <f>IFERROR(__xludf.DUMMYFUNCTION("""COMPUTED_VALUE"""),"徐淯軒")</f>
        <v>徐淯軒</v>
      </c>
      <c r="D4038" s="16" t="str">
        <f>IFERROR(__xludf.DUMMYFUNCTION("""COMPUTED_VALUE"""),"ks3*****go.edu.tw")</f>
        <v>ks3*****go.edu.tw</v>
      </c>
      <c r="E4038" s="17" t="str">
        <f>IFERROR(__xludf.DUMMYFUNCTION("""COMPUTED_VALUE"""),"屏東縣屏東市民生國民小學")</f>
        <v>屏東縣屏東市民生國民小學</v>
      </c>
      <c r="F4038" s="14" t="str">
        <f>IFERROR(__xludf.DUMMYFUNCTION("""COMPUTED_VALUE"""),"五年級")</f>
        <v>五年級</v>
      </c>
      <c r="G4038" s="14" t="str">
        <f>IFERROR(__xludf.DUMMYFUNCTION("""COMPUTED_VALUE"""),"獎狀")</f>
        <v>獎狀</v>
      </c>
      <c r="H4038" s="8"/>
    </row>
    <row r="4039">
      <c r="A4039" s="18"/>
      <c r="B4039" s="14">
        <f>IFERROR(__xludf.DUMMYFUNCTION("""COMPUTED_VALUE"""),818808.0)</f>
        <v>818808</v>
      </c>
      <c r="C4039" s="14" t="str">
        <f>IFERROR(__xludf.DUMMYFUNCTION("""COMPUTED_VALUE"""),"徐寧")</f>
        <v>徐寧</v>
      </c>
      <c r="D4039" s="16" t="str">
        <f>IFERROR(__xludf.DUMMYFUNCTION("""COMPUTED_VALUE"""),"ear*****@go.edu.tw")</f>
        <v>ear*****@go.edu.tw</v>
      </c>
      <c r="E4039" s="17" t="str">
        <f>IFERROR(__xludf.DUMMYFUNCTION("""COMPUTED_VALUE"""),"屏東縣屏東市民生國民小學")</f>
        <v>屏東縣屏東市民生國民小學</v>
      </c>
      <c r="F4039" s="14" t="str">
        <f>IFERROR(__xludf.DUMMYFUNCTION("""COMPUTED_VALUE"""),"五年級")</f>
        <v>五年級</v>
      </c>
      <c r="G4039" s="14" t="str">
        <f>IFERROR(__xludf.DUMMYFUNCTION("""COMPUTED_VALUE"""),"獎狀")</f>
        <v>獎狀</v>
      </c>
      <c r="H4039" s="8"/>
    </row>
    <row r="4040">
      <c r="A4040" s="18"/>
      <c r="B4040" s="14">
        <f>IFERROR(__xludf.DUMMYFUNCTION("""COMPUTED_VALUE"""),818818.0)</f>
        <v>818818</v>
      </c>
      <c r="C4040" s="14" t="str">
        <f>IFERROR(__xludf.DUMMYFUNCTION("""COMPUTED_VALUE"""),"陳宥彤")</f>
        <v>陳宥彤</v>
      </c>
      <c r="D4040" s="16" t="str">
        <f>IFERROR(__xludf.DUMMYFUNCTION("""COMPUTED_VALUE"""),"ear*****@go.edu.tw")</f>
        <v>ear*****@go.edu.tw</v>
      </c>
      <c r="E4040" s="17" t="str">
        <f>IFERROR(__xludf.DUMMYFUNCTION("""COMPUTED_VALUE"""),"屏東縣屏東市民生國民小學")</f>
        <v>屏東縣屏東市民生國民小學</v>
      </c>
      <c r="F4040" s="14" t="str">
        <f>IFERROR(__xludf.DUMMYFUNCTION("""COMPUTED_VALUE"""),"五年級")</f>
        <v>五年級</v>
      </c>
      <c r="G4040" s="14" t="str">
        <f>IFERROR(__xludf.DUMMYFUNCTION("""COMPUTED_VALUE"""),"獎狀")</f>
        <v>獎狀</v>
      </c>
      <c r="H4040" s="8"/>
    </row>
    <row r="4041">
      <c r="A4041" s="18"/>
      <c r="B4041" s="14">
        <f>IFERROR(__xludf.DUMMYFUNCTION("""COMPUTED_VALUE"""),818665.0)</f>
        <v>818665</v>
      </c>
      <c r="C4041" s="14" t="str">
        <f>IFERROR(__xludf.DUMMYFUNCTION("""COMPUTED_VALUE"""),"陳宥嘉")</f>
        <v>陳宥嘉</v>
      </c>
      <c r="D4041" s="16" t="str">
        <f>IFERROR(__xludf.DUMMYFUNCTION("""COMPUTED_VALUE"""),"ks3*****go.edu.tw")</f>
        <v>ks3*****go.edu.tw</v>
      </c>
      <c r="E4041" s="17" t="str">
        <f>IFERROR(__xludf.DUMMYFUNCTION("""COMPUTED_VALUE"""),"屏東縣屏東市民生國民小學")</f>
        <v>屏東縣屏東市民生國民小學</v>
      </c>
      <c r="F4041" s="14" t="str">
        <f>IFERROR(__xludf.DUMMYFUNCTION("""COMPUTED_VALUE"""),"五年級")</f>
        <v>五年級</v>
      </c>
      <c r="G4041" s="14" t="str">
        <f>IFERROR(__xludf.DUMMYFUNCTION("""COMPUTED_VALUE"""),"獎狀")</f>
        <v>獎狀</v>
      </c>
      <c r="H4041" s="8"/>
    </row>
    <row r="4042">
      <c r="A4042" s="18"/>
      <c r="B4042" s="14">
        <f>IFERROR(__xludf.DUMMYFUNCTION("""COMPUTED_VALUE"""),818669.0)</f>
        <v>818669</v>
      </c>
      <c r="C4042" s="14" t="str">
        <f>IFERROR(__xludf.DUMMYFUNCTION("""COMPUTED_VALUE"""),"葉展榕")</f>
        <v>葉展榕</v>
      </c>
      <c r="D4042" s="16" t="str">
        <f>IFERROR(__xludf.DUMMYFUNCTION("""COMPUTED_VALUE"""),"ks3*****go.edu.tw")</f>
        <v>ks3*****go.edu.tw</v>
      </c>
      <c r="E4042" s="17" t="str">
        <f>IFERROR(__xludf.DUMMYFUNCTION("""COMPUTED_VALUE"""),"屏東縣屏東市民生國民小學")</f>
        <v>屏東縣屏東市民生國民小學</v>
      </c>
      <c r="F4042" s="14" t="str">
        <f>IFERROR(__xludf.DUMMYFUNCTION("""COMPUTED_VALUE"""),"五年級")</f>
        <v>五年級</v>
      </c>
      <c r="G4042" s="14" t="str">
        <f>IFERROR(__xludf.DUMMYFUNCTION("""COMPUTED_VALUE"""),"獎狀")</f>
        <v>獎狀</v>
      </c>
      <c r="H4042" s="8"/>
    </row>
    <row r="4043">
      <c r="A4043" s="18"/>
      <c r="B4043" s="14">
        <f>IFERROR(__xludf.DUMMYFUNCTION("""COMPUTED_VALUE"""),868506.0)</f>
        <v>868506</v>
      </c>
      <c r="C4043" s="14" t="str">
        <f>IFERROR(__xludf.DUMMYFUNCTION("""COMPUTED_VALUE"""),"王珮綺")</f>
        <v>王珮綺</v>
      </c>
      <c r="D4043" s="16" t="str">
        <f>IFERROR(__xludf.DUMMYFUNCTION("""COMPUTED_VALUE"""),"ear*****@go.edu.tw")</f>
        <v>ear*****@go.edu.tw</v>
      </c>
      <c r="E4043" s="17" t="str">
        <f>IFERROR(__xludf.DUMMYFUNCTION("""COMPUTED_VALUE"""),"屏東縣屏東市民生國民小學")</f>
        <v>屏東縣屏東市民生國民小學</v>
      </c>
      <c r="F4043" s="14" t="str">
        <f>IFERROR(__xludf.DUMMYFUNCTION("""COMPUTED_VALUE"""),"五年級")</f>
        <v>五年級</v>
      </c>
      <c r="G4043" s="14" t="str">
        <f>IFERROR(__xludf.DUMMYFUNCTION("""COMPUTED_VALUE"""),"●小禮物")</f>
        <v>●小禮物</v>
      </c>
      <c r="H4043" s="8"/>
    </row>
    <row r="4044">
      <c r="A4044" s="18"/>
      <c r="B4044" s="14">
        <f>IFERROR(__xludf.DUMMYFUNCTION("""COMPUTED_VALUE"""),818656.0)</f>
        <v>818656</v>
      </c>
      <c r="C4044" s="14" t="str">
        <f>IFERROR(__xludf.DUMMYFUNCTION("""COMPUTED_VALUE"""),"陳宏洋")</f>
        <v>陳宏洋</v>
      </c>
      <c r="D4044" s="16" t="str">
        <f>IFERROR(__xludf.DUMMYFUNCTION("""COMPUTED_VALUE"""),"ks3*****go.edu.tw")</f>
        <v>ks3*****go.edu.tw</v>
      </c>
      <c r="E4044" s="17" t="str">
        <f>IFERROR(__xludf.DUMMYFUNCTION("""COMPUTED_VALUE"""),"屏東縣屏東市民生國民小學")</f>
        <v>屏東縣屏東市民生國民小學</v>
      </c>
      <c r="F4044" s="14" t="str">
        <f>IFERROR(__xludf.DUMMYFUNCTION("""COMPUTED_VALUE"""),"五年級")</f>
        <v>五年級</v>
      </c>
      <c r="G4044" s="14" t="str">
        <f>IFERROR(__xludf.DUMMYFUNCTION("""COMPUTED_VALUE"""),"●小禮物")</f>
        <v>●小禮物</v>
      </c>
      <c r="H4044" s="8"/>
    </row>
    <row r="4045">
      <c r="A4045" s="18"/>
      <c r="B4045" s="14">
        <f>IFERROR(__xludf.DUMMYFUNCTION("""COMPUTED_VALUE"""),818672.0)</f>
        <v>818672</v>
      </c>
      <c r="C4045" s="14" t="str">
        <f>IFERROR(__xludf.DUMMYFUNCTION("""COMPUTED_VALUE"""),"蘇姵竹")</f>
        <v>蘇姵竹</v>
      </c>
      <c r="D4045" s="16" t="str">
        <f>IFERROR(__xludf.DUMMYFUNCTION("""COMPUTED_VALUE"""),"ks3*****go.edu.tw")</f>
        <v>ks3*****go.edu.tw</v>
      </c>
      <c r="E4045" s="17" t="str">
        <f>IFERROR(__xludf.DUMMYFUNCTION("""COMPUTED_VALUE"""),"屏東縣屏東市民生國民小學")</f>
        <v>屏東縣屏東市民生國民小學</v>
      </c>
      <c r="F4045" s="14" t="str">
        <f>IFERROR(__xludf.DUMMYFUNCTION("""COMPUTED_VALUE"""),"五年級")</f>
        <v>五年級</v>
      </c>
      <c r="G4045" s="14" t="str">
        <f>IFERROR(__xludf.DUMMYFUNCTION("""COMPUTED_VALUE"""),"●小禮物")</f>
        <v>●小禮物</v>
      </c>
      <c r="H4045" s="8"/>
    </row>
    <row r="4046">
      <c r="A4046" s="18"/>
      <c r="B4046" s="14">
        <f>IFERROR(__xludf.DUMMYFUNCTION("""COMPUTED_VALUE"""),818807.0)</f>
        <v>818807</v>
      </c>
      <c r="C4046" s="14" t="str">
        <f>IFERROR(__xludf.DUMMYFUNCTION("""COMPUTED_VALUE"""),"周雨潔")</f>
        <v>周雨潔</v>
      </c>
      <c r="D4046" s="16" t="str">
        <f>IFERROR(__xludf.DUMMYFUNCTION("""COMPUTED_VALUE"""),"ear*****@go.edu.tw")</f>
        <v>ear*****@go.edu.tw</v>
      </c>
      <c r="E4046" s="17" t="str">
        <f>IFERROR(__xludf.DUMMYFUNCTION("""COMPUTED_VALUE"""),"屏東縣屏東市民生國民小學")</f>
        <v>屏東縣屏東市民生國民小學</v>
      </c>
      <c r="F4046" s="14" t="str">
        <f>IFERROR(__xludf.DUMMYFUNCTION("""COMPUTED_VALUE"""),"五年級")</f>
        <v>五年級</v>
      </c>
      <c r="G4046" s="14" t="str">
        <f>IFERROR(__xludf.DUMMYFUNCTION("""COMPUTED_VALUE"""),"獎狀")</f>
        <v>獎狀</v>
      </c>
      <c r="H4046" s="8"/>
    </row>
    <row r="4047">
      <c r="A4047" s="18"/>
      <c r="B4047" s="14">
        <f>IFERROR(__xludf.DUMMYFUNCTION("""COMPUTED_VALUE"""),1127225.0)</f>
        <v>1127225</v>
      </c>
      <c r="C4047" s="14" t="str">
        <f>IFERROR(__xludf.DUMMYFUNCTION("""COMPUTED_VALUE"""),"黃紫晴")</f>
        <v>黃紫晴</v>
      </c>
      <c r="D4047" s="16" t="str">
        <f>IFERROR(__xludf.DUMMYFUNCTION("""COMPUTED_VALUE"""),"iri*****0824@gmail.com")</f>
        <v>iri*****0824@gmail.com</v>
      </c>
      <c r="E4047" s="17" t="str">
        <f>IFERROR(__xludf.DUMMYFUNCTION("""COMPUTED_VALUE"""),"屏東縣屏東市民生國民小學")</f>
        <v>屏東縣屏東市民生國民小學</v>
      </c>
      <c r="F4047" s="14" t="str">
        <f>IFERROR(__xludf.DUMMYFUNCTION("""COMPUTED_VALUE"""),"五年級")</f>
        <v>五年級</v>
      </c>
      <c r="G4047" s="14" t="str">
        <f>IFERROR(__xludf.DUMMYFUNCTION("""COMPUTED_VALUE"""),"獎狀")</f>
        <v>獎狀</v>
      </c>
      <c r="H4047" s="8"/>
    </row>
    <row r="4048">
      <c r="A4048" s="18"/>
      <c r="B4048" s="14">
        <f>IFERROR(__xludf.DUMMYFUNCTION("""COMPUTED_VALUE"""),818834.0)</f>
        <v>818834</v>
      </c>
      <c r="C4048" s="14" t="str">
        <f>IFERROR(__xludf.DUMMYFUNCTION("""COMPUTED_VALUE"""),"劉亦緗")</f>
        <v>劉亦緗</v>
      </c>
      <c r="D4048" s="16" t="str">
        <f>IFERROR(__xludf.DUMMYFUNCTION("""COMPUTED_VALUE"""),"ear*****@go.edu.tw")</f>
        <v>ear*****@go.edu.tw</v>
      </c>
      <c r="E4048" s="17" t="str">
        <f>IFERROR(__xludf.DUMMYFUNCTION("""COMPUTED_VALUE"""),"屏東縣屏東市民生國民小學")</f>
        <v>屏東縣屏東市民生國民小學</v>
      </c>
      <c r="F4048" s="14" t="str">
        <f>IFERROR(__xludf.DUMMYFUNCTION("""COMPUTED_VALUE"""),"五年級")</f>
        <v>五年級</v>
      </c>
      <c r="G4048" s="14" t="str">
        <f>IFERROR(__xludf.DUMMYFUNCTION("""COMPUTED_VALUE"""),"獎狀")</f>
        <v>獎狀</v>
      </c>
      <c r="H4048" s="8"/>
    </row>
    <row r="4049">
      <c r="A4049" s="18"/>
      <c r="B4049" s="14">
        <f>IFERROR(__xludf.DUMMYFUNCTION("""COMPUTED_VALUE"""),818826.0)</f>
        <v>818826</v>
      </c>
      <c r="C4049" s="14" t="str">
        <f>IFERROR(__xludf.DUMMYFUNCTION("""COMPUTED_VALUE"""),"藍予謙")</f>
        <v>藍予謙</v>
      </c>
      <c r="D4049" s="16" t="str">
        <f>IFERROR(__xludf.DUMMYFUNCTION("""COMPUTED_VALUE"""),"ear*****@go.edu.tw")</f>
        <v>ear*****@go.edu.tw</v>
      </c>
      <c r="E4049" s="17" t="str">
        <f>IFERROR(__xludf.DUMMYFUNCTION("""COMPUTED_VALUE"""),"屏東縣屏東市民生國民小學")</f>
        <v>屏東縣屏東市民生國民小學</v>
      </c>
      <c r="F4049" s="14" t="str">
        <f>IFERROR(__xludf.DUMMYFUNCTION("""COMPUTED_VALUE"""),"五年級")</f>
        <v>五年級</v>
      </c>
      <c r="G4049" s="14" t="str">
        <f>IFERROR(__xludf.DUMMYFUNCTION("""COMPUTED_VALUE"""),"獎狀")</f>
        <v>獎狀</v>
      </c>
      <c r="H4049" s="8"/>
    </row>
    <row r="4050">
      <c r="A4050" s="18"/>
      <c r="B4050" s="14">
        <f>IFERROR(__xludf.DUMMYFUNCTION("""COMPUTED_VALUE"""),734666.0)</f>
        <v>734666</v>
      </c>
      <c r="C4050" s="14" t="str">
        <f>IFERROR(__xludf.DUMMYFUNCTION("""COMPUTED_VALUE"""),"馮風宥")</f>
        <v>馮風宥</v>
      </c>
      <c r="D4050" s="16" t="str">
        <f>IFERROR(__xludf.DUMMYFUNCTION("""COMPUTED_VALUE"""),"msp*****0203@go.edu.tw")</f>
        <v>msp*****0203@go.edu.tw</v>
      </c>
      <c r="E4050" s="17" t="str">
        <f>IFERROR(__xludf.DUMMYFUNCTION("""COMPUTED_VALUE"""),"屏東縣屏東市民生國民小學")</f>
        <v>屏東縣屏東市民生國民小學</v>
      </c>
      <c r="F4050" s="14" t="str">
        <f>IFERROR(__xludf.DUMMYFUNCTION("""COMPUTED_VALUE"""),"六年級")</f>
        <v>六年級</v>
      </c>
      <c r="G4050" s="14" t="str">
        <f>IFERROR(__xludf.DUMMYFUNCTION("""COMPUTED_VALUE"""),"●小禮物")</f>
        <v>●小禮物</v>
      </c>
      <c r="H4050" s="8"/>
    </row>
    <row r="4051">
      <c r="A4051" s="18"/>
      <c r="B4051" s="14">
        <f>IFERROR(__xludf.DUMMYFUNCTION("""COMPUTED_VALUE"""),817493.0)</f>
        <v>817493</v>
      </c>
      <c r="C4051" s="14" t="str">
        <f>IFERROR(__xludf.DUMMYFUNCTION("""COMPUTED_VALUE"""),"陳真")</f>
        <v>陳真</v>
      </c>
      <c r="D4051" s="16" t="str">
        <f>IFERROR(__xludf.DUMMYFUNCTION("""COMPUTED_VALUE"""),"msp*****0113@go.edu.tw")</f>
        <v>msp*****0113@go.edu.tw</v>
      </c>
      <c r="E4051" s="17" t="str">
        <f>IFERROR(__xludf.DUMMYFUNCTION("""COMPUTED_VALUE"""),"屏東縣屏東市民生國民小學")</f>
        <v>屏東縣屏東市民生國民小學</v>
      </c>
      <c r="F4051" s="14" t="str">
        <f>IFERROR(__xludf.DUMMYFUNCTION("""COMPUTED_VALUE"""),"六年級")</f>
        <v>六年級</v>
      </c>
      <c r="G4051" s="14" t="str">
        <f>IFERROR(__xludf.DUMMYFUNCTION("""COMPUTED_VALUE"""),"★禮券$500")</f>
        <v>★禮券$500</v>
      </c>
      <c r="H4051" s="8"/>
    </row>
    <row r="4052">
      <c r="A4052" s="18"/>
      <c r="B4052" s="14">
        <f>IFERROR(__xludf.DUMMYFUNCTION("""COMPUTED_VALUE"""),817498.0)</f>
        <v>817498</v>
      </c>
      <c r="C4052" s="14" t="str">
        <f>IFERROR(__xludf.DUMMYFUNCTION("""COMPUTED_VALUE"""),"宋囿樓")</f>
        <v>宋囿樓</v>
      </c>
      <c r="D4052" s="16" t="str">
        <f>IFERROR(__xludf.DUMMYFUNCTION("""COMPUTED_VALUE"""),"har*****33@go.edu.tw")</f>
        <v>har*****33@go.edu.tw</v>
      </c>
      <c r="E4052" s="17" t="str">
        <f>IFERROR(__xludf.DUMMYFUNCTION("""COMPUTED_VALUE"""),"屏東縣屏東市民生國民小學")</f>
        <v>屏東縣屏東市民生國民小學</v>
      </c>
      <c r="F4052" s="14" t="str">
        <f>IFERROR(__xludf.DUMMYFUNCTION("""COMPUTED_VALUE"""),"六年級")</f>
        <v>六年級</v>
      </c>
      <c r="G4052" s="14" t="str">
        <f>IFERROR(__xludf.DUMMYFUNCTION("""COMPUTED_VALUE"""),"獎狀")</f>
        <v>獎狀</v>
      </c>
      <c r="H4052" s="8"/>
    </row>
    <row r="4053">
      <c r="A4053" s="18"/>
      <c r="B4053" s="14">
        <f>IFERROR(__xludf.DUMMYFUNCTION("""COMPUTED_VALUE"""),817496.0)</f>
        <v>817496</v>
      </c>
      <c r="C4053" s="14" t="str">
        <f>IFERROR(__xludf.DUMMYFUNCTION("""COMPUTED_VALUE"""),"林品嫻")</f>
        <v>林品嫻</v>
      </c>
      <c r="D4053" s="16" t="str">
        <f>IFERROR(__xludf.DUMMYFUNCTION("""COMPUTED_VALUE"""),"msp*****7@go.edu.tw")</f>
        <v>msp*****7@go.edu.tw</v>
      </c>
      <c r="E4053" s="17" t="str">
        <f>IFERROR(__xludf.DUMMYFUNCTION("""COMPUTED_VALUE"""),"屏東縣屏東市民生國民小學")</f>
        <v>屏東縣屏東市民生國民小學</v>
      </c>
      <c r="F4053" s="14" t="str">
        <f>IFERROR(__xludf.DUMMYFUNCTION("""COMPUTED_VALUE"""),"六年級")</f>
        <v>六年級</v>
      </c>
      <c r="G4053" s="14" t="str">
        <f>IFERROR(__xludf.DUMMYFUNCTION("""COMPUTED_VALUE"""),"獎狀")</f>
        <v>獎狀</v>
      </c>
      <c r="H4053" s="8"/>
    </row>
    <row r="4054">
      <c r="A4054" s="18"/>
      <c r="B4054" s="14">
        <f>IFERROR(__xludf.DUMMYFUNCTION("""COMPUTED_VALUE"""),463287.0)</f>
        <v>463287</v>
      </c>
      <c r="C4054" s="14" t="str">
        <f>IFERROR(__xludf.DUMMYFUNCTION("""COMPUTED_VALUE"""),"徐緯宸")</f>
        <v>徐緯宸</v>
      </c>
      <c r="D4054" s="16" t="str">
        <f>IFERROR(__xludf.DUMMYFUNCTION("""COMPUTED_VALUE"""),"msp*****0204@mail.edu.tw")</f>
        <v>msp*****0204@mail.edu.tw</v>
      </c>
      <c r="E4054" s="17" t="str">
        <f>IFERROR(__xludf.DUMMYFUNCTION("""COMPUTED_VALUE"""),"屏東縣屏東市民生國民小學")</f>
        <v>屏東縣屏東市民生國民小學</v>
      </c>
      <c r="F4054" s="14" t="str">
        <f>IFERROR(__xludf.DUMMYFUNCTION("""COMPUTED_VALUE"""),"六年級")</f>
        <v>六年級</v>
      </c>
      <c r="G4054" s="14" t="str">
        <f>IFERROR(__xludf.DUMMYFUNCTION("""COMPUTED_VALUE"""),"獎狀")</f>
        <v>獎狀</v>
      </c>
      <c r="H4054" s="8"/>
    </row>
    <row r="4055">
      <c r="A4055" s="18"/>
      <c r="B4055" s="14">
        <f>IFERROR(__xludf.DUMMYFUNCTION("""COMPUTED_VALUE"""),817497.0)</f>
        <v>817497</v>
      </c>
      <c r="C4055" s="14" t="str">
        <f>IFERROR(__xludf.DUMMYFUNCTION("""COMPUTED_VALUE"""),"黃靖文")</f>
        <v>黃靖文</v>
      </c>
      <c r="D4055" s="16" t="str">
        <f>IFERROR(__xludf.DUMMYFUNCTION("""COMPUTED_VALUE"""),"msp*****0116@go.edu.tw")</f>
        <v>msp*****0116@go.edu.tw</v>
      </c>
      <c r="E4055" s="17" t="str">
        <f>IFERROR(__xludf.DUMMYFUNCTION("""COMPUTED_VALUE"""),"屏東縣屏東市民生國民小學")</f>
        <v>屏東縣屏東市民生國民小學</v>
      </c>
      <c r="F4055" s="14" t="str">
        <f>IFERROR(__xludf.DUMMYFUNCTION("""COMPUTED_VALUE"""),"六年級")</f>
        <v>六年級</v>
      </c>
      <c r="G4055" s="14" t="str">
        <f>IFERROR(__xludf.DUMMYFUNCTION("""COMPUTED_VALUE"""),"獎狀")</f>
        <v>獎狀</v>
      </c>
      <c r="H4055" s="8"/>
    </row>
    <row r="4056">
      <c r="A4056" s="18"/>
      <c r="B4056" s="14">
        <f>IFERROR(__xludf.DUMMYFUNCTION("""COMPUTED_VALUE"""),782214.0)</f>
        <v>782214</v>
      </c>
      <c r="C4056" s="14" t="str">
        <f>IFERROR(__xludf.DUMMYFUNCTION("""COMPUTED_VALUE"""),"廖羿瑄")</f>
        <v>廖羿瑄</v>
      </c>
      <c r="D4056" s="16" t="str">
        <f>IFERROR(__xludf.DUMMYFUNCTION("""COMPUTED_VALUE"""),"msp*****0213@go.edu.tw")</f>
        <v>msp*****0213@go.edu.tw</v>
      </c>
      <c r="E4056" s="17" t="str">
        <f>IFERROR(__xludf.DUMMYFUNCTION("""COMPUTED_VALUE"""),"屏東縣屏東市民生國民小學")</f>
        <v>屏東縣屏東市民生國民小學</v>
      </c>
      <c r="F4056" s="14" t="str">
        <f>IFERROR(__xludf.DUMMYFUNCTION("""COMPUTED_VALUE"""),"六年級")</f>
        <v>六年級</v>
      </c>
      <c r="G4056" s="14" t="str">
        <f>IFERROR(__xludf.DUMMYFUNCTION("""COMPUTED_VALUE"""),"獎狀")</f>
        <v>獎狀</v>
      </c>
      <c r="H4056" s="8"/>
    </row>
    <row r="4057">
      <c r="A4057" s="18"/>
      <c r="B4057" s="14">
        <f>IFERROR(__xludf.DUMMYFUNCTION("""COMPUTED_VALUE"""),477479.0)</f>
        <v>477479</v>
      </c>
      <c r="C4057" s="14" t="str">
        <f>IFERROR(__xludf.DUMMYFUNCTION("""COMPUTED_VALUE"""),"蘇士傑")</f>
        <v>蘇士傑</v>
      </c>
      <c r="D4057" s="16" t="str">
        <f>IFERROR(__xludf.DUMMYFUNCTION("""COMPUTED_VALUE"""),"msp*****0101@mail.edu.tw")</f>
        <v>msp*****0101@mail.edu.tw</v>
      </c>
      <c r="E4057" s="17" t="str">
        <f>IFERROR(__xludf.DUMMYFUNCTION("""COMPUTED_VALUE"""),"屏東縣屏東市民生國民小學")</f>
        <v>屏東縣屏東市民生國民小學</v>
      </c>
      <c r="F4057" s="14" t="str">
        <f>IFERROR(__xludf.DUMMYFUNCTION("""COMPUTED_VALUE"""),"六年級")</f>
        <v>六年級</v>
      </c>
      <c r="G4057" s="14" t="str">
        <f>IFERROR(__xludf.DUMMYFUNCTION("""COMPUTED_VALUE"""),"獎狀")</f>
        <v>獎狀</v>
      </c>
      <c r="H4057" s="8"/>
    </row>
    <row r="4058">
      <c r="A4058" s="18"/>
      <c r="B4058" s="14">
        <f>IFERROR(__xludf.DUMMYFUNCTION("""COMPUTED_VALUE"""),817362.0)</f>
        <v>817362</v>
      </c>
      <c r="C4058" s="14" t="str">
        <f>IFERROR(__xludf.DUMMYFUNCTION("""COMPUTED_VALUE"""),"沈楷紘")</f>
        <v>沈楷紘</v>
      </c>
      <c r="D4058" s="16" t="str">
        <f>IFERROR(__xludf.DUMMYFUNCTION("""COMPUTED_VALUE"""),"msp*****30208@go.edu.tw")</f>
        <v>msp*****30208@go.edu.tw</v>
      </c>
      <c r="E4058" s="17" t="str">
        <f>IFERROR(__xludf.DUMMYFUNCTION("""COMPUTED_VALUE"""),"屏東縣屏東市民生國民小學")</f>
        <v>屏東縣屏東市民生國民小學</v>
      </c>
      <c r="F4058" s="14" t="str">
        <f>IFERROR(__xludf.DUMMYFUNCTION("""COMPUTED_VALUE"""),"六年級")</f>
        <v>六年級</v>
      </c>
      <c r="G4058" s="14" t="str">
        <f>IFERROR(__xludf.DUMMYFUNCTION("""COMPUTED_VALUE"""),"●小禮物")</f>
        <v>●小禮物</v>
      </c>
      <c r="H4058" s="8"/>
    </row>
    <row r="4059">
      <c r="A4059" s="18"/>
      <c r="B4059" s="14">
        <f>IFERROR(__xludf.DUMMYFUNCTION("""COMPUTED_VALUE"""),817359.0)</f>
        <v>817359</v>
      </c>
      <c r="C4059" s="14" t="str">
        <f>IFERROR(__xludf.DUMMYFUNCTION("""COMPUTED_VALUE"""),"楊倪芹")</f>
        <v>楊倪芹</v>
      </c>
      <c r="D4059" s="16" t="str">
        <f>IFERROR(__xludf.DUMMYFUNCTION("""COMPUTED_VALUE"""),"msp*****0114@go.edu.tw")</f>
        <v>msp*****0114@go.edu.tw</v>
      </c>
      <c r="E4059" s="17" t="str">
        <f>IFERROR(__xludf.DUMMYFUNCTION("""COMPUTED_VALUE"""),"屏東縣屏東市民生國民小學")</f>
        <v>屏東縣屏東市民生國民小學</v>
      </c>
      <c r="F4059" s="14" t="str">
        <f>IFERROR(__xludf.DUMMYFUNCTION("""COMPUTED_VALUE"""),"六年級")</f>
        <v>六年級</v>
      </c>
      <c r="G4059" s="14" t="str">
        <f>IFERROR(__xludf.DUMMYFUNCTION("""COMPUTED_VALUE"""),"●小禮物")</f>
        <v>●小禮物</v>
      </c>
      <c r="H4059" s="8"/>
    </row>
    <row r="4060">
      <c r="A4060" s="18"/>
      <c r="B4060" s="14">
        <f>IFERROR(__xludf.DUMMYFUNCTION("""COMPUTED_VALUE"""),817361.0)</f>
        <v>817361</v>
      </c>
      <c r="C4060" s="14" t="str">
        <f>IFERROR(__xludf.DUMMYFUNCTION("""COMPUTED_VALUE"""),"廖宏唯")</f>
        <v>廖宏唯</v>
      </c>
      <c r="D4060" s="16" t="str">
        <f>IFERROR(__xludf.DUMMYFUNCTION("""COMPUTED_VALUE"""),"msp*****106@go.edu.tw")</f>
        <v>msp*****106@go.edu.tw</v>
      </c>
      <c r="E4060" s="17" t="str">
        <f>IFERROR(__xludf.DUMMYFUNCTION("""COMPUTED_VALUE"""),"屏東縣屏東市民生國民小學")</f>
        <v>屏東縣屏東市民生國民小學</v>
      </c>
      <c r="F4060" s="14" t="str">
        <f>IFERROR(__xludf.DUMMYFUNCTION("""COMPUTED_VALUE"""),"六年級")</f>
        <v>六年級</v>
      </c>
      <c r="G4060" s="14" t="str">
        <f>IFERROR(__xludf.DUMMYFUNCTION("""COMPUTED_VALUE"""),"●小禮物")</f>
        <v>●小禮物</v>
      </c>
      <c r="H4060" s="8"/>
    </row>
    <row r="4061">
      <c r="A4061" s="18"/>
      <c r="B4061" s="14">
        <f>IFERROR(__xludf.DUMMYFUNCTION("""COMPUTED_VALUE"""),477481.0)</f>
        <v>477481</v>
      </c>
      <c r="C4061" s="14" t="str">
        <f>IFERROR(__xludf.DUMMYFUNCTION("""COMPUTED_VALUE"""),"潘秉諺")</f>
        <v>潘秉諺</v>
      </c>
      <c r="D4061" s="16" t="str">
        <f>IFERROR(__xludf.DUMMYFUNCTION("""COMPUTED_VALUE"""),"msp*****0104@mail.edu.tw")</f>
        <v>msp*****0104@mail.edu.tw</v>
      </c>
      <c r="E4061" s="17" t="str">
        <f>IFERROR(__xludf.DUMMYFUNCTION("""COMPUTED_VALUE"""),"屏東縣屏東市民生國民小學")</f>
        <v>屏東縣屏東市民生國民小學</v>
      </c>
      <c r="F4061" s="14" t="str">
        <f>IFERROR(__xludf.DUMMYFUNCTION("""COMPUTED_VALUE"""),"六年級")</f>
        <v>六年級</v>
      </c>
      <c r="G4061" s="14" t="str">
        <f>IFERROR(__xludf.DUMMYFUNCTION("""COMPUTED_VALUE"""),"●小禮物")</f>
        <v>●小禮物</v>
      </c>
      <c r="H4061" s="8"/>
    </row>
    <row r="4062">
      <c r="A4062" s="18"/>
      <c r="B4062" s="14">
        <f>IFERROR(__xludf.DUMMYFUNCTION("""COMPUTED_VALUE"""),817363.0)</f>
        <v>817363</v>
      </c>
      <c r="C4062" s="14" t="str">
        <f>IFERROR(__xludf.DUMMYFUNCTION("""COMPUTED_VALUE"""),"鄭亦岑")</f>
        <v>鄭亦岑</v>
      </c>
      <c r="D4062" s="16" t="str">
        <f>IFERROR(__xludf.DUMMYFUNCTION("""COMPUTED_VALUE"""),"msp*****0110@go.edu.tw")</f>
        <v>msp*****0110@go.edu.tw</v>
      </c>
      <c r="E4062" s="17" t="str">
        <f>IFERROR(__xludf.DUMMYFUNCTION("""COMPUTED_VALUE"""),"屏東縣屏東市民生國民小學")</f>
        <v>屏東縣屏東市民生國民小學</v>
      </c>
      <c r="F4062" s="14" t="str">
        <f>IFERROR(__xludf.DUMMYFUNCTION("""COMPUTED_VALUE"""),"六年級")</f>
        <v>六年級</v>
      </c>
      <c r="G4062" s="14" t="str">
        <f>IFERROR(__xludf.DUMMYFUNCTION("""COMPUTED_VALUE"""),"●小禮物")</f>
        <v>●小禮物</v>
      </c>
      <c r="H4062" s="8"/>
    </row>
    <row r="4063">
      <c r="A4063" s="18"/>
      <c r="B4063" s="14">
        <f>IFERROR(__xludf.DUMMYFUNCTION("""COMPUTED_VALUE"""),651428.0)</f>
        <v>651428</v>
      </c>
      <c r="C4063" s="14" t="str">
        <f>IFERROR(__xludf.DUMMYFUNCTION("""COMPUTED_VALUE"""),"楊裕瑨")</f>
        <v>楊裕瑨</v>
      </c>
      <c r="D4063" s="16" t="str">
        <f>IFERROR(__xludf.DUMMYFUNCTION("""COMPUTED_VALUE"""),"msp*****0108@go.edu.tw")</f>
        <v>msp*****0108@go.edu.tw</v>
      </c>
      <c r="E4063" s="17" t="str">
        <f>IFERROR(__xludf.DUMMYFUNCTION("""COMPUTED_VALUE"""),"屏東縣屏東市民生國民小學")</f>
        <v>屏東縣屏東市民生國民小學</v>
      </c>
      <c r="F4063" s="14" t="str">
        <f>IFERROR(__xludf.DUMMYFUNCTION("""COMPUTED_VALUE"""),"六年級")</f>
        <v>六年級</v>
      </c>
      <c r="G4063" s="14" t="str">
        <f>IFERROR(__xludf.DUMMYFUNCTION("""COMPUTED_VALUE"""),"★禮券$200")</f>
        <v>★禮券$200</v>
      </c>
      <c r="H4063" s="8"/>
    </row>
    <row r="4064">
      <c r="A4064" s="18"/>
      <c r="B4064" s="14">
        <f>IFERROR(__xludf.DUMMYFUNCTION("""COMPUTED_VALUE"""),817357.0)</f>
        <v>817357</v>
      </c>
      <c r="C4064" s="14" t="str">
        <f>IFERROR(__xludf.DUMMYFUNCTION("""COMPUTED_VALUE"""),"呂若綺")</f>
        <v>呂若綺</v>
      </c>
      <c r="D4064" s="16" t="str">
        <f>IFERROR(__xludf.DUMMYFUNCTION("""COMPUTED_VALUE"""),"msp*****0215@go.edu.tw")</f>
        <v>msp*****0215@go.edu.tw</v>
      </c>
      <c r="E4064" s="17" t="str">
        <f>IFERROR(__xludf.DUMMYFUNCTION("""COMPUTED_VALUE"""),"屏東縣屏東市民生國民小學")</f>
        <v>屏東縣屏東市民生國民小學</v>
      </c>
      <c r="F4064" s="14" t="str">
        <f>IFERROR(__xludf.DUMMYFUNCTION("""COMPUTED_VALUE"""),"六年級")</f>
        <v>六年級</v>
      </c>
      <c r="G4064" s="14" t="str">
        <f>IFERROR(__xludf.DUMMYFUNCTION("""COMPUTED_VALUE"""),"獎狀")</f>
        <v>獎狀</v>
      </c>
      <c r="H4064" s="8"/>
    </row>
    <row r="4065">
      <c r="A4065" s="18"/>
      <c r="B4065" s="14">
        <f>IFERROR(__xludf.DUMMYFUNCTION("""COMPUTED_VALUE"""),817358.0)</f>
        <v>817358</v>
      </c>
      <c r="C4065" s="14" t="str">
        <f>IFERROR(__xludf.DUMMYFUNCTION("""COMPUTED_VALUE"""),"阮宇晨")</f>
        <v>阮宇晨</v>
      </c>
      <c r="D4065" s="16" t="str">
        <f>IFERROR(__xludf.DUMMYFUNCTION("""COMPUTED_VALUE"""),"cri*****06@go.edu.tw")</f>
        <v>cri*****06@go.edu.tw</v>
      </c>
      <c r="E4065" s="17" t="str">
        <f>IFERROR(__xludf.DUMMYFUNCTION("""COMPUTED_VALUE"""),"屏東縣屏東市民生國民小學")</f>
        <v>屏東縣屏東市民生國民小學</v>
      </c>
      <c r="F4065" s="14" t="str">
        <f>IFERROR(__xludf.DUMMYFUNCTION("""COMPUTED_VALUE"""),"六年級")</f>
        <v>六年級</v>
      </c>
      <c r="G4065" s="14" t="str">
        <f>IFERROR(__xludf.DUMMYFUNCTION("""COMPUTED_VALUE"""),"獎狀")</f>
        <v>獎狀</v>
      </c>
      <c r="H4065" s="8"/>
    </row>
    <row r="4066">
      <c r="A4066" s="18"/>
      <c r="B4066" s="14">
        <f>IFERROR(__xludf.DUMMYFUNCTION("""COMPUTED_VALUE"""),817403.0)</f>
        <v>817403</v>
      </c>
      <c r="C4066" s="14" t="str">
        <f>IFERROR(__xludf.DUMMYFUNCTION("""COMPUTED_VALUE"""),"陳健宇")</f>
        <v>陳健宇</v>
      </c>
      <c r="D4066" s="16" t="str">
        <f>IFERROR(__xludf.DUMMYFUNCTION("""COMPUTED_VALUE"""),"msp*****0109@go.edu.tw")</f>
        <v>msp*****0109@go.edu.tw</v>
      </c>
      <c r="E4066" s="17" t="str">
        <f>IFERROR(__xludf.DUMMYFUNCTION("""COMPUTED_VALUE"""),"屏東縣屏東市民生國民小學")</f>
        <v>屏東縣屏東市民生國民小學</v>
      </c>
      <c r="F4066" s="14" t="str">
        <f>IFERROR(__xludf.DUMMYFUNCTION("""COMPUTED_VALUE"""),"六年級")</f>
        <v>六年級</v>
      </c>
      <c r="G4066" s="14" t="str">
        <f>IFERROR(__xludf.DUMMYFUNCTION("""COMPUTED_VALUE"""),"獎狀")</f>
        <v>獎狀</v>
      </c>
      <c r="H4066" s="8"/>
    </row>
    <row r="4067">
      <c r="A4067" s="18"/>
      <c r="B4067" s="14">
        <f>IFERROR(__xludf.DUMMYFUNCTION("""COMPUTED_VALUE"""),221919.0)</f>
        <v>221919</v>
      </c>
      <c r="C4067" s="14" t="str">
        <f>IFERROR(__xludf.DUMMYFUNCTION("""COMPUTED_VALUE"""),"陳乙璇")</f>
        <v>陳乙璇</v>
      </c>
      <c r="D4067" s="16" t="str">
        <f>IFERROR(__xludf.DUMMYFUNCTION("""COMPUTED_VALUE"""),"syu*****n0312@gmail.com")</f>
        <v>syu*****n0312@gmail.com</v>
      </c>
      <c r="E4067" s="17" t="str">
        <f>IFERROR(__xludf.DUMMYFUNCTION("""COMPUTED_VALUE"""),"屏東縣屏東市崇蘭國民小學")</f>
        <v>屏東縣屏東市崇蘭國民小學</v>
      </c>
      <c r="F4067" s="14" t="str">
        <f>IFERROR(__xludf.DUMMYFUNCTION("""COMPUTED_VALUE"""),"三年級")</f>
        <v>三年級</v>
      </c>
      <c r="G4067" s="14" t="str">
        <f>IFERROR(__xludf.DUMMYFUNCTION("""COMPUTED_VALUE"""),"獎狀")</f>
        <v>獎狀</v>
      </c>
      <c r="H4067" s="8"/>
    </row>
    <row r="4068">
      <c r="A4068" s="18"/>
      <c r="B4068" s="14">
        <f>IFERROR(__xludf.DUMMYFUNCTION("""COMPUTED_VALUE"""),716171.0)</f>
        <v>716171</v>
      </c>
      <c r="C4068" s="14" t="str">
        <f>IFERROR(__xludf.DUMMYFUNCTION("""COMPUTED_VALUE"""),"黃子珍")</f>
        <v>黃子珍</v>
      </c>
      <c r="D4068" s="16" t="str">
        <f>IFERROR(__xludf.DUMMYFUNCTION("""COMPUTED_VALUE"""),"pop*****@gmail.com")</f>
        <v>pop*****@gmail.com</v>
      </c>
      <c r="E4068" s="17" t="str">
        <f>IFERROR(__xludf.DUMMYFUNCTION("""COMPUTED_VALUE"""),"屏東縣屏東市仁愛國民小學")</f>
        <v>屏東縣屏東市仁愛國民小學</v>
      </c>
      <c r="F4068" s="14" t="str">
        <f>IFERROR(__xludf.DUMMYFUNCTION("""COMPUTED_VALUE"""),"四年級")</f>
        <v>四年級</v>
      </c>
      <c r="G4068" s="14" t="str">
        <f>IFERROR(__xludf.DUMMYFUNCTION("""COMPUTED_VALUE"""),"●小禮物")</f>
        <v>●小禮物</v>
      </c>
      <c r="H4068" s="8"/>
    </row>
    <row r="4069">
      <c r="A4069" s="18"/>
      <c r="B4069" s="14">
        <f>IFERROR(__xludf.DUMMYFUNCTION("""COMPUTED_VALUE"""),854679.0)</f>
        <v>854679</v>
      </c>
      <c r="C4069" s="14" t="str">
        <f>IFERROR(__xludf.DUMMYFUNCTION("""COMPUTED_VALUE"""),"陳憲佑")</f>
        <v>陳憲佑</v>
      </c>
      <c r="D4069" s="16" t="str">
        <f>IFERROR(__xludf.DUMMYFUNCTION("""COMPUTED_VALUE"""),"jia*****ang0102@gmail.com")</f>
        <v>jia*****ang0102@gmail.com</v>
      </c>
      <c r="E4069" s="17" t="str">
        <f>IFERROR(__xludf.DUMMYFUNCTION("""COMPUTED_VALUE"""),"屏東縣屏東市仁愛國民小學")</f>
        <v>屏東縣屏東市仁愛國民小學</v>
      </c>
      <c r="F4069" s="14" t="str">
        <f>IFERROR(__xludf.DUMMYFUNCTION("""COMPUTED_VALUE"""),"五年級")</f>
        <v>五年級</v>
      </c>
      <c r="G4069" s="14" t="str">
        <f>IFERROR(__xludf.DUMMYFUNCTION("""COMPUTED_VALUE"""),"●小禮物")</f>
        <v>●小禮物</v>
      </c>
      <c r="H4069" s="8"/>
    </row>
    <row r="4070">
      <c r="A4070" s="18"/>
      <c r="B4070" s="14">
        <f>IFERROR(__xludf.DUMMYFUNCTION("""COMPUTED_VALUE"""),534098.0)</f>
        <v>534098</v>
      </c>
      <c r="C4070" s="14" t="str">
        <f>IFERROR(__xludf.DUMMYFUNCTION("""COMPUTED_VALUE"""),"黃若萓")</f>
        <v>黃若萓</v>
      </c>
      <c r="D4070" s="16" t="str">
        <f>IFERROR(__xludf.DUMMYFUNCTION("""COMPUTED_VALUE"""),"nur*****402@yahoo.com.tw")</f>
        <v>nur*****402@yahoo.com.tw</v>
      </c>
      <c r="E4070" s="17" t="str">
        <f>IFERROR(__xludf.DUMMYFUNCTION("""COMPUTED_VALUE"""),"屏東縣屏東市仁愛國民小學")</f>
        <v>屏東縣屏東市仁愛國民小學</v>
      </c>
      <c r="F4070" s="14" t="str">
        <f>IFERROR(__xludf.DUMMYFUNCTION("""COMPUTED_VALUE"""),"六年級")</f>
        <v>六年級</v>
      </c>
      <c r="G4070" s="14" t="str">
        <f>IFERROR(__xludf.DUMMYFUNCTION("""COMPUTED_VALUE"""),"獎狀")</f>
        <v>獎狀</v>
      </c>
      <c r="H4070" s="8"/>
    </row>
    <row r="4071">
      <c r="A4071" s="18"/>
      <c r="B4071" s="14">
        <f>IFERROR(__xludf.DUMMYFUNCTION("""COMPUTED_VALUE"""),890922.0)</f>
        <v>890922</v>
      </c>
      <c r="C4071" s="14" t="str">
        <f>IFERROR(__xludf.DUMMYFUNCTION("""COMPUTED_VALUE"""),"黃珜茗")</f>
        <v>黃珜茗</v>
      </c>
      <c r="D4071" s="16" t="str">
        <f>IFERROR(__xludf.DUMMYFUNCTION("""COMPUTED_VALUE"""),"st1*****2@ggps.ptc.edu.tw")</f>
        <v>st1*****2@ggps.ptc.edu.tw</v>
      </c>
      <c r="E4071" s="17" t="str">
        <f>IFERROR(__xludf.DUMMYFUNCTION("""COMPUTED_VALUE"""),"屏東縣屏東市公館國民小學")</f>
        <v>屏東縣屏東市公館國民小學</v>
      </c>
      <c r="F4071" s="14" t="str">
        <f>IFERROR(__xludf.DUMMYFUNCTION("""COMPUTED_VALUE"""),"六年級")</f>
        <v>六年級</v>
      </c>
      <c r="G4071" s="14" t="str">
        <f>IFERROR(__xludf.DUMMYFUNCTION("""COMPUTED_VALUE"""),"●小禮物")</f>
        <v>●小禮物</v>
      </c>
      <c r="H4071" s="8"/>
    </row>
    <row r="4072">
      <c r="A4072" s="18"/>
      <c r="B4072" s="14">
        <f>IFERROR(__xludf.DUMMYFUNCTION("""COMPUTED_VALUE"""),413110.0)</f>
        <v>413110</v>
      </c>
      <c r="C4072" s="14" t="str">
        <f>IFERROR(__xludf.DUMMYFUNCTION("""COMPUTED_VALUE"""),"李家丞")</f>
        <v>李家丞</v>
      </c>
      <c r="D4072" s="16" t="str">
        <f>IFERROR(__xludf.DUMMYFUNCTION("""COMPUTED_VALUE"""),"stu*****6@ggps.ptc.edu.tw")</f>
        <v>stu*****6@ggps.ptc.edu.tw</v>
      </c>
      <c r="E4072" s="17" t="str">
        <f>IFERROR(__xludf.DUMMYFUNCTION("""COMPUTED_VALUE"""),"屏東縣屏東市公館國民小學")</f>
        <v>屏東縣屏東市公館國民小學</v>
      </c>
      <c r="F4072" s="14" t="str">
        <f>IFERROR(__xludf.DUMMYFUNCTION("""COMPUTED_VALUE"""),"六年級")</f>
        <v>六年級</v>
      </c>
      <c r="G4072" s="14" t="str">
        <f>IFERROR(__xludf.DUMMYFUNCTION("""COMPUTED_VALUE"""),"獎狀")</f>
        <v>獎狀</v>
      </c>
      <c r="H4072" s="8"/>
    </row>
    <row r="4073">
      <c r="A4073" s="18"/>
      <c r="B4073" s="14">
        <f>IFERROR(__xludf.DUMMYFUNCTION("""COMPUTED_VALUE"""),1000022.0)</f>
        <v>1000022</v>
      </c>
      <c r="C4073" s="14" t="str">
        <f>IFERROR(__xludf.DUMMYFUNCTION("""COMPUTED_VALUE"""),"蔡博文")</f>
        <v>蔡博文</v>
      </c>
      <c r="D4073" s="16" t="str">
        <f>IFERROR(__xludf.DUMMYFUNCTION("""COMPUTED_VALUE"""),"sah*****013@go.edu.tw")</f>
        <v>sah*****013@go.edu.tw</v>
      </c>
      <c r="E4073" s="17" t="str">
        <f>IFERROR(__xludf.DUMMYFUNCTION("""COMPUTED_VALUE"""),"屏東縣里港鄉三和國民小學")</f>
        <v>屏東縣里港鄉三和國民小學</v>
      </c>
      <c r="F4073" s="14" t="str">
        <f>IFERROR(__xludf.DUMMYFUNCTION("""COMPUTED_VALUE"""),"四年級")</f>
        <v>四年級</v>
      </c>
      <c r="G4073" s="14" t="str">
        <f>IFERROR(__xludf.DUMMYFUNCTION("""COMPUTED_VALUE"""),"●小禮物")</f>
        <v>●小禮物</v>
      </c>
      <c r="H4073" s="8"/>
    </row>
    <row r="4074">
      <c r="A4074" s="18"/>
      <c r="B4074" s="14">
        <f>IFERROR(__xludf.DUMMYFUNCTION("""COMPUTED_VALUE"""),962541.0)</f>
        <v>962541</v>
      </c>
      <c r="C4074" s="14" t="str">
        <f>IFERROR(__xludf.DUMMYFUNCTION("""COMPUTED_VALUE"""),"盧品汝")</f>
        <v>盧品汝</v>
      </c>
      <c r="D4074" s="16" t="str">
        <f>IFERROR(__xludf.DUMMYFUNCTION("""COMPUTED_VALUE"""),"sah*****010@go.edu.tw")</f>
        <v>sah*****010@go.edu.tw</v>
      </c>
      <c r="E4074" s="17" t="str">
        <f>IFERROR(__xludf.DUMMYFUNCTION("""COMPUTED_VALUE"""),"屏東縣里港鄉三和國民小學")</f>
        <v>屏東縣里港鄉三和國民小學</v>
      </c>
      <c r="F4074" s="14" t="str">
        <f>IFERROR(__xludf.DUMMYFUNCTION("""COMPUTED_VALUE"""),"四年級")</f>
        <v>四年級</v>
      </c>
      <c r="G4074" s="14" t="str">
        <f>IFERROR(__xludf.DUMMYFUNCTION("""COMPUTED_VALUE"""),"●小禮物")</f>
        <v>●小禮物</v>
      </c>
      <c r="H4074" s="8"/>
    </row>
    <row r="4075">
      <c r="A4075" s="18"/>
      <c r="B4075" s="14">
        <f>IFERROR(__xludf.DUMMYFUNCTION("""COMPUTED_VALUE"""),962543.0)</f>
        <v>962543</v>
      </c>
      <c r="C4075" s="14" t="str">
        <f>IFERROR(__xludf.DUMMYFUNCTION("""COMPUTED_VALUE"""),"蘇晉平")</f>
        <v>蘇晉平</v>
      </c>
      <c r="D4075" s="16" t="str">
        <f>IFERROR(__xludf.DUMMYFUNCTION("""COMPUTED_VALUE"""),"sah*****003@go.edu.tw")</f>
        <v>sah*****003@go.edu.tw</v>
      </c>
      <c r="E4075" s="17" t="str">
        <f>IFERROR(__xludf.DUMMYFUNCTION("""COMPUTED_VALUE"""),"屏東縣里港鄉三和國民小學")</f>
        <v>屏東縣里港鄉三和國民小學</v>
      </c>
      <c r="F4075" s="14" t="str">
        <f>IFERROR(__xludf.DUMMYFUNCTION("""COMPUTED_VALUE"""),"四年級")</f>
        <v>四年級</v>
      </c>
      <c r="G4075" s="14" t="str">
        <f>IFERROR(__xludf.DUMMYFUNCTION("""COMPUTED_VALUE"""),"●小禮物")</f>
        <v>●小禮物</v>
      </c>
      <c r="H4075" s="8"/>
    </row>
    <row r="4076">
      <c r="A4076" s="18"/>
      <c r="B4076" s="14">
        <f>IFERROR(__xludf.DUMMYFUNCTION("""COMPUTED_VALUE"""),962546.0)</f>
        <v>962546</v>
      </c>
      <c r="C4076" s="14" t="str">
        <f>IFERROR(__xludf.DUMMYFUNCTION("""COMPUTED_VALUE"""),"方翌丞")</f>
        <v>方翌丞</v>
      </c>
      <c r="D4076" s="16" t="str">
        <f>IFERROR(__xludf.DUMMYFUNCTION("""COMPUTED_VALUE"""),"sah*****004@go.edu.tw")</f>
        <v>sah*****004@go.edu.tw</v>
      </c>
      <c r="E4076" s="17" t="str">
        <f>IFERROR(__xludf.DUMMYFUNCTION("""COMPUTED_VALUE"""),"屏東縣里港鄉三和國民小學")</f>
        <v>屏東縣里港鄉三和國民小學</v>
      </c>
      <c r="F4076" s="14" t="str">
        <f>IFERROR(__xludf.DUMMYFUNCTION("""COMPUTED_VALUE"""),"四年級")</f>
        <v>四年級</v>
      </c>
      <c r="G4076" s="14" t="str">
        <f>IFERROR(__xludf.DUMMYFUNCTION("""COMPUTED_VALUE"""),"獎狀")</f>
        <v>獎狀</v>
      </c>
      <c r="H4076" s="8"/>
    </row>
    <row r="4077">
      <c r="A4077" s="18"/>
      <c r="B4077" s="14">
        <f>IFERROR(__xludf.DUMMYFUNCTION("""COMPUTED_VALUE"""),962548.0)</f>
        <v>962548</v>
      </c>
      <c r="C4077" s="14" t="str">
        <f>IFERROR(__xludf.DUMMYFUNCTION("""COMPUTED_VALUE"""),"林祐慈")</f>
        <v>林祐慈</v>
      </c>
      <c r="D4077" s="16" t="str">
        <f>IFERROR(__xludf.DUMMYFUNCTION("""COMPUTED_VALUE"""),"sah*****009@go.edu.tw")</f>
        <v>sah*****009@go.edu.tw</v>
      </c>
      <c r="E4077" s="17" t="str">
        <f>IFERROR(__xludf.DUMMYFUNCTION("""COMPUTED_VALUE"""),"屏東縣里港鄉三和國民小學")</f>
        <v>屏東縣里港鄉三和國民小學</v>
      </c>
      <c r="F4077" s="14" t="str">
        <f>IFERROR(__xludf.DUMMYFUNCTION("""COMPUTED_VALUE"""),"四年級")</f>
        <v>四年級</v>
      </c>
      <c r="G4077" s="14" t="str">
        <f>IFERROR(__xludf.DUMMYFUNCTION("""COMPUTED_VALUE"""),"獎狀")</f>
        <v>獎狀</v>
      </c>
      <c r="H4077" s="8"/>
    </row>
    <row r="4078">
      <c r="A4078" s="18"/>
      <c r="B4078" s="14">
        <f>IFERROR(__xludf.DUMMYFUNCTION("""COMPUTED_VALUE"""),962552.0)</f>
        <v>962552</v>
      </c>
      <c r="C4078" s="14" t="str">
        <f>IFERROR(__xludf.DUMMYFUNCTION("""COMPUTED_VALUE"""),"莊惠如")</f>
        <v>莊惠如</v>
      </c>
      <c r="D4078" s="16" t="str">
        <f>IFERROR(__xludf.DUMMYFUNCTION("""COMPUTED_VALUE"""),"sah*****012@go.edu.tw")</f>
        <v>sah*****012@go.edu.tw</v>
      </c>
      <c r="E4078" s="17" t="str">
        <f>IFERROR(__xludf.DUMMYFUNCTION("""COMPUTED_VALUE"""),"屏東縣里港鄉三和國民小學")</f>
        <v>屏東縣里港鄉三和國民小學</v>
      </c>
      <c r="F4078" s="14" t="str">
        <f>IFERROR(__xludf.DUMMYFUNCTION("""COMPUTED_VALUE"""),"四年級")</f>
        <v>四年級</v>
      </c>
      <c r="G4078" s="14" t="str">
        <f>IFERROR(__xludf.DUMMYFUNCTION("""COMPUTED_VALUE"""),"獎狀")</f>
        <v>獎狀</v>
      </c>
      <c r="H4078" s="8"/>
    </row>
    <row r="4079">
      <c r="A4079" s="18"/>
      <c r="B4079" s="14">
        <f>IFERROR(__xludf.DUMMYFUNCTION("""COMPUTED_VALUE"""),962544.0)</f>
        <v>962544</v>
      </c>
      <c r="C4079" s="14" t="str">
        <f>IFERROR(__xludf.DUMMYFUNCTION("""COMPUTED_VALUE"""),"盧翼")</f>
        <v>盧翼</v>
      </c>
      <c r="D4079" s="16" t="str">
        <f>IFERROR(__xludf.DUMMYFUNCTION("""COMPUTED_VALUE"""),"sah*****006@go.edu.tw")</f>
        <v>sah*****006@go.edu.tw</v>
      </c>
      <c r="E4079" s="17" t="str">
        <f>IFERROR(__xludf.DUMMYFUNCTION("""COMPUTED_VALUE"""),"屏東縣里港鄉三和國民小學")</f>
        <v>屏東縣里港鄉三和國民小學</v>
      </c>
      <c r="F4079" s="14" t="str">
        <f>IFERROR(__xludf.DUMMYFUNCTION("""COMPUTED_VALUE"""),"四年級")</f>
        <v>四年級</v>
      </c>
      <c r="G4079" s="14" t="str">
        <f>IFERROR(__xludf.DUMMYFUNCTION("""COMPUTED_VALUE"""),"獎狀")</f>
        <v>獎狀</v>
      </c>
      <c r="H4079" s="8"/>
    </row>
    <row r="4080">
      <c r="A4080" s="18"/>
      <c r="B4080" s="14">
        <f>IFERROR(__xludf.DUMMYFUNCTION("""COMPUTED_VALUE"""),1169102.0)</f>
        <v>1169102</v>
      </c>
      <c r="C4080" s="14" t="str">
        <f>IFERROR(__xludf.DUMMYFUNCTION("""COMPUTED_VALUE"""),"唐巧伶")</f>
        <v>唐巧伶</v>
      </c>
      <c r="D4080" s="16" t="str">
        <f>IFERROR(__xludf.DUMMYFUNCTION("""COMPUTED_VALUE"""),"108*****osps.ptc.edu.tw")</f>
        <v>108*****osps.ptc.edu.tw</v>
      </c>
      <c r="E4080" s="17" t="str">
        <f>IFERROR(__xludf.DUMMYFUNCTION("""COMPUTED_VALUE"""),"屏東縣立大路關國民中小學國小部")</f>
        <v>屏東縣立大路關國民中小學國小部</v>
      </c>
      <c r="F4080" s="14" t="str">
        <f>IFERROR(__xludf.DUMMYFUNCTION("""COMPUTED_VALUE"""),"四年級")</f>
        <v>四年級</v>
      </c>
      <c r="G4080" s="14" t="str">
        <f>IFERROR(__xludf.DUMMYFUNCTION("""COMPUTED_VALUE"""),"●小禮物")</f>
        <v>●小禮物</v>
      </c>
      <c r="H4080" s="8"/>
    </row>
    <row r="4081">
      <c r="A4081" s="18"/>
      <c r="B4081" s="14">
        <f>IFERROR(__xludf.DUMMYFUNCTION("""COMPUTED_VALUE"""),1157876.0)</f>
        <v>1157876</v>
      </c>
      <c r="C4081" s="14" t="str">
        <f>IFERROR(__xludf.DUMMYFUNCTION("""COMPUTED_VALUE"""),"黃思瑜")</f>
        <v>黃思瑜</v>
      </c>
      <c r="D4081" s="16" t="str">
        <f>IFERROR(__xludf.DUMMYFUNCTION("""COMPUTED_VALUE"""),"108*****osps.ptc.edu.tw")</f>
        <v>108*****osps.ptc.edu.tw</v>
      </c>
      <c r="E4081" s="17" t="str">
        <f>IFERROR(__xludf.DUMMYFUNCTION("""COMPUTED_VALUE"""),"屏東縣立大路關國民中小學國小部")</f>
        <v>屏東縣立大路關國民中小學國小部</v>
      </c>
      <c r="F4081" s="14" t="str">
        <f>IFERROR(__xludf.DUMMYFUNCTION("""COMPUTED_VALUE"""),"四年級")</f>
        <v>四年級</v>
      </c>
      <c r="G4081" s="14" t="str">
        <f>IFERROR(__xludf.DUMMYFUNCTION("""COMPUTED_VALUE"""),"獎狀")</f>
        <v>獎狀</v>
      </c>
      <c r="H4081" s="8"/>
    </row>
    <row r="4082">
      <c r="A4082" s="18"/>
      <c r="B4082" s="14">
        <f>IFERROR(__xludf.DUMMYFUNCTION("""COMPUTED_VALUE"""),854344.0)</f>
        <v>854344</v>
      </c>
      <c r="C4082" s="14" t="str">
        <f>IFERROR(__xludf.DUMMYFUNCTION("""COMPUTED_VALUE"""),"黃奕瑄")</f>
        <v>黃奕瑄</v>
      </c>
      <c r="D4082" s="16" t="str">
        <f>IFERROR(__xludf.DUMMYFUNCTION("""COMPUTED_VALUE"""),"tz3*****mail.edu.tw")</f>
        <v>tz3*****mail.edu.tw</v>
      </c>
      <c r="E4082" s="17" t="str">
        <f>IFERROR(__xludf.DUMMYFUNCTION("""COMPUTED_VALUE"""),"屏東縣高樹鄉田子國民小學")</f>
        <v>屏東縣高樹鄉田子國民小學</v>
      </c>
      <c r="F4082" s="14" t="str">
        <f>IFERROR(__xludf.DUMMYFUNCTION("""COMPUTED_VALUE"""),"五年級")</f>
        <v>五年級</v>
      </c>
      <c r="G4082" s="14" t="str">
        <f>IFERROR(__xludf.DUMMYFUNCTION("""COMPUTED_VALUE"""),"●小禮物")</f>
        <v>●小禮物</v>
      </c>
      <c r="H4082" s="8"/>
    </row>
    <row r="4083">
      <c r="A4083" s="18"/>
      <c r="B4083" s="14">
        <f>IFERROR(__xludf.DUMMYFUNCTION("""COMPUTED_VALUE"""),854341.0)</f>
        <v>854341</v>
      </c>
      <c r="C4083" s="14" t="str">
        <f>IFERROR(__xludf.DUMMYFUNCTION("""COMPUTED_VALUE"""),"許家榕")</f>
        <v>許家榕</v>
      </c>
      <c r="D4083" s="16" t="str">
        <f>IFERROR(__xludf.DUMMYFUNCTION("""COMPUTED_VALUE"""),"tz3*****mail.edu.tw")</f>
        <v>tz3*****mail.edu.tw</v>
      </c>
      <c r="E4083" s="17" t="str">
        <f>IFERROR(__xludf.DUMMYFUNCTION("""COMPUTED_VALUE"""),"屏東縣高樹鄉田子國民小學")</f>
        <v>屏東縣高樹鄉田子國民小學</v>
      </c>
      <c r="F4083" s="14" t="str">
        <f>IFERROR(__xludf.DUMMYFUNCTION("""COMPUTED_VALUE"""),"五年級")</f>
        <v>五年級</v>
      </c>
      <c r="G4083" s="14" t="str">
        <f>IFERROR(__xludf.DUMMYFUNCTION("""COMPUTED_VALUE"""),"★禮券$500")</f>
        <v>★禮券$500</v>
      </c>
      <c r="H4083" s="8"/>
    </row>
    <row r="4084">
      <c r="A4084" s="18"/>
      <c r="B4084" s="14">
        <f>IFERROR(__xludf.DUMMYFUNCTION("""COMPUTED_VALUE"""),562914.0)</f>
        <v>562914</v>
      </c>
      <c r="C4084" s="14" t="str">
        <f>IFERROR(__xludf.DUMMYFUNCTION("""COMPUTED_VALUE"""),"林于翔")</f>
        <v>林于翔</v>
      </c>
      <c r="D4084" s="16" t="str">
        <f>IFERROR(__xludf.DUMMYFUNCTION("""COMPUTED_VALUE"""),"107*****mps.ptc.edu.tw")</f>
        <v>107*****mps.ptc.edu.tw</v>
      </c>
      <c r="E4084" s="17" t="str">
        <f>IFERROR(__xludf.DUMMYFUNCTION("""COMPUTED_VALUE"""),"屏東縣竹田鄉大明國民小學")</f>
        <v>屏東縣竹田鄉大明國民小學</v>
      </c>
      <c r="F4084" s="14" t="str">
        <f>IFERROR(__xludf.DUMMYFUNCTION("""COMPUTED_VALUE"""),"五年級")</f>
        <v>五年級</v>
      </c>
      <c r="G4084" s="14" t="str">
        <f>IFERROR(__xludf.DUMMYFUNCTION("""COMPUTED_VALUE"""),"獎狀")</f>
        <v>獎狀</v>
      </c>
      <c r="H4084" s="8"/>
    </row>
    <row r="4085">
      <c r="A4085" s="18"/>
      <c r="B4085" s="14">
        <f>IFERROR(__xludf.DUMMYFUNCTION("""COMPUTED_VALUE"""),562906.0)</f>
        <v>562906</v>
      </c>
      <c r="C4085" s="14" t="str">
        <f>IFERROR(__xludf.DUMMYFUNCTION("""COMPUTED_VALUE"""),"張師容")</f>
        <v>張師容</v>
      </c>
      <c r="D4085" s="16" t="str">
        <f>IFERROR(__xludf.DUMMYFUNCTION("""COMPUTED_VALUE"""),"107*****mps.ptc.edu.tw")</f>
        <v>107*****mps.ptc.edu.tw</v>
      </c>
      <c r="E4085" s="17" t="str">
        <f>IFERROR(__xludf.DUMMYFUNCTION("""COMPUTED_VALUE"""),"屏東縣竹田鄉大明國民小學")</f>
        <v>屏東縣竹田鄉大明國民小學</v>
      </c>
      <c r="F4085" s="14" t="str">
        <f>IFERROR(__xludf.DUMMYFUNCTION("""COMPUTED_VALUE"""),"五年級")</f>
        <v>五年級</v>
      </c>
      <c r="G4085" s="14" t="str">
        <f>IFERROR(__xludf.DUMMYFUNCTION("""COMPUTED_VALUE"""),"獎狀")</f>
        <v>獎狀</v>
      </c>
      <c r="H4085" s="8"/>
    </row>
    <row r="4086">
      <c r="A4086" s="18"/>
      <c r="B4086" s="14">
        <f>IFERROR(__xludf.DUMMYFUNCTION("""COMPUTED_VALUE"""),411586.0)</f>
        <v>411586</v>
      </c>
      <c r="C4086" s="14" t="str">
        <f>IFERROR(__xludf.DUMMYFUNCTION("""COMPUTED_VALUE"""),"李采婕")</f>
        <v>李采婕</v>
      </c>
      <c r="D4086" s="16" t="str">
        <f>IFERROR(__xludf.DUMMYFUNCTION("""COMPUTED_VALUE"""),"106*****mps.ptc.edu.tw")</f>
        <v>106*****mps.ptc.edu.tw</v>
      </c>
      <c r="E4086" s="17" t="str">
        <f>IFERROR(__xludf.DUMMYFUNCTION("""COMPUTED_VALUE"""),"屏東縣竹田鄉大明國民小學")</f>
        <v>屏東縣竹田鄉大明國民小學</v>
      </c>
      <c r="F4086" s="14" t="str">
        <f>IFERROR(__xludf.DUMMYFUNCTION("""COMPUTED_VALUE"""),"六年級")</f>
        <v>六年級</v>
      </c>
      <c r="G4086" s="14" t="str">
        <f>IFERROR(__xludf.DUMMYFUNCTION("""COMPUTED_VALUE"""),"獎狀")</f>
        <v>獎狀</v>
      </c>
      <c r="H4086" s="8"/>
    </row>
    <row r="4087">
      <c r="A4087" s="18"/>
      <c r="B4087" s="14">
        <f>IFERROR(__xludf.DUMMYFUNCTION("""COMPUTED_VALUE"""),411584.0)</f>
        <v>411584</v>
      </c>
      <c r="C4087" s="14" t="str">
        <f>IFERROR(__xludf.DUMMYFUNCTION("""COMPUTED_VALUE"""),"劉畯溢")</f>
        <v>劉畯溢</v>
      </c>
      <c r="D4087" s="16" t="str">
        <f>IFERROR(__xludf.DUMMYFUNCTION("""COMPUTED_VALUE"""),"106*****mps.ptc.edu.tw")</f>
        <v>106*****mps.ptc.edu.tw</v>
      </c>
      <c r="E4087" s="17" t="str">
        <f>IFERROR(__xludf.DUMMYFUNCTION("""COMPUTED_VALUE"""),"屏東縣竹田鄉大明國民小學")</f>
        <v>屏東縣竹田鄉大明國民小學</v>
      </c>
      <c r="F4087" s="14" t="str">
        <f>IFERROR(__xludf.DUMMYFUNCTION("""COMPUTED_VALUE"""),"六年級")</f>
        <v>六年級</v>
      </c>
      <c r="G4087" s="14" t="str">
        <f>IFERROR(__xludf.DUMMYFUNCTION("""COMPUTED_VALUE"""),"獎狀")</f>
        <v>獎狀</v>
      </c>
      <c r="H4087" s="8"/>
    </row>
    <row r="4088">
      <c r="A4088" s="18"/>
      <c r="B4088" s="14">
        <f>IFERROR(__xludf.DUMMYFUNCTION("""COMPUTED_VALUE"""),974692.0)</f>
        <v>974692</v>
      </c>
      <c r="C4088" s="14" t="str">
        <f>IFERROR(__xludf.DUMMYFUNCTION("""COMPUTED_VALUE"""),"李品諺")</f>
        <v>李品諺</v>
      </c>
      <c r="D4088" s="16" t="str">
        <f>IFERROR(__xludf.DUMMYFUNCTION("""COMPUTED_VALUE"""),"106*****sps.ptc.edu.tw")</f>
        <v>106*****sps.ptc.edu.tw</v>
      </c>
      <c r="E4088" s="17" t="str">
        <f>IFERROR(__xludf.DUMMYFUNCTION("""COMPUTED_VALUE"""),"屏東縣內埔鄉新生國民小學")</f>
        <v>屏東縣內埔鄉新生國民小學</v>
      </c>
      <c r="F4088" s="14" t="str">
        <f>IFERROR(__xludf.DUMMYFUNCTION("""COMPUTED_VALUE"""),"六年級")</f>
        <v>六年級</v>
      </c>
      <c r="G4088" s="14" t="str">
        <f>IFERROR(__xludf.DUMMYFUNCTION("""COMPUTED_VALUE"""),"獎狀")</f>
        <v>獎狀</v>
      </c>
      <c r="H4088" s="8"/>
    </row>
    <row r="4089">
      <c r="A4089" s="18"/>
      <c r="B4089" s="14">
        <f>IFERROR(__xludf.DUMMYFUNCTION("""COMPUTED_VALUE"""),1110822.0)</f>
        <v>1110822</v>
      </c>
      <c r="C4089" s="14" t="str">
        <f>IFERROR(__xludf.DUMMYFUNCTION("""COMPUTED_VALUE"""),"吳睿翔")</f>
        <v>吳睿翔</v>
      </c>
      <c r="D4089" s="16" t="str">
        <f>IFERROR(__xludf.DUMMYFUNCTION("""COMPUTED_VALUE"""),"wu1*****0@gmail.com")</f>
        <v>wu1*****0@gmail.com</v>
      </c>
      <c r="E4089" s="17" t="str">
        <f>IFERROR(__xludf.DUMMYFUNCTION("""COMPUTED_VALUE"""),"屏東縣內埔鄉東寧國民小學")</f>
        <v>屏東縣內埔鄉東寧國民小學</v>
      </c>
      <c r="F4089" s="14" t="str">
        <f>IFERROR(__xludf.DUMMYFUNCTION("""COMPUTED_VALUE"""),"四年級")</f>
        <v>四年級</v>
      </c>
      <c r="G4089" s="14" t="str">
        <f>IFERROR(__xludf.DUMMYFUNCTION("""COMPUTED_VALUE"""),"●小禮物")</f>
        <v>●小禮物</v>
      </c>
      <c r="H4089" s="8"/>
    </row>
    <row r="4090">
      <c r="A4090" s="18"/>
      <c r="B4090" s="14">
        <f>IFERROR(__xludf.DUMMYFUNCTION("""COMPUTED_VALUE"""),848625.0)</f>
        <v>848625</v>
      </c>
      <c r="C4090" s="14" t="str">
        <f>IFERROR(__xludf.DUMMYFUNCTION("""COMPUTED_VALUE"""),"郭羽誌")</f>
        <v>郭羽誌</v>
      </c>
      <c r="D4090" s="16" t="str">
        <f>IFERROR(__xludf.DUMMYFUNCTION("""COMPUTED_VALUE"""),"s20*****ps@mail.edu.tw")</f>
        <v>s20*****ps@mail.edu.tw</v>
      </c>
      <c r="E4090" s="17" t="str">
        <f>IFERROR(__xludf.DUMMYFUNCTION("""COMPUTED_VALUE"""),"屏東縣萬丹鄉興華國民小學")</f>
        <v>屏東縣萬丹鄉興華國民小學</v>
      </c>
      <c r="F4090" s="14" t="str">
        <f>IFERROR(__xludf.DUMMYFUNCTION("""COMPUTED_VALUE"""),"四年級")</f>
        <v>四年級</v>
      </c>
      <c r="G4090" s="14" t="str">
        <f>IFERROR(__xludf.DUMMYFUNCTION("""COMPUTED_VALUE"""),"●小禮物")</f>
        <v>●小禮物</v>
      </c>
      <c r="H4090" s="8"/>
    </row>
    <row r="4091">
      <c r="A4091" s="18"/>
      <c r="B4091" s="14">
        <f>IFERROR(__xludf.DUMMYFUNCTION("""COMPUTED_VALUE"""),848568.0)</f>
        <v>848568</v>
      </c>
      <c r="C4091" s="14" t="str">
        <f>IFERROR(__xludf.DUMMYFUNCTION("""COMPUTED_VALUE"""),"周子暄")</f>
        <v>周子暄</v>
      </c>
      <c r="D4091" s="16" t="str">
        <f>IFERROR(__xludf.DUMMYFUNCTION("""COMPUTED_VALUE"""),"s20*****ps@mail.edu.tw")</f>
        <v>s20*****ps@mail.edu.tw</v>
      </c>
      <c r="E4091" s="17" t="str">
        <f>IFERROR(__xludf.DUMMYFUNCTION("""COMPUTED_VALUE"""),"屏東縣萬丹鄉興華國民小學")</f>
        <v>屏東縣萬丹鄉興華國民小學</v>
      </c>
      <c r="F4091" s="14" t="str">
        <f>IFERROR(__xludf.DUMMYFUNCTION("""COMPUTED_VALUE"""),"四年級")</f>
        <v>四年級</v>
      </c>
      <c r="G4091" s="14" t="str">
        <f>IFERROR(__xludf.DUMMYFUNCTION("""COMPUTED_VALUE"""),"獎狀")</f>
        <v>獎狀</v>
      </c>
      <c r="H4091" s="8"/>
    </row>
    <row r="4092">
      <c r="A4092" s="18"/>
      <c r="B4092" s="14">
        <f>IFERROR(__xludf.DUMMYFUNCTION("""COMPUTED_VALUE"""),585151.0)</f>
        <v>585151</v>
      </c>
      <c r="C4092" s="14" t="str">
        <f>IFERROR(__xludf.DUMMYFUNCTION("""COMPUTED_VALUE"""),"洪志豪")</f>
        <v>洪志豪</v>
      </c>
      <c r="D4092" s="16" t="str">
        <f>IFERROR(__xludf.DUMMYFUNCTION("""COMPUTED_VALUE"""),"hen*****0707@mail.edu.tw")</f>
        <v>hen*****0707@mail.edu.tw</v>
      </c>
      <c r="E4092" s="17" t="str">
        <f>IFERROR(__xludf.DUMMYFUNCTION("""COMPUTED_VALUE"""),"屏東縣萬丹鄉興華國民小學")</f>
        <v>屏東縣萬丹鄉興華國民小學</v>
      </c>
      <c r="F4092" s="14" t="str">
        <f>IFERROR(__xludf.DUMMYFUNCTION("""COMPUTED_VALUE"""),"五年級")</f>
        <v>五年級</v>
      </c>
      <c r="G4092" s="14" t="str">
        <f>IFERROR(__xludf.DUMMYFUNCTION("""COMPUTED_VALUE"""),"獎狀")</f>
        <v>獎狀</v>
      </c>
      <c r="H4092" s="8"/>
    </row>
    <row r="4093">
      <c r="A4093" s="18"/>
      <c r="B4093" s="14">
        <f>IFERROR(__xludf.DUMMYFUNCTION("""COMPUTED_VALUE"""),585132.0)</f>
        <v>585132</v>
      </c>
      <c r="C4093" s="14" t="str">
        <f>IFERROR(__xludf.DUMMYFUNCTION("""COMPUTED_VALUE"""),"林咏鋐")</f>
        <v>林咏鋐</v>
      </c>
      <c r="D4093" s="16" t="str">
        <f>IFERROR(__xludf.DUMMYFUNCTION("""COMPUTED_VALUE"""),"pet*****0403@mail.edu.tw")</f>
        <v>pet*****0403@mail.edu.tw</v>
      </c>
      <c r="E4093" s="17" t="str">
        <f>IFERROR(__xludf.DUMMYFUNCTION("""COMPUTED_VALUE"""),"屏東縣萬丹鄉興華國民小學")</f>
        <v>屏東縣萬丹鄉興華國民小學</v>
      </c>
      <c r="F4093" s="14" t="str">
        <f>IFERROR(__xludf.DUMMYFUNCTION("""COMPUTED_VALUE"""),"五年級")</f>
        <v>五年級</v>
      </c>
      <c r="G4093" s="14" t="str">
        <f>IFERROR(__xludf.DUMMYFUNCTION("""COMPUTED_VALUE"""),"獎狀")</f>
        <v>獎狀</v>
      </c>
      <c r="H4093" s="8"/>
    </row>
    <row r="4094">
      <c r="A4094" s="18"/>
      <c r="B4094" s="14">
        <f>IFERROR(__xludf.DUMMYFUNCTION("""COMPUTED_VALUE"""),585140.0)</f>
        <v>585140</v>
      </c>
      <c r="C4094" s="14" t="str">
        <f>IFERROR(__xludf.DUMMYFUNCTION("""COMPUTED_VALUE"""),"洪悅軒")</f>
        <v>洪悅軒</v>
      </c>
      <c r="D4094" s="16" t="str">
        <f>IFERROR(__xludf.DUMMYFUNCTION("""COMPUTED_VALUE"""),"sam*****05@mail.edu.tw")</f>
        <v>sam*****05@mail.edu.tw</v>
      </c>
      <c r="E4094" s="17" t="str">
        <f>IFERROR(__xludf.DUMMYFUNCTION("""COMPUTED_VALUE"""),"屏東縣萬丹鄉興華國民小學")</f>
        <v>屏東縣萬丹鄉興華國民小學</v>
      </c>
      <c r="F4094" s="14" t="str">
        <f>IFERROR(__xludf.DUMMYFUNCTION("""COMPUTED_VALUE"""),"五年級")</f>
        <v>五年級</v>
      </c>
      <c r="G4094" s="14" t="str">
        <f>IFERROR(__xludf.DUMMYFUNCTION("""COMPUTED_VALUE"""),"獎狀")</f>
        <v>獎狀</v>
      </c>
      <c r="H4094" s="8"/>
    </row>
    <row r="4095">
      <c r="A4095" s="18"/>
      <c r="B4095" s="14">
        <f>IFERROR(__xludf.DUMMYFUNCTION("""COMPUTED_VALUE"""),423061.0)</f>
        <v>423061</v>
      </c>
      <c r="C4095" s="14" t="str">
        <f>IFERROR(__xludf.DUMMYFUNCTION("""COMPUTED_VALUE"""),"蔡杰恩")</f>
        <v>蔡杰恩</v>
      </c>
      <c r="D4095" s="16" t="str">
        <f>IFERROR(__xludf.DUMMYFUNCTION("""COMPUTED_VALUE"""),"scp*****26@mail.edu.tw")</f>
        <v>scp*****26@mail.edu.tw</v>
      </c>
      <c r="E4095" s="17" t="str">
        <f>IFERROR(__xludf.DUMMYFUNCTION("""COMPUTED_VALUE"""),"屏東縣萬丹鄉興華國民小學")</f>
        <v>屏東縣萬丹鄉興華國民小學</v>
      </c>
      <c r="F4095" s="14" t="str">
        <f>IFERROR(__xludf.DUMMYFUNCTION("""COMPUTED_VALUE"""),"六年級")</f>
        <v>六年級</v>
      </c>
      <c r="G4095" s="14" t="str">
        <f>IFERROR(__xludf.DUMMYFUNCTION("""COMPUTED_VALUE"""),"獎狀")</f>
        <v>獎狀</v>
      </c>
      <c r="H4095" s="8"/>
    </row>
    <row r="4096">
      <c r="A4096" s="18"/>
      <c r="B4096" s="14">
        <f>IFERROR(__xludf.DUMMYFUNCTION("""COMPUTED_VALUE"""),748422.0)</f>
        <v>748422</v>
      </c>
      <c r="C4096" s="14" t="str">
        <f>IFERROR(__xludf.DUMMYFUNCTION("""COMPUTED_VALUE"""),"譚旭霖")</f>
        <v>譚旭霖</v>
      </c>
      <c r="D4096" s="16" t="str">
        <f>IFERROR(__xludf.DUMMYFUNCTION("""COMPUTED_VALUE"""),"107*****ps.ptc.edu.tw")</f>
        <v>107*****ps.ptc.edu.tw</v>
      </c>
      <c r="E4096" s="17" t="str">
        <f>IFERROR(__xludf.DUMMYFUNCTION("""COMPUTED_VALUE"""),"屏東縣潮州鎮潮東國民小學")</f>
        <v>屏東縣潮州鎮潮東國民小學</v>
      </c>
      <c r="F4096" s="14" t="str">
        <f>IFERROR(__xludf.DUMMYFUNCTION("""COMPUTED_VALUE"""),"五年級")</f>
        <v>五年級</v>
      </c>
      <c r="G4096" s="14" t="str">
        <f>IFERROR(__xludf.DUMMYFUNCTION("""COMPUTED_VALUE"""),"●小禮物")</f>
        <v>●小禮物</v>
      </c>
      <c r="H4096" s="8"/>
    </row>
    <row r="4097">
      <c r="A4097" s="18"/>
      <c r="B4097" s="14">
        <f>IFERROR(__xludf.DUMMYFUNCTION("""COMPUTED_VALUE"""),1125039.0)</f>
        <v>1125039</v>
      </c>
      <c r="C4097" s="14" t="str">
        <f>IFERROR(__xludf.DUMMYFUNCTION("""COMPUTED_VALUE"""),"尤煒慈")</f>
        <v>尤煒慈</v>
      </c>
      <c r="D4097" s="16" t="str">
        <f>IFERROR(__xludf.DUMMYFUNCTION("""COMPUTED_VALUE"""),"mia*****06@mail.edu.tw")</f>
        <v>mia*****06@mail.edu.tw</v>
      </c>
      <c r="E4097" s="17" t="str">
        <f>IFERROR(__xludf.DUMMYFUNCTION("""COMPUTED_VALUE"""),"屏東縣潮州鎮潮昇國民小學")</f>
        <v>屏東縣潮州鎮潮昇國民小學</v>
      </c>
      <c r="F4097" s="14" t="str">
        <f>IFERROR(__xludf.DUMMYFUNCTION("""COMPUTED_VALUE"""),"三年級")</f>
        <v>三年級</v>
      </c>
      <c r="G4097" s="14" t="str">
        <f>IFERROR(__xludf.DUMMYFUNCTION("""COMPUTED_VALUE"""),"●小禮物")</f>
        <v>●小禮物</v>
      </c>
      <c r="H4097" s="8"/>
    </row>
    <row r="4098">
      <c r="A4098" s="18"/>
      <c r="B4098" s="14">
        <f>IFERROR(__xludf.DUMMYFUNCTION("""COMPUTED_VALUE"""),1118107.0)</f>
        <v>1118107</v>
      </c>
      <c r="C4098" s="14" t="str">
        <f>IFERROR(__xludf.DUMMYFUNCTION("""COMPUTED_VALUE"""),"吳晨")</f>
        <v>吳晨</v>
      </c>
      <c r="D4098" s="16" t="str">
        <f>IFERROR(__xludf.DUMMYFUNCTION("""COMPUTED_VALUE"""),"108*****hps.ptc.edu.tw")</f>
        <v>108*****hps.ptc.edu.tw</v>
      </c>
      <c r="E4098" s="17" t="str">
        <f>IFERROR(__xludf.DUMMYFUNCTION("""COMPUTED_VALUE"""),"屏東縣潮州鎮光華國民小學")</f>
        <v>屏東縣潮州鎮光華國民小學</v>
      </c>
      <c r="F4098" s="14" t="str">
        <f>IFERROR(__xludf.DUMMYFUNCTION("""COMPUTED_VALUE"""),"四年級")</f>
        <v>四年級</v>
      </c>
      <c r="G4098" s="14" t="str">
        <f>IFERROR(__xludf.DUMMYFUNCTION("""COMPUTED_VALUE"""),"●小禮物")</f>
        <v>●小禮物</v>
      </c>
      <c r="H4098" s="8"/>
    </row>
    <row r="4099">
      <c r="A4099" s="18"/>
      <c r="B4099" s="14">
        <f>IFERROR(__xludf.DUMMYFUNCTION("""COMPUTED_VALUE"""),402621.0)</f>
        <v>402621</v>
      </c>
      <c r="C4099" s="14" t="str">
        <f>IFERROR(__xludf.DUMMYFUNCTION("""COMPUTED_VALUE"""),"陳芳育")</f>
        <v>陳芳育</v>
      </c>
      <c r="D4099" s="16" t="str">
        <f>IFERROR(__xludf.DUMMYFUNCTION("""COMPUTED_VALUE"""),"ptc*****5@mail.edu.tw")</f>
        <v>ptc*****5@mail.edu.tw</v>
      </c>
      <c r="E4099" s="17" t="str">
        <f>IFERROR(__xludf.DUMMYFUNCTION("""COMPUTED_VALUE"""),"屏東縣林邊鄉仁和國民小學")</f>
        <v>屏東縣林邊鄉仁和國民小學</v>
      </c>
      <c r="F4099" s="14" t="str">
        <f>IFERROR(__xludf.DUMMYFUNCTION("""COMPUTED_VALUE"""),"六年級")</f>
        <v>六年級</v>
      </c>
      <c r="G4099" s="14" t="str">
        <f>IFERROR(__xludf.DUMMYFUNCTION("""COMPUTED_VALUE"""),"●小禮物")</f>
        <v>●小禮物</v>
      </c>
      <c r="H4099" s="8"/>
    </row>
    <row r="4100">
      <c r="A4100" s="18"/>
      <c r="B4100" s="14">
        <f>IFERROR(__xludf.DUMMYFUNCTION("""COMPUTED_VALUE"""),586329.0)</f>
        <v>586329</v>
      </c>
      <c r="C4100" s="14" t="str">
        <f>IFERROR(__xludf.DUMMYFUNCTION("""COMPUTED_VALUE"""),"李品辰")</f>
        <v>李品辰</v>
      </c>
      <c r="D4100" s="16" t="str">
        <f>IFERROR(__xludf.DUMMYFUNCTION("""COMPUTED_VALUE"""),"pin*****mail.edu.tw")</f>
        <v>pin*****mail.edu.tw</v>
      </c>
      <c r="E4100" s="17" t="str">
        <f>IFERROR(__xludf.DUMMYFUNCTION("""COMPUTED_VALUE"""),"屏東縣東港鎮東港國民小學")</f>
        <v>屏東縣東港鎮東港國民小學</v>
      </c>
      <c r="F4100" s="14" t="str">
        <f>IFERROR(__xludf.DUMMYFUNCTION("""COMPUTED_VALUE"""),"五年級")</f>
        <v>五年級</v>
      </c>
      <c r="G4100" s="14" t="str">
        <f>IFERROR(__xludf.DUMMYFUNCTION("""COMPUTED_VALUE"""),"●小禮物")</f>
        <v>●小禮物</v>
      </c>
      <c r="H4100" s="8"/>
    </row>
    <row r="4101">
      <c r="A4101" s="18"/>
      <c r="B4101" s="14">
        <f>IFERROR(__xludf.DUMMYFUNCTION("""COMPUTED_VALUE"""),1176981.0)</f>
        <v>1176981</v>
      </c>
      <c r="C4101" s="14" t="str">
        <f>IFERROR(__xludf.DUMMYFUNCTION("""COMPUTED_VALUE"""),"蔡德觀")</f>
        <v>蔡德觀</v>
      </c>
      <c r="D4101" s="16" t="str">
        <f>IFERROR(__xludf.DUMMYFUNCTION("""COMPUTED_VALUE"""),"all*****8@yahoo.com.tw")</f>
        <v>all*****8@yahoo.com.tw</v>
      </c>
      <c r="E4101" s="17" t="str">
        <f>IFERROR(__xludf.DUMMYFUNCTION("""COMPUTED_VALUE"""),"屏東縣東港鎮東光國民小學")</f>
        <v>屏東縣東港鎮東光國民小學</v>
      </c>
      <c r="F4101" s="14" t="str">
        <f>IFERROR(__xludf.DUMMYFUNCTION("""COMPUTED_VALUE"""),"四年級")</f>
        <v>四年級</v>
      </c>
      <c r="G4101" s="14" t="str">
        <f>IFERROR(__xludf.DUMMYFUNCTION("""COMPUTED_VALUE"""),"獎狀")</f>
        <v>獎狀</v>
      </c>
      <c r="H4101" s="8"/>
    </row>
    <row r="4102">
      <c r="A4102" s="18"/>
      <c r="B4102" s="14">
        <f>IFERROR(__xludf.DUMMYFUNCTION("""COMPUTED_VALUE"""),596786.0)</f>
        <v>596786</v>
      </c>
      <c r="C4102" s="14" t="str">
        <f>IFERROR(__xludf.DUMMYFUNCTION("""COMPUTED_VALUE"""),"林委謙")</f>
        <v>林委謙</v>
      </c>
      <c r="D4102" s="16" t="str">
        <f>IFERROR(__xludf.DUMMYFUNCTION("""COMPUTED_VALUE"""),"ker*****4@yahoo.com.tw")</f>
        <v>ker*****4@yahoo.com.tw</v>
      </c>
      <c r="E4102" s="17" t="str">
        <f>IFERROR(__xludf.DUMMYFUNCTION("""COMPUTED_VALUE"""),"屏東縣東港鎮東光國民小學")</f>
        <v>屏東縣東港鎮東光國民小學</v>
      </c>
      <c r="F4102" s="14" t="str">
        <f>IFERROR(__xludf.DUMMYFUNCTION("""COMPUTED_VALUE"""),"五年級")</f>
        <v>五年級</v>
      </c>
      <c r="G4102" s="14" t="str">
        <f>IFERROR(__xludf.DUMMYFUNCTION("""COMPUTED_VALUE"""),"獎狀")</f>
        <v>獎狀</v>
      </c>
      <c r="H4102" s="8"/>
    </row>
    <row r="4103">
      <c r="A4103" s="18"/>
      <c r="B4103" s="14">
        <f>IFERROR(__xludf.DUMMYFUNCTION("""COMPUTED_VALUE"""),941063.0)</f>
        <v>941063</v>
      </c>
      <c r="C4103" s="14" t="str">
        <f>IFERROR(__xludf.DUMMYFUNCTION("""COMPUTED_VALUE"""),"劉宇翔")</f>
        <v>劉宇翔</v>
      </c>
      <c r="D4103" s="16" t="str">
        <f>IFERROR(__xludf.DUMMYFUNCTION("""COMPUTED_VALUE"""),"yge*****004@yges.ptc.edu.tw")</f>
        <v>yge*****004@yges.ptc.edu.tw</v>
      </c>
      <c r="E4103" s="17" t="str">
        <f>IFERROR(__xludf.DUMMYFUNCTION("""COMPUTED_VALUE"""),"屏東縣佳冬鄉玉光國民小學")</f>
        <v>屏東縣佳冬鄉玉光國民小學</v>
      </c>
      <c r="F4103" s="14" t="str">
        <f>IFERROR(__xludf.DUMMYFUNCTION("""COMPUTED_VALUE"""),"四年級")</f>
        <v>四年級</v>
      </c>
      <c r="G4103" s="14" t="str">
        <f>IFERROR(__xludf.DUMMYFUNCTION("""COMPUTED_VALUE"""),"●小禮物")</f>
        <v>●小禮物</v>
      </c>
      <c r="H4103" s="8"/>
    </row>
    <row r="4104">
      <c r="A4104" s="18"/>
      <c r="B4104" s="14">
        <f>IFERROR(__xludf.DUMMYFUNCTION("""COMPUTED_VALUE"""),940992.0)</f>
        <v>940992</v>
      </c>
      <c r="C4104" s="14" t="str">
        <f>IFERROR(__xludf.DUMMYFUNCTION("""COMPUTED_VALUE"""),"胡祐誠")</f>
        <v>胡祐誠</v>
      </c>
      <c r="D4104" s="16" t="str">
        <f>IFERROR(__xludf.DUMMYFUNCTION("""COMPUTED_VALUE"""),"yge*****014@yges.ptc.edu.tw")</f>
        <v>yge*****014@yges.ptc.edu.tw</v>
      </c>
      <c r="E4104" s="17" t="str">
        <f>IFERROR(__xludf.DUMMYFUNCTION("""COMPUTED_VALUE"""),"屏東縣佳冬鄉玉光國民小學")</f>
        <v>屏東縣佳冬鄉玉光國民小學</v>
      </c>
      <c r="F4104" s="14" t="str">
        <f>IFERROR(__xludf.DUMMYFUNCTION("""COMPUTED_VALUE"""),"四年級")</f>
        <v>四年級</v>
      </c>
      <c r="G4104" s="14" t="str">
        <f>IFERROR(__xludf.DUMMYFUNCTION("""COMPUTED_VALUE"""),"●小禮物")</f>
        <v>●小禮物</v>
      </c>
      <c r="H4104" s="8"/>
    </row>
    <row r="4105">
      <c r="A4105" s="18"/>
      <c r="B4105" s="14">
        <f>IFERROR(__xludf.DUMMYFUNCTION("""COMPUTED_VALUE"""),941023.0)</f>
        <v>941023</v>
      </c>
      <c r="C4105" s="14" t="str">
        <f>IFERROR(__xludf.DUMMYFUNCTION("""COMPUTED_VALUE"""),"陳宥伃")</f>
        <v>陳宥伃</v>
      </c>
      <c r="D4105" s="16" t="str">
        <f>IFERROR(__xludf.DUMMYFUNCTION("""COMPUTED_VALUE"""),"yge*****026@yges.ptc.edu.tw")</f>
        <v>yge*****026@yges.ptc.edu.tw</v>
      </c>
      <c r="E4105" s="17" t="str">
        <f>IFERROR(__xludf.DUMMYFUNCTION("""COMPUTED_VALUE"""),"屏東縣佳冬鄉玉光國民小學")</f>
        <v>屏東縣佳冬鄉玉光國民小學</v>
      </c>
      <c r="F4105" s="14" t="str">
        <f>IFERROR(__xludf.DUMMYFUNCTION("""COMPUTED_VALUE"""),"四年級")</f>
        <v>四年級</v>
      </c>
      <c r="G4105" s="14" t="str">
        <f>IFERROR(__xludf.DUMMYFUNCTION("""COMPUTED_VALUE"""),"●小禮物")</f>
        <v>●小禮物</v>
      </c>
      <c r="H4105" s="8"/>
    </row>
    <row r="4106">
      <c r="A4106" s="18"/>
      <c r="B4106" s="14">
        <f>IFERROR(__xludf.DUMMYFUNCTION("""COMPUTED_VALUE"""),940994.0)</f>
        <v>940994</v>
      </c>
      <c r="C4106" s="14" t="str">
        <f>IFERROR(__xludf.DUMMYFUNCTION("""COMPUTED_VALUE"""),"楊柔恩")</f>
        <v>楊柔恩</v>
      </c>
      <c r="D4106" s="16" t="str">
        <f>IFERROR(__xludf.DUMMYFUNCTION("""COMPUTED_VALUE"""),"yge*****017@yges.ptc.edu.tw")</f>
        <v>yge*****017@yges.ptc.edu.tw</v>
      </c>
      <c r="E4106" s="17" t="str">
        <f>IFERROR(__xludf.DUMMYFUNCTION("""COMPUTED_VALUE"""),"屏東縣佳冬鄉玉光國民小學")</f>
        <v>屏東縣佳冬鄉玉光國民小學</v>
      </c>
      <c r="F4106" s="14" t="str">
        <f>IFERROR(__xludf.DUMMYFUNCTION("""COMPUTED_VALUE"""),"四年級")</f>
        <v>四年級</v>
      </c>
      <c r="G4106" s="14" t="str">
        <f>IFERROR(__xludf.DUMMYFUNCTION("""COMPUTED_VALUE"""),"●小禮物")</f>
        <v>●小禮物</v>
      </c>
      <c r="H4106" s="8"/>
    </row>
    <row r="4107">
      <c r="A4107" s="18"/>
      <c r="B4107" s="14">
        <f>IFERROR(__xludf.DUMMYFUNCTION("""COMPUTED_VALUE"""),941108.0)</f>
        <v>941108</v>
      </c>
      <c r="C4107" s="14" t="str">
        <f>IFERROR(__xludf.DUMMYFUNCTION("""COMPUTED_VALUE"""),"楊舒謠")</f>
        <v>楊舒謠</v>
      </c>
      <c r="D4107" s="16" t="str">
        <f>IFERROR(__xludf.DUMMYFUNCTION("""COMPUTED_VALUE"""),"yge*****029@yges.ptc.edu.tw")</f>
        <v>yge*****029@yges.ptc.edu.tw</v>
      </c>
      <c r="E4107" s="17" t="str">
        <f>IFERROR(__xludf.DUMMYFUNCTION("""COMPUTED_VALUE"""),"屏東縣佳冬鄉玉光國民小學")</f>
        <v>屏東縣佳冬鄉玉光國民小學</v>
      </c>
      <c r="F4107" s="14" t="str">
        <f>IFERROR(__xludf.DUMMYFUNCTION("""COMPUTED_VALUE"""),"四年級")</f>
        <v>四年級</v>
      </c>
      <c r="G4107" s="14" t="str">
        <f>IFERROR(__xludf.DUMMYFUNCTION("""COMPUTED_VALUE"""),"●小禮物")</f>
        <v>●小禮物</v>
      </c>
      <c r="H4107" s="8"/>
    </row>
    <row r="4108">
      <c r="A4108" s="18"/>
      <c r="B4108" s="14">
        <f>IFERROR(__xludf.DUMMYFUNCTION("""COMPUTED_VALUE"""),941019.0)</f>
        <v>941019</v>
      </c>
      <c r="C4108" s="14" t="str">
        <f>IFERROR(__xludf.DUMMYFUNCTION("""COMPUTED_VALUE"""),"賴羿筠")</f>
        <v>賴羿筠</v>
      </c>
      <c r="D4108" s="16" t="str">
        <f>IFERROR(__xludf.DUMMYFUNCTION("""COMPUTED_VALUE"""),"yge*****024@yges.ptc.edu.tw")</f>
        <v>yge*****024@yges.ptc.edu.tw</v>
      </c>
      <c r="E4108" s="17" t="str">
        <f>IFERROR(__xludf.DUMMYFUNCTION("""COMPUTED_VALUE"""),"屏東縣佳冬鄉玉光國民小學")</f>
        <v>屏東縣佳冬鄉玉光國民小學</v>
      </c>
      <c r="F4108" s="14" t="str">
        <f>IFERROR(__xludf.DUMMYFUNCTION("""COMPUTED_VALUE"""),"四年級")</f>
        <v>四年級</v>
      </c>
      <c r="G4108" s="14" t="str">
        <f>IFERROR(__xludf.DUMMYFUNCTION("""COMPUTED_VALUE"""),"●小禮物")</f>
        <v>●小禮物</v>
      </c>
      <c r="H4108" s="8"/>
    </row>
    <row r="4109">
      <c r="A4109" s="18"/>
      <c r="B4109" s="14">
        <f>IFERROR(__xludf.DUMMYFUNCTION("""COMPUTED_VALUE"""),941031.0)</f>
        <v>941031</v>
      </c>
      <c r="C4109" s="14" t="str">
        <f>IFERROR(__xludf.DUMMYFUNCTION("""COMPUTED_VALUE"""),"沈思妤")</f>
        <v>沈思妤</v>
      </c>
      <c r="D4109" s="16" t="str">
        <f>IFERROR(__xludf.DUMMYFUNCTION("""COMPUTED_VALUE"""),"yge*****028@yges.ptc.edu.tw")</f>
        <v>yge*****028@yges.ptc.edu.tw</v>
      </c>
      <c r="E4109" s="17" t="str">
        <f>IFERROR(__xludf.DUMMYFUNCTION("""COMPUTED_VALUE"""),"屏東縣佳冬鄉玉光國民小學")</f>
        <v>屏東縣佳冬鄉玉光國民小學</v>
      </c>
      <c r="F4109" s="14" t="str">
        <f>IFERROR(__xludf.DUMMYFUNCTION("""COMPUTED_VALUE"""),"四年級")</f>
        <v>四年級</v>
      </c>
      <c r="G4109" s="14" t="str">
        <f>IFERROR(__xludf.DUMMYFUNCTION("""COMPUTED_VALUE"""),"獎狀")</f>
        <v>獎狀</v>
      </c>
      <c r="H4109" s="8"/>
    </row>
    <row r="4110">
      <c r="A4110" s="18"/>
      <c r="B4110" s="14">
        <f>IFERROR(__xludf.DUMMYFUNCTION("""COMPUTED_VALUE"""),941026.0)</f>
        <v>941026</v>
      </c>
      <c r="C4110" s="14" t="str">
        <f>IFERROR(__xludf.DUMMYFUNCTION("""COMPUTED_VALUE"""),"邱維彤")</f>
        <v>邱維彤</v>
      </c>
      <c r="D4110" s="16" t="str">
        <f>IFERROR(__xludf.DUMMYFUNCTION("""COMPUTED_VALUE"""),"yge*****002@yges.ptc.edu.tw")</f>
        <v>yge*****002@yges.ptc.edu.tw</v>
      </c>
      <c r="E4110" s="17" t="str">
        <f>IFERROR(__xludf.DUMMYFUNCTION("""COMPUTED_VALUE"""),"屏東縣佳冬鄉玉光國民小學")</f>
        <v>屏東縣佳冬鄉玉光國民小學</v>
      </c>
      <c r="F4110" s="14" t="str">
        <f>IFERROR(__xludf.DUMMYFUNCTION("""COMPUTED_VALUE"""),"四年級")</f>
        <v>四年級</v>
      </c>
      <c r="G4110" s="14" t="str">
        <f>IFERROR(__xludf.DUMMYFUNCTION("""COMPUTED_VALUE"""),"獎狀")</f>
        <v>獎狀</v>
      </c>
      <c r="H4110" s="8"/>
    </row>
    <row r="4111">
      <c r="A4111" s="18"/>
      <c r="B4111" s="14">
        <f>IFERROR(__xludf.DUMMYFUNCTION("""COMPUTED_VALUE"""),940906.0)</f>
        <v>940906</v>
      </c>
      <c r="C4111" s="14" t="str">
        <f>IFERROR(__xludf.DUMMYFUNCTION("""COMPUTED_VALUE"""),"洪晨朔")</f>
        <v>洪晨朔</v>
      </c>
      <c r="D4111" s="16" t="str">
        <f>IFERROR(__xludf.DUMMYFUNCTION("""COMPUTED_VALUE"""),"yge*****008@yges.ptc.edu.tw")</f>
        <v>yge*****008@yges.ptc.edu.tw</v>
      </c>
      <c r="E4111" s="17" t="str">
        <f>IFERROR(__xludf.DUMMYFUNCTION("""COMPUTED_VALUE"""),"屏東縣佳冬鄉玉光國民小學")</f>
        <v>屏東縣佳冬鄉玉光國民小學</v>
      </c>
      <c r="F4111" s="14" t="str">
        <f>IFERROR(__xludf.DUMMYFUNCTION("""COMPUTED_VALUE"""),"四年級")</f>
        <v>四年級</v>
      </c>
      <c r="G4111" s="14" t="str">
        <f>IFERROR(__xludf.DUMMYFUNCTION("""COMPUTED_VALUE"""),"獎狀")</f>
        <v>獎狀</v>
      </c>
      <c r="H4111" s="8"/>
    </row>
    <row r="4112">
      <c r="A4112" s="18"/>
      <c r="B4112" s="14">
        <f>IFERROR(__xludf.DUMMYFUNCTION("""COMPUTED_VALUE"""),940942.0)</f>
        <v>940942</v>
      </c>
      <c r="C4112" s="14" t="str">
        <f>IFERROR(__xludf.DUMMYFUNCTION("""COMPUTED_VALUE"""),"紀驊祐")</f>
        <v>紀驊祐</v>
      </c>
      <c r="D4112" s="16" t="str">
        <f>IFERROR(__xludf.DUMMYFUNCTION("""COMPUTED_VALUE"""),"yge*****012@yges.ptc.edu.tw")</f>
        <v>yge*****012@yges.ptc.edu.tw</v>
      </c>
      <c r="E4112" s="17" t="str">
        <f>IFERROR(__xludf.DUMMYFUNCTION("""COMPUTED_VALUE"""),"屏東縣佳冬鄉玉光國民小學")</f>
        <v>屏東縣佳冬鄉玉光國民小學</v>
      </c>
      <c r="F4112" s="14" t="str">
        <f>IFERROR(__xludf.DUMMYFUNCTION("""COMPUTED_VALUE"""),"四年級")</f>
        <v>四年級</v>
      </c>
      <c r="G4112" s="14" t="str">
        <f>IFERROR(__xludf.DUMMYFUNCTION("""COMPUTED_VALUE"""),"獎狀")</f>
        <v>獎狀</v>
      </c>
      <c r="H4112" s="8"/>
    </row>
    <row r="4113">
      <c r="A4113" s="18"/>
      <c r="B4113" s="14">
        <f>IFERROR(__xludf.DUMMYFUNCTION("""COMPUTED_VALUE"""),941017.0)</f>
        <v>941017</v>
      </c>
      <c r="C4113" s="14" t="str">
        <f>IFERROR(__xludf.DUMMYFUNCTION("""COMPUTED_VALUE"""),"許佩琳")</f>
        <v>許佩琳</v>
      </c>
      <c r="D4113" s="16" t="str">
        <f>IFERROR(__xludf.DUMMYFUNCTION("""COMPUTED_VALUE"""),"yge*****020@yges.ptc.edu.tw")</f>
        <v>yge*****020@yges.ptc.edu.tw</v>
      </c>
      <c r="E4113" s="17" t="str">
        <f>IFERROR(__xludf.DUMMYFUNCTION("""COMPUTED_VALUE"""),"屏東縣佳冬鄉玉光國民小學")</f>
        <v>屏東縣佳冬鄉玉光國民小學</v>
      </c>
      <c r="F4113" s="14" t="str">
        <f>IFERROR(__xludf.DUMMYFUNCTION("""COMPUTED_VALUE"""),"四年級")</f>
        <v>四年級</v>
      </c>
      <c r="G4113" s="14" t="str">
        <f>IFERROR(__xludf.DUMMYFUNCTION("""COMPUTED_VALUE"""),"獎狀")</f>
        <v>獎狀</v>
      </c>
      <c r="H4113" s="8"/>
    </row>
    <row r="4114">
      <c r="A4114" s="18"/>
      <c r="B4114" s="14">
        <f>IFERROR(__xludf.DUMMYFUNCTION("""COMPUTED_VALUE"""),941021.0)</f>
        <v>941021</v>
      </c>
      <c r="C4114" s="14" t="str">
        <f>IFERROR(__xludf.DUMMYFUNCTION("""COMPUTED_VALUE"""),"楊采錡")</f>
        <v>楊采錡</v>
      </c>
      <c r="D4114" s="16" t="str">
        <f>IFERROR(__xludf.DUMMYFUNCTION("""COMPUTED_VALUE"""),"yge*****025@yges.ptc.edu.tw")</f>
        <v>yge*****025@yges.ptc.edu.tw</v>
      </c>
      <c r="E4114" s="17" t="str">
        <f>IFERROR(__xludf.DUMMYFUNCTION("""COMPUTED_VALUE"""),"屏東縣佳冬鄉玉光國民小學")</f>
        <v>屏東縣佳冬鄉玉光國民小學</v>
      </c>
      <c r="F4114" s="14" t="str">
        <f>IFERROR(__xludf.DUMMYFUNCTION("""COMPUTED_VALUE"""),"四年級")</f>
        <v>四年級</v>
      </c>
      <c r="G4114" s="14" t="str">
        <f>IFERROR(__xludf.DUMMYFUNCTION("""COMPUTED_VALUE"""),"獎狀")</f>
        <v>獎狀</v>
      </c>
      <c r="H4114" s="8"/>
    </row>
    <row r="4115">
      <c r="A4115" s="18"/>
      <c r="B4115" s="14">
        <f>IFERROR(__xludf.DUMMYFUNCTION("""COMPUTED_VALUE"""),940933.0)</f>
        <v>940933</v>
      </c>
      <c r="C4115" s="14" t="str">
        <f>IFERROR(__xludf.DUMMYFUNCTION("""COMPUTED_VALUE"""),"劉叡祥")</f>
        <v>劉叡祥</v>
      </c>
      <c r="D4115" s="16" t="str">
        <f>IFERROR(__xludf.DUMMYFUNCTION("""COMPUTED_VALUE"""),"yge*****005@yges.ptc.edu.tw")</f>
        <v>yge*****005@yges.ptc.edu.tw</v>
      </c>
      <c r="E4115" s="17" t="str">
        <f>IFERROR(__xludf.DUMMYFUNCTION("""COMPUTED_VALUE"""),"屏東縣佳冬鄉玉光國民小學")</f>
        <v>屏東縣佳冬鄉玉光國民小學</v>
      </c>
      <c r="F4115" s="14" t="str">
        <f>IFERROR(__xludf.DUMMYFUNCTION("""COMPUTED_VALUE"""),"四年級")</f>
        <v>四年級</v>
      </c>
      <c r="G4115" s="14" t="str">
        <f>IFERROR(__xludf.DUMMYFUNCTION("""COMPUTED_VALUE"""),"獎狀")</f>
        <v>獎狀</v>
      </c>
      <c r="H4115" s="8"/>
    </row>
    <row r="4116">
      <c r="A4116" s="18"/>
      <c r="B4116" s="14">
        <f>IFERROR(__xludf.DUMMYFUNCTION("""COMPUTED_VALUE"""),941029.0)</f>
        <v>941029</v>
      </c>
      <c r="C4116" s="14" t="str">
        <f>IFERROR(__xludf.DUMMYFUNCTION("""COMPUTED_VALUE"""),"潘雨彤")</f>
        <v>潘雨彤</v>
      </c>
      <c r="D4116" s="16" t="str">
        <f>IFERROR(__xludf.DUMMYFUNCTION("""COMPUTED_VALUE"""),"yge*****027@yges.ptc.edu.tw")</f>
        <v>yge*****027@yges.ptc.edu.tw</v>
      </c>
      <c r="E4116" s="17" t="str">
        <f>IFERROR(__xludf.DUMMYFUNCTION("""COMPUTED_VALUE"""),"屏東縣佳冬鄉玉光國民小學")</f>
        <v>屏東縣佳冬鄉玉光國民小學</v>
      </c>
      <c r="F4116" s="14" t="str">
        <f>IFERROR(__xludf.DUMMYFUNCTION("""COMPUTED_VALUE"""),"四年級")</f>
        <v>四年級</v>
      </c>
      <c r="G4116" s="14" t="str">
        <f>IFERROR(__xludf.DUMMYFUNCTION("""COMPUTED_VALUE"""),"獎狀")</f>
        <v>獎狀</v>
      </c>
      <c r="H4116" s="8"/>
    </row>
    <row r="4117">
      <c r="A4117" s="18"/>
      <c r="B4117" s="14">
        <f>IFERROR(__xludf.DUMMYFUNCTION("""COMPUTED_VALUE"""),449579.0)</f>
        <v>449579</v>
      </c>
      <c r="C4117" s="14" t="str">
        <f>IFERROR(__xludf.DUMMYFUNCTION("""COMPUTED_VALUE"""),"周芳婷")</f>
        <v>周芳婷</v>
      </c>
      <c r="D4117" s="16" t="str">
        <f>IFERROR(__xludf.DUMMYFUNCTION("""COMPUTED_VALUE"""),"yge*****18@yges.ptc.edu.tw")</f>
        <v>yge*****18@yges.ptc.edu.tw</v>
      </c>
      <c r="E4117" s="17" t="str">
        <f>IFERROR(__xludf.DUMMYFUNCTION("""COMPUTED_VALUE"""),"屏東縣佳冬鄉玉光國民小學")</f>
        <v>屏東縣佳冬鄉玉光國民小學</v>
      </c>
      <c r="F4117" s="14" t="str">
        <f>IFERROR(__xludf.DUMMYFUNCTION("""COMPUTED_VALUE"""),"五年級")</f>
        <v>五年級</v>
      </c>
      <c r="G4117" s="14" t="str">
        <f>IFERROR(__xludf.DUMMYFUNCTION("""COMPUTED_VALUE"""),"●小禮物")</f>
        <v>●小禮物</v>
      </c>
      <c r="H4117" s="8"/>
    </row>
    <row r="4118">
      <c r="A4118" s="18"/>
      <c r="B4118" s="14">
        <f>IFERROR(__xludf.DUMMYFUNCTION("""COMPUTED_VALUE"""),449487.0)</f>
        <v>449487</v>
      </c>
      <c r="C4118" s="14" t="str">
        <f>IFERROR(__xludf.DUMMYFUNCTION("""COMPUTED_VALUE"""),"曾芷歆")</f>
        <v>曾芷歆</v>
      </c>
      <c r="D4118" s="16" t="str">
        <f>IFERROR(__xludf.DUMMYFUNCTION("""COMPUTED_VALUE"""),"yge*****15@yges.ptc.edu.tw")</f>
        <v>yge*****15@yges.ptc.edu.tw</v>
      </c>
      <c r="E4118" s="17" t="str">
        <f>IFERROR(__xludf.DUMMYFUNCTION("""COMPUTED_VALUE"""),"屏東縣佳冬鄉玉光國民小學")</f>
        <v>屏東縣佳冬鄉玉光國民小學</v>
      </c>
      <c r="F4118" s="14" t="str">
        <f>IFERROR(__xludf.DUMMYFUNCTION("""COMPUTED_VALUE"""),"五年級")</f>
        <v>五年級</v>
      </c>
      <c r="G4118" s="14" t="str">
        <f>IFERROR(__xludf.DUMMYFUNCTION("""COMPUTED_VALUE"""),"●小禮物")</f>
        <v>●小禮物</v>
      </c>
      <c r="H4118" s="8"/>
    </row>
    <row r="4119">
      <c r="A4119" s="18"/>
      <c r="B4119" s="14">
        <f>IFERROR(__xludf.DUMMYFUNCTION("""COMPUTED_VALUE"""),449568.0)</f>
        <v>449568</v>
      </c>
      <c r="C4119" s="14" t="str">
        <f>IFERROR(__xludf.DUMMYFUNCTION("""COMPUTED_VALUE"""),"楊可安")</f>
        <v>楊可安</v>
      </c>
      <c r="D4119" s="16" t="str">
        <f>IFERROR(__xludf.DUMMYFUNCTION("""COMPUTED_VALUE"""),"yge*****16@yges.ptc.edu.tw")</f>
        <v>yge*****16@yges.ptc.edu.tw</v>
      </c>
      <c r="E4119" s="17" t="str">
        <f>IFERROR(__xludf.DUMMYFUNCTION("""COMPUTED_VALUE"""),"屏東縣佳冬鄉玉光國民小學")</f>
        <v>屏東縣佳冬鄉玉光國民小學</v>
      </c>
      <c r="F4119" s="14" t="str">
        <f>IFERROR(__xludf.DUMMYFUNCTION("""COMPUTED_VALUE"""),"五年級")</f>
        <v>五年級</v>
      </c>
      <c r="G4119" s="14" t="str">
        <f>IFERROR(__xludf.DUMMYFUNCTION("""COMPUTED_VALUE"""),"●小禮物")</f>
        <v>●小禮物</v>
      </c>
      <c r="H4119" s="8"/>
    </row>
    <row r="4120">
      <c r="A4120" s="18"/>
      <c r="B4120" s="14">
        <f>IFERROR(__xludf.DUMMYFUNCTION("""COMPUTED_VALUE"""),449418.0)</f>
        <v>449418</v>
      </c>
      <c r="C4120" s="14" t="str">
        <f>IFERROR(__xludf.DUMMYFUNCTION("""COMPUTED_VALUE"""),"葉泳成")</f>
        <v>葉泳成</v>
      </c>
      <c r="D4120" s="16" t="str">
        <f>IFERROR(__xludf.DUMMYFUNCTION("""COMPUTED_VALUE"""),"yge*****06@yges.ptc.edu.tw")</f>
        <v>yge*****06@yges.ptc.edu.tw</v>
      </c>
      <c r="E4120" s="17" t="str">
        <f>IFERROR(__xludf.DUMMYFUNCTION("""COMPUTED_VALUE"""),"屏東縣佳冬鄉玉光國民小學")</f>
        <v>屏東縣佳冬鄉玉光國民小學</v>
      </c>
      <c r="F4120" s="14" t="str">
        <f>IFERROR(__xludf.DUMMYFUNCTION("""COMPUTED_VALUE"""),"五年級")</f>
        <v>五年級</v>
      </c>
      <c r="G4120" s="14" t="str">
        <f>IFERROR(__xludf.DUMMYFUNCTION("""COMPUTED_VALUE"""),"●小禮物")</f>
        <v>●小禮物</v>
      </c>
      <c r="H4120" s="8"/>
    </row>
    <row r="4121">
      <c r="A4121" s="18"/>
      <c r="B4121" s="14">
        <f>IFERROR(__xludf.DUMMYFUNCTION("""COMPUTED_VALUE"""),449472.0)</f>
        <v>449472</v>
      </c>
      <c r="C4121" s="14" t="str">
        <f>IFERROR(__xludf.DUMMYFUNCTION("""COMPUTED_VALUE"""),"賴亞莙")</f>
        <v>賴亞莙</v>
      </c>
      <c r="D4121" s="16" t="str">
        <f>IFERROR(__xludf.DUMMYFUNCTION("""COMPUTED_VALUE"""),"yge*****14@yges.ptc.edu.tw")</f>
        <v>yge*****14@yges.ptc.edu.tw</v>
      </c>
      <c r="E4121" s="17" t="str">
        <f>IFERROR(__xludf.DUMMYFUNCTION("""COMPUTED_VALUE"""),"屏東縣佳冬鄉玉光國民小學")</f>
        <v>屏東縣佳冬鄉玉光國民小學</v>
      </c>
      <c r="F4121" s="14" t="str">
        <f>IFERROR(__xludf.DUMMYFUNCTION("""COMPUTED_VALUE"""),"五年級")</f>
        <v>五年級</v>
      </c>
      <c r="G4121" s="14" t="str">
        <f>IFERROR(__xludf.DUMMYFUNCTION("""COMPUTED_VALUE"""),"●小禮物")</f>
        <v>●小禮物</v>
      </c>
      <c r="H4121" s="8"/>
    </row>
    <row r="4122">
      <c r="A4122" s="18"/>
      <c r="B4122" s="14">
        <f>IFERROR(__xludf.DUMMYFUNCTION("""COMPUTED_VALUE"""),449453.0)</f>
        <v>449453</v>
      </c>
      <c r="C4122" s="14" t="str">
        <f>IFERROR(__xludf.DUMMYFUNCTION("""COMPUTED_VALUE"""),"龔承廷")</f>
        <v>龔承廷</v>
      </c>
      <c r="D4122" s="16" t="str">
        <f>IFERROR(__xludf.DUMMYFUNCTION("""COMPUTED_VALUE"""),"yge*****10@yges.ptc.edu.tw")</f>
        <v>yge*****10@yges.ptc.edu.tw</v>
      </c>
      <c r="E4122" s="17" t="str">
        <f>IFERROR(__xludf.DUMMYFUNCTION("""COMPUTED_VALUE"""),"屏東縣佳冬鄉玉光國民小學")</f>
        <v>屏東縣佳冬鄉玉光國民小學</v>
      </c>
      <c r="F4122" s="14" t="str">
        <f>IFERROR(__xludf.DUMMYFUNCTION("""COMPUTED_VALUE"""),"五年級")</f>
        <v>五年級</v>
      </c>
      <c r="G4122" s="14" t="str">
        <f>IFERROR(__xludf.DUMMYFUNCTION("""COMPUTED_VALUE"""),"●小禮物")</f>
        <v>●小禮物</v>
      </c>
      <c r="H4122" s="8"/>
    </row>
    <row r="4123">
      <c r="A4123" s="18"/>
      <c r="B4123" s="14">
        <f>IFERROR(__xludf.DUMMYFUNCTION("""COMPUTED_VALUE"""),449410.0)</f>
        <v>449410</v>
      </c>
      <c r="C4123" s="14" t="str">
        <f>IFERROR(__xludf.DUMMYFUNCTION("""COMPUTED_VALUE"""),"周敬恆")</f>
        <v>周敬恆</v>
      </c>
      <c r="D4123" s="16" t="str">
        <f>IFERROR(__xludf.DUMMYFUNCTION("""COMPUTED_VALUE"""),"yge*****01@yges.ptc.edu.tw")</f>
        <v>yge*****01@yges.ptc.edu.tw</v>
      </c>
      <c r="E4123" s="17" t="str">
        <f>IFERROR(__xludf.DUMMYFUNCTION("""COMPUTED_VALUE"""),"屏東縣佳冬鄉玉光國民小學")</f>
        <v>屏東縣佳冬鄉玉光國民小學</v>
      </c>
      <c r="F4123" s="14" t="str">
        <f>IFERROR(__xludf.DUMMYFUNCTION("""COMPUTED_VALUE"""),"五年級")</f>
        <v>五年級</v>
      </c>
      <c r="G4123" s="14" t="str">
        <f>IFERROR(__xludf.DUMMYFUNCTION("""COMPUTED_VALUE"""),"★禮券$200")</f>
        <v>★禮券$200</v>
      </c>
      <c r="H4123" s="8"/>
    </row>
    <row r="4124">
      <c r="A4124" s="18"/>
      <c r="B4124" s="14">
        <f>IFERROR(__xludf.DUMMYFUNCTION("""COMPUTED_VALUE"""),1165847.0)</f>
        <v>1165847</v>
      </c>
      <c r="C4124" s="14" t="str">
        <f>IFERROR(__xludf.DUMMYFUNCTION("""COMPUTED_VALUE"""),"邱佩芹")</f>
        <v>邱佩芹</v>
      </c>
      <c r="D4124" s="16" t="str">
        <f>IFERROR(__xludf.DUMMYFUNCTION("""COMPUTED_VALUE"""),"yge*****28@yges.ptc.edu.tw")</f>
        <v>yge*****28@yges.ptc.edu.tw</v>
      </c>
      <c r="E4124" s="17" t="str">
        <f>IFERROR(__xludf.DUMMYFUNCTION("""COMPUTED_VALUE"""),"屏東縣佳冬鄉玉光國民小學")</f>
        <v>屏東縣佳冬鄉玉光國民小學</v>
      </c>
      <c r="F4124" s="14" t="str">
        <f>IFERROR(__xludf.DUMMYFUNCTION("""COMPUTED_VALUE"""),"五年級")</f>
        <v>五年級</v>
      </c>
      <c r="G4124" s="14" t="str">
        <f>IFERROR(__xludf.DUMMYFUNCTION("""COMPUTED_VALUE"""),"★禮券$200")</f>
        <v>★禮券$200</v>
      </c>
      <c r="H4124" s="8"/>
    </row>
    <row r="4125">
      <c r="A4125" s="18"/>
      <c r="B4125" s="14">
        <f>IFERROR(__xludf.DUMMYFUNCTION("""COMPUTED_VALUE"""),449413.0)</f>
        <v>449413</v>
      </c>
      <c r="C4125" s="14" t="str">
        <f>IFERROR(__xludf.DUMMYFUNCTION("""COMPUTED_VALUE"""),"王博宇")</f>
        <v>王博宇</v>
      </c>
      <c r="D4125" s="16" t="str">
        <f>IFERROR(__xludf.DUMMYFUNCTION("""COMPUTED_VALUE"""),"yge*****03@yges.ptc.edu.tw")</f>
        <v>yge*****03@yges.ptc.edu.tw</v>
      </c>
      <c r="E4125" s="17" t="str">
        <f>IFERROR(__xludf.DUMMYFUNCTION("""COMPUTED_VALUE"""),"屏東縣佳冬鄉玉光國民小學")</f>
        <v>屏東縣佳冬鄉玉光國民小學</v>
      </c>
      <c r="F4125" s="14" t="str">
        <f>IFERROR(__xludf.DUMMYFUNCTION("""COMPUTED_VALUE"""),"五年級")</f>
        <v>五年級</v>
      </c>
      <c r="G4125" s="14" t="str">
        <f>IFERROR(__xludf.DUMMYFUNCTION("""COMPUTED_VALUE"""),"獎狀")</f>
        <v>獎狀</v>
      </c>
      <c r="H4125" s="8"/>
    </row>
    <row r="4126">
      <c r="A4126" s="18"/>
      <c r="B4126" s="14">
        <f>IFERROR(__xludf.DUMMYFUNCTION("""COMPUTED_VALUE"""),449463.0)</f>
        <v>449463</v>
      </c>
      <c r="C4126" s="14" t="str">
        <f>IFERROR(__xludf.DUMMYFUNCTION("""COMPUTED_VALUE"""),"王詠晴")</f>
        <v>王詠晴</v>
      </c>
      <c r="D4126" s="16" t="str">
        <f>IFERROR(__xludf.DUMMYFUNCTION("""COMPUTED_VALUE"""),"yge*****13@yges.ptc.edu.tw")</f>
        <v>yge*****13@yges.ptc.edu.tw</v>
      </c>
      <c r="E4126" s="17" t="str">
        <f>IFERROR(__xludf.DUMMYFUNCTION("""COMPUTED_VALUE"""),"屏東縣佳冬鄉玉光國民小學")</f>
        <v>屏東縣佳冬鄉玉光國民小學</v>
      </c>
      <c r="F4126" s="14" t="str">
        <f>IFERROR(__xludf.DUMMYFUNCTION("""COMPUTED_VALUE"""),"五年級")</f>
        <v>五年級</v>
      </c>
      <c r="G4126" s="14" t="str">
        <f>IFERROR(__xludf.DUMMYFUNCTION("""COMPUTED_VALUE"""),"獎狀")</f>
        <v>獎狀</v>
      </c>
      <c r="H4126" s="8"/>
    </row>
    <row r="4127">
      <c r="A4127" s="18"/>
      <c r="B4127" s="14">
        <f>IFERROR(__xludf.DUMMYFUNCTION("""COMPUTED_VALUE"""),449604.0)</f>
        <v>449604</v>
      </c>
      <c r="C4127" s="14" t="str">
        <f>IFERROR(__xludf.DUMMYFUNCTION("""COMPUTED_VALUE"""),"田純甄")</f>
        <v>田純甄</v>
      </c>
      <c r="D4127" s="16" t="str">
        <f>IFERROR(__xludf.DUMMYFUNCTION("""COMPUTED_VALUE"""),"yge*****23@yges.ptc.edu.tw")</f>
        <v>yge*****23@yges.ptc.edu.tw</v>
      </c>
      <c r="E4127" s="17" t="str">
        <f>IFERROR(__xludf.DUMMYFUNCTION("""COMPUTED_VALUE"""),"屏東縣佳冬鄉玉光國民小學")</f>
        <v>屏東縣佳冬鄉玉光國民小學</v>
      </c>
      <c r="F4127" s="14" t="str">
        <f>IFERROR(__xludf.DUMMYFUNCTION("""COMPUTED_VALUE"""),"五年級")</f>
        <v>五年級</v>
      </c>
      <c r="G4127" s="14" t="str">
        <f>IFERROR(__xludf.DUMMYFUNCTION("""COMPUTED_VALUE"""),"獎狀")</f>
        <v>獎狀</v>
      </c>
      <c r="H4127" s="8"/>
    </row>
    <row r="4128">
      <c r="A4128" s="18"/>
      <c r="B4128" s="14">
        <f>IFERROR(__xludf.DUMMYFUNCTION("""COMPUTED_VALUE"""),449417.0)</f>
        <v>449417</v>
      </c>
      <c r="C4128" s="14" t="str">
        <f>IFERROR(__xludf.DUMMYFUNCTION("""COMPUTED_VALUE"""),"余承祐")</f>
        <v>余承祐</v>
      </c>
      <c r="D4128" s="16" t="str">
        <f>IFERROR(__xludf.DUMMYFUNCTION("""COMPUTED_VALUE"""),"yge*****05@yges.ptc.edu.tw")</f>
        <v>yge*****05@yges.ptc.edu.tw</v>
      </c>
      <c r="E4128" s="17" t="str">
        <f>IFERROR(__xludf.DUMMYFUNCTION("""COMPUTED_VALUE"""),"屏東縣佳冬鄉玉光國民小學")</f>
        <v>屏東縣佳冬鄉玉光國民小學</v>
      </c>
      <c r="F4128" s="14" t="str">
        <f>IFERROR(__xludf.DUMMYFUNCTION("""COMPUTED_VALUE"""),"五年級")</f>
        <v>五年級</v>
      </c>
      <c r="G4128" s="14" t="str">
        <f>IFERROR(__xludf.DUMMYFUNCTION("""COMPUTED_VALUE"""),"獎狀")</f>
        <v>獎狀</v>
      </c>
      <c r="H4128" s="8"/>
    </row>
    <row r="4129">
      <c r="A4129" s="18"/>
      <c r="B4129" s="14">
        <f>IFERROR(__xludf.DUMMYFUNCTION("""COMPUTED_VALUE"""),449455.0)</f>
        <v>449455</v>
      </c>
      <c r="C4129" s="14" t="str">
        <f>IFERROR(__xludf.DUMMYFUNCTION("""COMPUTED_VALUE"""),"余秉霖")</f>
        <v>余秉霖</v>
      </c>
      <c r="D4129" s="16" t="str">
        <f>IFERROR(__xludf.DUMMYFUNCTION("""COMPUTED_VALUE"""),"yge*****11@yges.ptc.edu.tw")</f>
        <v>yge*****11@yges.ptc.edu.tw</v>
      </c>
      <c r="E4129" s="17" t="str">
        <f>IFERROR(__xludf.DUMMYFUNCTION("""COMPUTED_VALUE"""),"屏東縣佳冬鄉玉光國民小學")</f>
        <v>屏東縣佳冬鄉玉光國民小學</v>
      </c>
      <c r="F4129" s="14" t="str">
        <f>IFERROR(__xludf.DUMMYFUNCTION("""COMPUTED_VALUE"""),"五年級")</f>
        <v>五年級</v>
      </c>
      <c r="G4129" s="14" t="str">
        <f>IFERROR(__xludf.DUMMYFUNCTION("""COMPUTED_VALUE"""),"獎狀")</f>
        <v>獎狀</v>
      </c>
      <c r="H4129" s="8"/>
    </row>
    <row r="4130">
      <c r="A4130" s="18"/>
      <c r="B4130" s="14">
        <f>IFERROR(__xludf.DUMMYFUNCTION("""COMPUTED_VALUE"""),449587.0)</f>
        <v>449587</v>
      </c>
      <c r="C4130" s="14" t="str">
        <f>IFERROR(__xludf.DUMMYFUNCTION("""COMPUTED_VALUE"""),"吳宥漩")</f>
        <v>吳宥漩</v>
      </c>
      <c r="D4130" s="16" t="str">
        <f>IFERROR(__xludf.DUMMYFUNCTION("""COMPUTED_VALUE"""),"yge*****20@yges.ptc.edu.tw")</f>
        <v>yge*****20@yges.ptc.edu.tw</v>
      </c>
      <c r="E4130" s="17" t="str">
        <f>IFERROR(__xludf.DUMMYFUNCTION("""COMPUTED_VALUE"""),"屏東縣佳冬鄉玉光國民小學")</f>
        <v>屏東縣佳冬鄉玉光國民小學</v>
      </c>
      <c r="F4130" s="14" t="str">
        <f>IFERROR(__xludf.DUMMYFUNCTION("""COMPUTED_VALUE"""),"五年級")</f>
        <v>五年級</v>
      </c>
      <c r="G4130" s="14" t="str">
        <f>IFERROR(__xludf.DUMMYFUNCTION("""COMPUTED_VALUE"""),"獎狀")</f>
        <v>獎狀</v>
      </c>
      <c r="H4130" s="8"/>
    </row>
    <row r="4131">
      <c r="A4131" s="18"/>
      <c r="B4131" s="14">
        <f>IFERROR(__xludf.DUMMYFUNCTION("""COMPUTED_VALUE"""),449609.0)</f>
        <v>449609</v>
      </c>
      <c r="C4131" s="14" t="str">
        <f>IFERROR(__xludf.DUMMYFUNCTION("""COMPUTED_VALUE"""),"吳祥和")</f>
        <v>吳祥和</v>
      </c>
      <c r="D4131" s="16" t="str">
        <f>IFERROR(__xludf.DUMMYFUNCTION("""COMPUTED_VALUE"""),"yge*****24@yges.ptc.edu.tw")</f>
        <v>yge*****24@yges.ptc.edu.tw</v>
      </c>
      <c r="E4131" s="17" t="str">
        <f>IFERROR(__xludf.DUMMYFUNCTION("""COMPUTED_VALUE"""),"屏東縣佳冬鄉玉光國民小學")</f>
        <v>屏東縣佳冬鄉玉光國民小學</v>
      </c>
      <c r="F4131" s="14" t="str">
        <f>IFERROR(__xludf.DUMMYFUNCTION("""COMPUTED_VALUE"""),"五年級")</f>
        <v>五年級</v>
      </c>
      <c r="G4131" s="14" t="str">
        <f>IFERROR(__xludf.DUMMYFUNCTION("""COMPUTED_VALUE"""),"獎狀")</f>
        <v>獎狀</v>
      </c>
      <c r="H4131" s="8"/>
    </row>
    <row r="4132">
      <c r="A4132" s="18"/>
      <c r="B4132" s="14">
        <f>IFERROR(__xludf.DUMMYFUNCTION("""COMPUTED_VALUE"""),449452.0)</f>
        <v>449452</v>
      </c>
      <c r="C4132" s="14" t="str">
        <f>IFERROR(__xludf.DUMMYFUNCTION("""COMPUTED_VALUE"""),"李元凱")</f>
        <v>李元凱</v>
      </c>
      <c r="D4132" s="16" t="str">
        <f>IFERROR(__xludf.DUMMYFUNCTION("""COMPUTED_VALUE"""),"yge*****09@yges.ptc.edu.tw")</f>
        <v>yge*****09@yges.ptc.edu.tw</v>
      </c>
      <c r="E4132" s="17" t="str">
        <f>IFERROR(__xludf.DUMMYFUNCTION("""COMPUTED_VALUE"""),"屏東縣佳冬鄉玉光國民小學")</f>
        <v>屏東縣佳冬鄉玉光國民小學</v>
      </c>
      <c r="F4132" s="14" t="str">
        <f>IFERROR(__xludf.DUMMYFUNCTION("""COMPUTED_VALUE"""),"五年級")</f>
        <v>五年級</v>
      </c>
      <c r="G4132" s="14" t="str">
        <f>IFERROR(__xludf.DUMMYFUNCTION("""COMPUTED_VALUE"""),"獎狀")</f>
        <v>獎狀</v>
      </c>
      <c r="H4132" s="8"/>
    </row>
    <row r="4133">
      <c r="A4133" s="18"/>
      <c r="B4133" s="14">
        <f>IFERROR(__xludf.DUMMYFUNCTION("""COMPUTED_VALUE"""),449412.0)</f>
        <v>449412</v>
      </c>
      <c r="C4133" s="14" t="str">
        <f>IFERROR(__xludf.DUMMYFUNCTION("""COMPUTED_VALUE"""),"紀品均")</f>
        <v>紀品均</v>
      </c>
      <c r="D4133" s="16" t="str">
        <f>IFERROR(__xludf.DUMMYFUNCTION("""COMPUTED_VALUE"""),"yge*****02@yges.ptc.edu.tw")</f>
        <v>yge*****02@yges.ptc.edu.tw</v>
      </c>
      <c r="E4133" s="17" t="str">
        <f>IFERROR(__xludf.DUMMYFUNCTION("""COMPUTED_VALUE"""),"屏東縣佳冬鄉玉光國民小學")</f>
        <v>屏東縣佳冬鄉玉光國民小學</v>
      </c>
      <c r="F4133" s="14" t="str">
        <f>IFERROR(__xludf.DUMMYFUNCTION("""COMPUTED_VALUE"""),"五年級")</f>
        <v>五年級</v>
      </c>
      <c r="G4133" s="14" t="str">
        <f>IFERROR(__xludf.DUMMYFUNCTION("""COMPUTED_VALUE"""),"獎狀")</f>
        <v>獎狀</v>
      </c>
      <c r="H4133" s="8"/>
    </row>
    <row r="4134">
      <c r="A4134" s="18"/>
      <c r="B4134" s="14">
        <f>IFERROR(__xludf.DUMMYFUNCTION("""COMPUTED_VALUE"""),449451.0)</f>
        <v>449451</v>
      </c>
      <c r="C4134" s="14" t="str">
        <f>IFERROR(__xludf.DUMMYFUNCTION("""COMPUTED_VALUE"""),"胡晴翔")</f>
        <v>胡晴翔</v>
      </c>
      <c r="D4134" s="16" t="str">
        <f>IFERROR(__xludf.DUMMYFUNCTION("""COMPUTED_VALUE"""),"yge*****08@yges.ptc.edu.tw")</f>
        <v>yge*****08@yges.ptc.edu.tw</v>
      </c>
      <c r="E4134" s="17" t="str">
        <f>IFERROR(__xludf.DUMMYFUNCTION("""COMPUTED_VALUE"""),"屏東縣佳冬鄉玉光國民小學")</f>
        <v>屏東縣佳冬鄉玉光國民小學</v>
      </c>
      <c r="F4134" s="14" t="str">
        <f>IFERROR(__xludf.DUMMYFUNCTION("""COMPUTED_VALUE"""),"五年級")</f>
        <v>五年級</v>
      </c>
      <c r="G4134" s="14" t="str">
        <f>IFERROR(__xludf.DUMMYFUNCTION("""COMPUTED_VALUE"""),"獎狀")</f>
        <v>獎狀</v>
      </c>
      <c r="H4134" s="8"/>
    </row>
    <row r="4135">
      <c r="A4135" s="18"/>
      <c r="B4135" s="14">
        <f>IFERROR(__xludf.DUMMYFUNCTION("""COMPUTED_VALUE"""),449611.0)</f>
        <v>449611</v>
      </c>
      <c r="C4135" s="14" t="str">
        <f>IFERROR(__xludf.DUMMYFUNCTION("""COMPUTED_VALUE"""),"陳威任")</f>
        <v>陳威任</v>
      </c>
      <c r="D4135" s="16" t="str">
        <f>IFERROR(__xludf.DUMMYFUNCTION("""COMPUTED_VALUE"""),"yge*****25@yges.ptc.edu.tw")</f>
        <v>yge*****25@yges.ptc.edu.tw</v>
      </c>
      <c r="E4135" s="17" t="str">
        <f>IFERROR(__xludf.DUMMYFUNCTION("""COMPUTED_VALUE"""),"屏東縣佳冬鄉玉光國民小學")</f>
        <v>屏東縣佳冬鄉玉光國民小學</v>
      </c>
      <c r="F4135" s="14" t="str">
        <f>IFERROR(__xludf.DUMMYFUNCTION("""COMPUTED_VALUE"""),"五年級")</f>
        <v>五年級</v>
      </c>
      <c r="G4135" s="14" t="str">
        <f>IFERROR(__xludf.DUMMYFUNCTION("""COMPUTED_VALUE"""),"獎狀")</f>
        <v>獎狀</v>
      </c>
      <c r="H4135" s="8"/>
    </row>
    <row r="4136">
      <c r="A4136" s="18"/>
      <c r="B4136" s="14">
        <f>IFERROR(__xludf.DUMMYFUNCTION("""COMPUTED_VALUE"""),859717.0)</f>
        <v>859717</v>
      </c>
      <c r="C4136" s="14" t="str">
        <f>IFERROR(__xludf.DUMMYFUNCTION("""COMPUTED_VALUE"""),"黃英明")</f>
        <v>黃英明</v>
      </c>
      <c r="D4136" s="16" t="str">
        <f>IFERROR(__xludf.DUMMYFUNCTION("""COMPUTED_VALUE"""),"yge*****27@yges.ptc.edu.tw")</f>
        <v>yge*****27@yges.ptc.edu.tw</v>
      </c>
      <c r="E4136" s="17" t="str">
        <f>IFERROR(__xludf.DUMMYFUNCTION("""COMPUTED_VALUE"""),"屏東縣佳冬鄉玉光國民小學")</f>
        <v>屏東縣佳冬鄉玉光國民小學</v>
      </c>
      <c r="F4136" s="14" t="str">
        <f>IFERROR(__xludf.DUMMYFUNCTION("""COMPUTED_VALUE"""),"五年級")</f>
        <v>五年級</v>
      </c>
      <c r="G4136" s="14" t="str">
        <f>IFERROR(__xludf.DUMMYFUNCTION("""COMPUTED_VALUE"""),"獎狀")</f>
        <v>獎狀</v>
      </c>
      <c r="H4136" s="8"/>
    </row>
    <row r="4137">
      <c r="A4137" s="18"/>
      <c r="B4137" s="14">
        <f>IFERROR(__xludf.DUMMYFUNCTION("""COMPUTED_VALUE"""),449583.0)</f>
        <v>449583</v>
      </c>
      <c r="C4137" s="14" t="str">
        <f>IFERROR(__xludf.DUMMYFUNCTION("""COMPUTED_VALUE"""),"劉妤恩")</f>
        <v>劉妤恩</v>
      </c>
      <c r="D4137" s="16" t="str">
        <f>IFERROR(__xludf.DUMMYFUNCTION("""COMPUTED_VALUE"""),"yge*****19@yges.ptc.edu.tw")</f>
        <v>yge*****19@yges.ptc.edu.tw</v>
      </c>
      <c r="E4137" s="17" t="str">
        <f>IFERROR(__xludf.DUMMYFUNCTION("""COMPUTED_VALUE"""),"屏東縣佳冬鄉玉光國民小學")</f>
        <v>屏東縣佳冬鄉玉光國民小學</v>
      </c>
      <c r="F4137" s="14" t="str">
        <f>IFERROR(__xludf.DUMMYFUNCTION("""COMPUTED_VALUE"""),"五年級")</f>
        <v>五年級</v>
      </c>
      <c r="G4137" s="14" t="str">
        <f>IFERROR(__xludf.DUMMYFUNCTION("""COMPUTED_VALUE"""),"獎狀")</f>
        <v>獎狀</v>
      </c>
      <c r="H4137" s="8"/>
    </row>
    <row r="4138">
      <c r="A4138" s="18"/>
      <c r="B4138" s="14">
        <f>IFERROR(__xludf.DUMMYFUNCTION("""COMPUTED_VALUE"""),449420.0)</f>
        <v>449420</v>
      </c>
      <c r="C4138" s="14" t="str">
        <f>IFERROR(__xludf.DUMMYFUNCTION("""COMPUTED_VALUE"""),"潘宥丞")</f>
        <v>潘宥丞</v>
      </c>
      <c r="D4138" s="16" t="str">
        <f>IFERROR(__xludf.DUMMYFUNCTION("""COMPUTED_VALUE"""),"yge*****07@yges.ptc.edu.tw")</f>
        <v>yge*****07@yges.ptc.edu.tw</v>
      </c>
      <c r="E4138" s="17" t="str">
        <f>IFERROR(__xludf.DUMMYFUNCTION("""COMPUTED_VALUE"""),"屏東縣佳冬鄉玉光國民小學")</f>
        <v>屏東縣佳冬鄉玉光國民小學</v>
      </c>
      <c r="F4138" s="14" t="str">
        <f>IFERROR(__xludf.DUMMYFUNCTION("""COMPUTED_VALUE"""),"五年級")</f>
        <v>五年級</v>
      </c>
      <c r="G4138" s="14" t="str">
        <f>IFERROR(__xludf.DUMMYFUNCTION("""COMPUTED_VALUE"""),"獎狀")</f>
        <v>獎狀</v>
      </c>
      <c r="H4138" s="8"/>
    </row>
    <row r="4139">
      <c r="A4139" s="18"/>
      <c r="B4139" s="14">
        <f>IFERROR(__xludf.DUMMYFUNCTION("""COMPUTED_VALUE"""),449415.0)</f>
        <v>449415</v>
      </c>
      <c r="C4139" s="14" t="str">
        <f>IFERROR(__xludf.DUMMYFUNCTION("""COMPUTED_VALUE"""),"潘璟毅")</f>
        <v>潘璟毅</v>
      </c>
      <c r="D4139" s="16" t="str">
        <f>IFERROR(__xludf.DUMMYFUNCTION("""COMPUTED_VALUE"""),"yge*****04@yges.ptc.edu.tw")</f>
        <v>yge*****04@yges.ptc.edu.tw</v>
      </c>
      <c r="E4139" s="17" t="str">
        <f>IFERROR(__xludf.DUMMYFUNCTION("""COMPUTED_VALUE"""),"屏東縣佳冬鄉玉光國民小學")</f>
        <v>屏東縣佳冬鄉玉光國民小學</v>
      </c>
      <c r="F4139" s="14" t="str">
        <f>IFERROR(__xludf.DUMMYFUNCTION("""COMPUTED_VALUE"""),"五年級")</f>
        <v>五年級</v>
      </c>
      <c r="G4139" s="14" t="str">
        <f>IFERROR(__xludf.DUMMYFUNCTION("""COMPUTED_VALUE"""),"獎狀")</f>
        <v>獎狀</v>
      </c>
      <c r="H4139" s="8"/>
    </row>
    <row r="4140">
      <c r="A4140" s="18"/>
      <c r="B4140" s="14">
        <f>IFERROR(__xludf.DUMMYFUNCTION("""COMPUTED_VALUE"""),414984.0)</f>
        <v>414984</v>
      </c>
      <c r="C4140" s="14" t="str">
        <f>IFERROR(__xludf.DUMMYFUNCTION("""COMPUTED_VALUE"""),"楊浚鋐")</f>
        <v>楊浚鋐</v>
      </c>
      <c r="D4140" s="16" t="str">
        <f>IFERROR(__xludf.DUMMYFUNCTION("""COMPUTED_VALUE"""),"yge*****04@yges.ptc.edu.tw")</f>
        <v>yge*****04@yges.ptc.edu.tw</v>
      </c>
      <c r="E4140" s="17" t="str">
        <f>IFERROR(__xludf.DUMMYFUNCTION("""COMPUTED_VALUE"""),"屏東縣佳冬鄉玉光國民小學")</f>
        <v>屏東縣佳冬鄉玉光國民小學</v>
      </c>
      <c r="F4140" s="14" t="str">
        <f>IFERROR(__xludf.DUMMYFUNCTION("""COMPUTED_VALUE"""),"六年級")</f>
        <v>六年級</v>
      </c>
      <c r="G4140" s="14" t="str">
        <f>IFERROR(__xludf.DUMMYFUNCTION("""COMPUTED_VALUE"""),"●小禮物")</f>
        <v>●小禮物</v>
      </c>
      <c r="H4140" s="8"/>
    </row>
    <row r="4141">
      <c r="A4141" s="18"/>
      <c r="B4141" s="14">
        <f>IFERROR(__xludf.DUMMYFUNCTION("""COMPUTED_VALUE"""),415045.0)</f>
        <v>415045</v>
      </c>
      <c r="C4141" s="14" t="str">
        <f>IFERROR(__xludf.DUMMYFUNCTION("""COMPUTED_VALUE"""),"吳蕎宇")</f>
        <v>吳蕎宇</v>
      </c>
      <c r="D4141" s="16" t="str">
        <f>IFERROR(__xludf.DUMMYFUNCTION("""COMPUTED_VALUE"""),"yge*****12@yges.ptc.edu.tw")</f>
        <v>yge*****12@yges.ptc.edu.tw</v>
      </c>
      <c r="E4141" s="17" t="str">
        <f>IFERROR(__xludf.DUMMYFUNCTION("""COMPUTED_VALUE"""),"屏東縣佳冬鄉玉光國民小學")</f>
        <v>屏東縣佳冬鄉玉光國民小學</v>
      </c>
      <c r="F4141" s="14" t="str">
        <f>IFERROR(__xludf.DUMMYFUNCTION("""COMPUTED_VALUE"""),"六年級")</f>
        <v>六年級</v>
      </c>
      <c r="G4141" s="14" t="str">
        <f>IFERROR(__xludf.DUMMYFUNCTION("""COMPUTED_VALUE"""),"★禮券$500")</f>
        <v>★禮券$500</v>
      </c>
      <c r="H4141" s="8"/>
    </row>
    <row r="4142">
      <c r="A4142" s="18"/>
      <c r="B4142" s="14">
        <f>IFERROR(__xludf.DUMMYFUNCTION("""COMPUTED_VALUE"""),415046.0)</f>
        <v>415046</v>
      </c>
      <c r="C4142" s="14" t="str">
        <f>IFERROR(__xludf.DUMMYFUNCTION("""COMPUTED_VALUE"""),"李若寧")</f>
        <v>李若寧</v>
      </c>
      <c r="D4142" s="16" t="str">
        <f>IFERROR(__xludf.DUMMYFUNCTION("""COMPUTED_VALUE"""),"yge*****13@yges.ptc.edu.tw")</f>
        <v>yge*****13@yges.ptc.edu.tw</v>
      </c>
      <c r="E4142" s="17" t="str">
        <f>IFERROR(__xludf.DUMMYFUNCTION("""COMPUTED_VALUE"""),"屏東縣佳冬鄉玉光國民小學")</f>
        <v>屏東縣佳冬鄉玉光國民小學</v>
      </c>
      <c r="F4142" s="14" t="str">
        <f>IFERROR(__xludf.DUMMYFUNCTION("""COMPUTED_VALUE"""),"六年級")</f>
        <v>六年級</v>
      </c>
      <c r="G4142" s="14" t="str">
        <f>IFERROR(__xludf.DUMMYFUNCTION("""COMPUTED_VALUE"""),"獎狀")</f>
        <v>獎狀</v>
      </c>
      <c r="H4142" s="8"/>
    </row>
    <row r="4143">
      <c r="A4143" s="18"/>
      <c r="B4143" s="14">
        <f>IFERROR(__xludf.DUMMYFUNCTION("""COMPUTED_VALUE"""),414982.0)</f>
        <v>414982</v>
      </c>
      <c r="C4143" s="14" t="str">
        <f>IFERROR(__xludf.DUMMYFUNCTION("""COMPUTED_VALUE"""),"洪聖荏")</f>
        <v>洪聖荏</v>
      </c>
      <c r="D4143" s="16" t="str">
        <f>IFERROR(__xludf.DUMMYFUNCTION("""COMPUTED_VALUE"""),"yge*****02@yges.ptc.edu.tw")</f>
        <v>yge*****02@yges.ptc.edu.tw</v>
      </c>
      <c r="E4143" s="17" t="str">
        <f>IFERROR(__xludf.DUMMYFUNCTION("""COMPUTED_VALUE"""),"屏東縣佳冬鄉玉光國民小學")</f>
        <v>屏東縣佳冬鄉玉光國民小學</v>
      </c>
      <c r="F4143" s="14" t="str">
        <f>IFERROR(__xludf.DUMMYFUNCTION("""COMPUTED_VALUE"""),"六年級")</f>
        <v>六年級</v>
      </c>
      <c r="G4143" s="14" t="str">
        <f>IFERROR(__xludf.DUMMYFUNCTION("""COMPUTED_VALUE"""),"獎狀")</f>
        <v>獎狀</v>
      </c>
      <c r="H4143" s="8"/>
    </row>
    <row r="4144">
      <c r="A4144" s="18"/>
      <c r="B4144" s="14">
        <f>IFERROR(__xludf.DUMMYFUNCTION("""COMPUTED_VALUE"""),415047.0)</f>
        <v>415047</v>
      </c>
      <c r="C4144" s="14" t="str">
        <f>IFERROR(__xludf.DUMMYFUNCTION("""COMPUTED_VALUE"""),"曾建明")</f>
        <v>曾建明</v>
      </c>
      <c r="D4144" s="16" t="str">
        <f>IFERROR(__xludf.DUMMYFUNCTION("""COMPUTED_VALUE"""),"yge*****14@yges.ptc.edu.tw")</f>
        <v>yge*****14@yges.ptc.edu.tw</v>
      </c>
      <c r="E4144" s="17" t="str">
        <f>IFERROR(__xludf.DUMMYFUNCTION("""COMPUTED_VALUE"""),"屏東縣佳冬鄉玉光國民小學")</f>
        <v>屏東縣佳冬鄉玉光國民小學</v>
      </c>
      <c r="F4144" s="14" t="str">
        <f>IFERROR(__xludf.DUMMYFUNCTION("""COMPUTED_VALUE"""),"六年級")</f>
        <v>六年級</v>
      </c>
      <c r="G4144" s="14" t="str">
        <f>IFERROR(__xludf.DUMMYFUNCTION("""COMPUTED_VALUE"""),"獎狀")</f>
        <v>獎狀</v>
      </c>
      <c r="H4144" s="8"/>
    </row>
    <row r="4145">
      <c r="A4145" s="18"/>
      <c r="B4145" s="14">
        <f>IFERROR(__xludf.DUMMYFUNCTION("""COMPUTED_VALUE"""),414983.0)</f>
        <v>414983</v>
      </c>
      <c r="C4145" s="14" t="str">
        <f>IFERROR(__xludf.DUMMYFUNCTION("""COMPUTED_VALUE"""),"黃睿宇")</f>
        <v>黃睿宇</v>
      </c>
      <c r="D4145" s="16" t="str">
        <f>IFERROR(__xludf.DUMMYFUNCTION("""COMPUTED_VALUE"""),"yge*****03@yges.ptc.edu.tw")</f>
        <v>yge*****03@yges.ptc.edu.tw</v>
      </c>
      <c r="E4145" s="17" t="str">
        <f>IFERROR(__xludf.DUMMYFUNCTION("""COMPUTED_VALUE"""),"屏東縣佳冬鄉玉光國民小學")</f>
        <v>屏東縣佳冬鄉玉光國民小學</v>
      </c>
      <c r="F4145" s="14" t="str">
        <f>IFERROR(__xludf.DUMMYFUNCTION("""COMPUTED_VALUE"""),"六年級")</f>
        <v>六年級</v>
      </c>
      <c r="G4145" s="14" t="str">
        <f>IFERROR(__xludf.DUMMYFUNCTION("""COMPUTED_VALUE"""),"獎狀")</f>
        <v>獎狀</v>
      </c>
      <c r="H4145" s="8"/>
    </row>
    <row r="4146">
      <c r="A4146" s="18"/>
      <c r="B4146" s="14">
        <f>IFERROR(__xludf.DUMMYFUNCTION("""COMPUTED_VALUE"""),414989.0)</f>
        <v>414989</v>
      </c>
      <c r="C4146" s="14" t="str">
        <f>IFERROR(__xludf.DUMMYFUNCTION("""COMPUTED_VALUE"""),"黃緣羚")</f>
        <v>黃緣羚</v>
      </c>
      <c r="D4146" s="16" t="str">
        <f>IFERROR(__xludf.DUMMYFUNCTION("""COMPUTED_VALUE"""),"yge*****09@yges.ptc.edu.tw")</f>
        <v>yge*****09@yges.ptc.edu.tw</v>
      </c>
      <c r="E4146" s="17" t="str">
        <f>IFERROR(__xludf.DUMMYFUNCTION("""COMPUTED_VALUE"""),"屏東縣佳冬鄉玉光國民小學")</f>
        <v>屏東縣佳冬鄉玉光國民小學</v>
      </c>
      <c r="F4146" s="14" t="str">
        <f>IFERROR(__xludf.DUMMYFUNCTION("""COMPUTED_VALUE"""),"六年級")</f>
        <v>六年級</v>
      </c>
      <c r="G4146" s="14" t="str">
        <f>IFERROR(__xludf.DUMMYFUNCTION("""COMPUTED_VALUE"""),"獎狀")</f>
        <v>獎狀</v>
      </c>
      <c r="H4146" s="8"/>
    </row>
    <row r="4147">
      <c r="A4147" s="18"/>
      <c r="B4147" s="14">
        <f>IFERROR(__xludf.DUMMYFUNCTION("""COMPUTED_VALUE"""),414987.0)</f>
        <v>414987</v>
      </c>
      <c r="C4147" s="14" t="str">
        <f>IFERROR(__xludf.DUMMYFUNCTION("""COMPUTED_VALUE"""),"楊可衣")</f>
        <v>楊可衣</v>
      </c>
      <c r="D4147" s="16" t="str">
        <f>IFERROR(__xludf.DUMMYFUNCTION("""COMPUTED_VALUE"""),"yge*****07@yges.ptc.edu.tw")</f>
        <v>yge*****07@yges.ptc.edu.tw</v>
      </c>
      <c r="E4147" s="17" t="str">
        <f>IFERROR(__xludf.DUMMYFUNCTION("""COMPUTED_VALUE"""),"屏東縣佳冬鄉玉光國民小學")</f>
        <v>屏東縣佳冬鄉玉光國民小學</v>
      </c>
      <c r="F4147" s="14" t="str">
        <f>IFERROR(__xludf.DUMMYFUNCTION("""COMPUTED_VALUE"""),"六年級")</f>
        <v>六年級</v>
      </c>
      <c r="G4147" s="14" t="str">
        <f>IFERROR(__xludf.DUMMYFUNCTION("""COMPUTED_VALUE"""),"獎狀")</f>
        <v>獎狀</v>
      </c>
      <c r="H4147" s="8"/>
    </row>
    <row r="4148">
      <c r="A4148" s="18"/>
      <c r="B4148" s="14">
        <f>IFERROR(__xludf.DUMMYFUNCTION("""COMPUTED_VALUE"""),414990.0)</f>
        <v>414990</v>
      </c>
      <c r="C4148" s="14" t="str">
        <f>IFERROR(__xludf.DUMMYFUNCTION("""COMPUTED_VALUE"""),"潘雨荷")</f>
        <v>潘雨荷</v>
      </c>
      <c r="D4148" s="16" t="str">
        <f>IFERROR(__xludf.DUMMYFUNCTION("""COMPUTED_VALUE"""),"yge*****10@yges.ptc.edu.tw")</f>
        <v>yge*****10@yges.ptc.edu.tw</v>
      </c>
      <c r="E4148" s="17" t="str">
        <f>IFERROR(__xludf.DUMMYFUNCTION("""COMPUTED_VALUE"""),"屏東縣佳冬鄉玉光國民小學")</f>
        <v>屏東縣佳冬鄉玉光國民小學</v>
      </c>
      <c r="F4148" s="14" t="str">
        <f>IFERROR(__xludf.DUMMYFUNCTION("""COMPUTED_VALUE"""),"六年級")</f>
        <v>六年級</v>
      </c>
      <c r="G4148" s="14" t="str">
        <f>IFERROR(__xludf.DUMMYFUNCTION("""COMPUTED_VALUE"""),"獎狀")</f>
        <v>獎狀</v>
      </c>
      <c r="H4148" s="8"/>
    </row>
    <row r="4149">
      <c r="A4149" s="18"/>
      <c r="B4149" s="14">
        <f>IFERROR(__xludf.DUMMYFUNCTION("""COMPUTED_VALUE"""),415044.0)</f>
        <v>415044</v>
      </c>
      <c r="C4149" s="14" t="str">
        <f>IFERROR(__xludf.DUMMYFUNCTION("""COMPUTED_VALUE"""),"蕭翊芸")</f>
        <v>蕭翊芸</v>
      </c>
      <c r="D4149" s="16" t="str">
        <f>IFERROR(__xludf.DUMMYFUNCTION("""COMPUTED_VALUE"""),"yge*****11@yges.ptc.edu.tw")</f>
        <v>yge*****11@yges.ptc.edu.tw</v>
      </c>
      <c r="E4149" s="17" t="str">
        <f>IFERROR(__xludf.DUMMYFUNCTION("""COMPUTED_VALUE"""),"屏東縣佳冬鄉玉光國民小學")</f>
        <v>屏東縣佳冬鄉玉光國民小學</v>
      </c>
      <c r="F4149" s="14" t="str">
        <f>IFERROR(__xludf.DUMMYFUNCTION("""COMPUTED_VALUE"""),"六年級")</f>
        <v>六年級</v>
      </c>
      <c r="G4149" s="14" t="str">
        <f>IFERROR(__xludf.DUMMYFUNCTION("""COMPUTED_VALUE"""),"獎狀")</f>
        <v>獎狀</v>
      </c>
      <c r="H4149" s="8"/>
    </row>
    <row r="4150">
      <c r="A4150" s="18"/>
      <c r="B4150" s="14">
        <f>IFERROR(__xludf.DUMMYFUNCTION("""COMPUTED_VALUE"""),414986.0)</f>
        <v>414986</v>
      </c>
      <c r="C4150" s="14" t="str">
        <f>IFERROR(__xludf.DUMMYFUNCTION("""COMPUTED_VALUE"""),"鍾苡霈")</f>
        <v>鍾苡霈</v>
      </c>
      <c r="D4150" s="16" t="str">
        <f>IFERROR(__xludf.DUMMYFUNCTION("""COMPUTED_VALUE"""),"yge*****05@yges.ptc.edu.tw")</f>
        <v>yge*****05@yges.ptc.edu.tw</v>
      </c>
      <c r="E4150" s="17" t="str">
        <f>IFERROR(__xludf.DUMMYFUNCTION("""COMPUTED_VALUE"""),"屏東縣佳冬鄉玉光國民小學")</f>
        <v>屏東縣佳冬鄉玉光國民小學</v>
      </c>
      <c r="F4150" s="14" t="str">
        <f>IFERROR(__xludf.DUMMYFUNCTION("""COMPUTED_VALUE"""),"六年級")</f>
        <v>六年級</v>
      </c>
      <c r="G4150" s="14" t="str">
        <f>IFERROR(__xludf.DUMMYFUNCTION("""COMPUTED_VALUE"""),"獎狀")</f>
        <v>獎狀</v>
      </c>
      <c r="H4150" s="8"/>
    </row>
    <row r="4151">
      <c r="A4151" s="18"/>
      <c r="B4151" s="14">
        <f>IFERROR(__xludf.DUMMYFUNCTION("""COMPUTED_VALUE"""),888254.0)</f>
        <v>888254</v>
      </c>
      <c r="C4151" s="14" t="str">
        <f>IFERROR(__xludf.DUMMYFUNCTION("""COMPUTED_VALUE"""),"洪念竹")</f>
        <v>洪念竹</v>
      </c>
      <c r="D4151" s="16" t="str">
        <f>IFERROR(__xludf.DUMMYFUNCTION("""COMPUTED_VALUE"""),"bad*****080004@mail.edu.tw")</f>
        <v>bad*****080004@mail.edu.tw</v>
      </c>
      <c r="E4151" s="17" t="str">
        <f>IFERROR(__xludf.DUMMYFUNCTION("""COMPUTED_VALUE"""),"屏東縣佳冬鄉昌隆國民小學")</f>
        <v>屏東縣佳冬鄉昌隆國民小學</v>
      </c>
      <c r="F4151" s="14" t="str">
        <f>IFERROR(__xludf.DUMMYFUNCTION("""COMPUTED_VALUE"""),"四年級")</f>
        <v>四年級</v>
      </c>
      <c r="G4151" s="14" t="str">
        <f>IFERROR(__xludf.DUMMYFUNCTION("""COMPUTED_VALUE"""),"獎狀")</f>
        <v>獎狀</v>
      </c>
      <c r="H4151" s="8"/>
    </row>
    <row r="4152">
      <c r="A4152" s="18"/>
      <c r="B4152" s="14">
        <f>IFERROR(__xludf.DUMMYFUNCTION("""COMPUTED_VALUE"""),900010.0)</f>
        <v>900010</v>
      </c>
      <c r="C4152" s="14" t="str">
        <f>IFERROR(__xludf.DUMMYFUNCTION("""COMPUTED_VALUE"""),"曾怡儒")</f>
        <v>曾怡儒</v>
      </c>
      <c r="D4152" s="16" t="str">
        <f>IFERROR(__xludf.DUMMYFUNCTION("""COMPUTED_VALUE"""),"shi*****0007@mail.edu.tw")</f>
        <v>shi*****0007@mail.edu.tw</v>
      </c>
      <c r="E4152" s="17" t="str">
        <f>IFERROR(__xludf.DUMMYFUNCTION("""COMPUTED_VALUE"""),"屏東縣佳冬鄉昌隆國民小學")</f>
        <v>屏東縣佳冬鄉昌隆國民小學</v>
      </c>
      <c r="F4152" s="14" t="str">
        <f>IFERROR(__xludf.DUMMYFUNCTION("""COMPUTED_VALUE"""),"四年級")</f>
        <v>四年級</v>
      </c>
      <c r="G4152" s="14" t="str">
        <f>IFERROR(__xludf.DUMMYFUNCTION("""COMPUTED_VALUE"""),"獎狀")</f>
        <v>獎狀</v>
      </c>
      <c r="H4152" s="8"/>
    </row>
    <row r="4153">
      <c r="A4153" s="18"/>
      <c r="B4153" s="14">
        <f>IFERROR(__xludf.DUMMYFUNCTION("""COMPUTED_VALUE"""),900013.0)</f>
        <v>900013</v>
      </c>
      <c r="C4153" s="14" t="str">
        <f>IFERROR(__xludf.DUMMYFUNCTION("""COMPUTED_VALUE"""),"戴文恩")</f>
        <v>戴文恩</v>
      </c>
      <c r="D4153" s="16" t="str">
        <f>IFERROR(__xludf.DUMMYFUNCTION("""COMPUTED_VALUE"""),"fal*****080003@mail.edu.tw")</f>
        <v>fal*****080003@mail.edu.tw</v>
      </c>
      <c r="E4153" s="17" t="str">
        <f>IFERROR(__xludf.DUMMYFUNCTION("""COMPUTED_VALUE"""),"屏東縣佳冬鄉昌隆國民小學")</f>
        <v>屏東縣佳冬鄉昌隆國民小學</v>
      </c>
      <c r="F4153" s="14" t="str">
        <f>IFERROR(__xludf.DUMMYFUNCTION("""COMPUTED_VALUE"""),"四年級")</f>
        <v>四年級</v>
      </c>
      <c r="G4153" s="14" t="str">
        <f>IFERROR(__xludf.DUMMYFUNCTION("""COMPUTED_VALUE"""),"獎狀")</f>
        <v>獎狀</v>
      </c>
      <c r="H4153" s="8"/>
    </row>
    <row r="4154">
      <c r="A4154" s="18"/>
      <c r="B4154" s="14">
        <f>IFERROR(__xludf.DUMMYFUNCTION("""COMPUTED_VALUE"""),900011.0)</f>
        <v>900011</v>
      </c>
      <c r="C4154" s="14" t="str">
        <f>IFERROR(__xludf.DUMMYFUNCTION("""COMPUTED_VALUE"""),"戴辰羽")</f>
        <v>戴辰羽</v>
      </c>
      <c r="D4154" s="16" t="str">
        <f>IFERROR(__xludf.DUMMYFUNCTION("""COMPUTED_VALUE"""),"ptc*****882.ptc@mail.edu.tw")</f>
        <v>ptc*****882.ptc@mail.edu.tw</v>
      </c>
      <c r="E4154" s="17" t="str">
        <f>IFERROR(__xludf.DUMMYFUNCTION("""COMPUTED_VALUE"""),"屏東縣佳冬鄉昌隆國民小學")</f>
        <v>屏東縣佳冬鄉昌隆國民小學</v>
      </c>
      <c r="F4154" s="14" t="str">
        <f>IFERROR(__xludf.DUMMYFUNCTION("""COMPUTED_VALUE"""),"四年級")</f>
        <v>四年級</v>
      </c>
      <c r="G4154" s="14" t="str">
        <f>IFERROR(__xludf.DUMMYFUNCTION("""COMPUTED_VALUE"""),"獎狀")</f>
        <v>獎狀</v>
      </c>
      <c r="H4154" s="8"/>
    </row>
    <row r="4155">
      <c r="A4155" s="18"/>
      <c r="B4155" s="14">
        <f>IFERROR(__xludf.DUMMYFUNCTION("""COMPUTED_VALUE"""),900028.0)</f>
        <v>900028</v>
      </c>
      <c r="C4155" s="14" t="str">
        <f>IFERROR(__xludf.DUMMYFUNCTION("""COMPUTED_VALUE"""),"戴逸傑")</f>
        <v>戴逸傑</v>
      </c>
      <c r="D4155" s="16" t="str">
        <f>IFERROR(__xludf.DUMMYFUNCTION("""COMPUTED_VALUE"""),"sal*****080005@mail.edu.tw")</f>
        <v>sal*****080005@mail.edu.tw</v>
      </c>
      <c r="E4155" s="17" t="str">
        <f>IFERROR(__xludf.DUMMYFUNCTION("""COMPUTED_VALUE"""),"屏東縣佳冬鄉昌隆國民小學")</f>
        <v>屏東縣佳冬鄉昌隆國民小學</v>
      </c>
      <c r="F4155" s="14" t="str">
        <f>IFERROR(__xludf.DUMMYFUNCTION("""COMPUTED_VALUE"""),"四年級")</f>
        <v>四年級</v>
      </c>
      <c r="G4155" s="14" t="str">
        <f>IFERROR(__xludf.DUMMYFUNCTION("""COMPUTED_VALUE"""),"獎狀")</f>
        <v>獎狀</v>
      </c>
      <c r="H4155" s="8"/>
    </row>
    <row r="4156">
      <c r="A4156" s="18"/>
      <c r="B4156" s="14">
        <f>IFERROR(__xludf.DUMMYFUNCTION("""COMPUTED_VALUE"""),900015.0)</f>
        <v>900015</v>
      </c>
      <c r="C4156" s="14" t="str">
        <f>IFERROR(__xludf.DUMMYFUNCTION("""COMPUTED_VALUE"""),"鍾丞均")</f>
        <v>鍾丞均</v>
      </c>
      <c r="D4156" s="16" t="str">
        <f>IFERROR(__xludf.DUMMYFUNCTION("""COMPUTED_VALUE"""),"lor*****80002@mail.edu.tw")</f>
        <v>lor*****80002@mail.edu.tw</v>
      </c>
      <c r="E4156" s="17" t="str">
        <f>IFERROR(__xludf.DUMMYFUNCTION("""COMPUTED_VALUE"""),"屏東縣佳冬鄉昌隆國民小學")</f>
        <v>屏東縣佳冬鄉昌隆國民小學</v>
      </c>
      <c r="F4156" s="14" t="str">
        <f>IFERROR(__xludf.DUMMYFUNCTION("""COMPUTED_VALUE"""),"四年級")</f>
        <v>四年級</v>
      </c>
      <c r="G4156" s="14" t="str">
        <f>IFERROR(__xludf.DUMMYFUNCTION("""COMPUTED_VALUE"""),"獎狀")</f>
        <v>獎狀</v>
      </c>
      <c r="H4156" s="8"/>
    </row>
    <row r="4157">
      <c r="A4157" s="18"/>
      <c r="B4157" s="14">
        <f>IFERROR(__xludf.DUMMYFUNCTION("""COMPUTED_VALUE"""),900012.0)</f>
        <v>900012</v>
      </c>
      <c r="C4157" s="14" t="str">
        <f>IFERROR(__xludf.DUMMYFUNCTION("""COMPUTED_VALUE"""),"羅翊銘")</f>
        <v>羅翊銘</v>
      </c>
      <c r="D4157" s="16" t="str">
        <f>IFERROR(__xludf.DUMMYFUNCTION("""COMPUTED_VALUE"""),"mel*****80001@mail.edu.tw")</f>
        <v>mel*****80001@mail.edu.tw</v>
      </c>
      <c r="E4157" s="17" t="str">
        <f>IFERROR(__xludf.DUMMYFUNCTION("""COMPUTED_VALUE"""),"屏東縣佳冬鄉昌隆國民小學")</f>
        <v>屏東縣佳冬鄉昌隆國民小學</v>
      </c>
      <c r="F4157" s="14" t="str">
        <f>IFERROR(__xludf.DUMMYFUNCTION("""COMPUTED_VALUE"""),"四年級")</f>
        <v>四年級</v>
      </c>
      <c r="G4157" s="14" t="str">
        <f>IFERROR(__xludf.DUMMYFUNCTION("""COMPUTED_VALUE"""),"獎狀")</f>
        <v>獎狀</v>
      </c>
      <c r="H4157" s="8"/>
    </row>
    <row r="4158">
      <c r="A4158" s="18"/>
      <c r="B4158" s="14">
        <f>IFERROR(__xludf.DUMMYFUNCTION("""COMPUTED_VALUE"""),818720.0)</f>
        <v>818720</v>
      </c>
      <c r="C4158" s="14" t="str">
        <f>IFERROR(__xludf.DUMMYFUNCTION("""COMPUTED_VALUE"""),"賴裕澄")</f>
        <v>賴裕澄</v>
      </c>
      <c r="D4158" s="16" t="str">
        <f>IFERROR(__xludf.DUMMYFUNCTION("""COMPUTED_VALUE"""),"die*****0702@mail.edu.tw")</f>
        <v>die*****0702@mail.edu.tw</v>
      </c>
      <c r="E4158" s="17" t="str">
        <f>IFERROR(__xludf.DUMMYFUNCTION("""COMPUTED_VALUE"""),"屏東縣佳冬鄉昌隆國民小學")</f>
        <v>屏東縣佳冬鄉昌隆國民小學</v>
      </c>
      <c r="F4158" s="14" t="str">
        <f>IFERROR(__xludf.DUMMYFUNCTION("""COMPUTED_VALUE"""),"五年級")</f>
        <v>五年級</v>
      </c>
      <c r="G4158" s="14" t="str">
        <f>IFERROR(__xludf.DUMMYFUNCTION("""COMPUTED_VALUE"""),"●小禮物")</f>
        <v>●小禮物</v>
      </c>
      <c r="H4158" s="8"/>
    </row>
    <row r="4159">
      <c r="A4159" s="18"/>
      <c r="B4159" s="14">
        <f>IFERROR(__xludf.DUMMYFUNCTION("""COMPUTED_VALUE"""),958619.0)</f>
        <v>958619</v>
      </c>
      <c r="C4159" s="14" t="str">
        <f>IFERROR(__xludf.DUMMYFUNCTION("""COMPUTED_VALUE"""),"李浩銓")</f>
        <v>李浩銓</v>
      </c>
      <c r="D4159" s="16" t="str">
        <f>IFERROR(__xludf.DUMMYFUNCTION("""COMPUTED_VALUE"""),"man*****704@mail.edu.tw")</f>
        <v>man*****704@mail.edu.tw</v>
      </c>
      <c r="E4159" s="17" t="str">
        <f>IFERROR(__xludf.DUMMYFUNCTION("""COMPUTED_VALUE"""),"屏東縣佳冬鄉昌隆國民小學")</f>
        <v>屏東縣佳冬鄉昌隆國民小學</v>
      </c>
      <c r="F4159" s="14" t="str">
        <f>IFERROR(__xludf.DUMMYFUNCTION("""COMPUTED_VALUE"""),"五年級")</f>
        <v>五年級</v>
      </c>
      <c r="G4159" s="14" t="str">
        <f>IFERROR(__xludf.DUMMYFUNCTION("""COMPUTED_VALUE"""),"●小禮物")</f>
        <v>●小禮物</v>
      </c>
      <c r="H4159" s="8"/>
    </row>
    <row r="4160">
      <c r="A4160" s="18"/>
      <c r="B4160" s="14">
        <f>IFERROR(__xludf.DUMMYFUNCTION("""COMPUTED_VALUE"""),595822.0)</f>
        <v>595822</v>
      </c>
      <c r="C4160" s="14" t="str">
        <f>IFERROR(__xludf.DUMMYFUNCTION("""COMPUTED_VALUE"""),"楊宗勳")</f>
        <v>楊宗勳</v>
      </c>
      <c r="D4160" s="16" t="str">
        <f>IFERROR(__xludf.DUMMYFUNCTION("""COMPUTED_VALUE"""),"ret*****0610@mail.edu.tw")</f>
        <v>ret*****0610@mail.edu.tw</v>
      </c>
      <c r="E4160" s="17" t="str">
        <f>IFERROR(__xludf.DUMMYFUNCTION("""COMPUTED_VALUE"""),"屏東縣佳冬鄉昌隆國民小學")</f>
        <v>屏東縣佳冬鄉昌隆國民小學</v>
      </c>
      <c r="F4160" s="14" t="str">
        <f>IFERROR(__xludf.DUMMYFUNCTION("""COMPUTED_VALUE"""),"六年級")</f>
        <v>六年級</v>
      </c>
      <c r="G4160" s="14" t="str">
        <f>IFERROR(__xludf.DUMMYFUNCTION("""COMPUTED_VALUE"""),"●小禮物")</f>
        <v>●小禮物</v>
      </c>
      <c r="H4160" s="8"/>
    </row>
    <row r="4161">
      <c r="A4161" s="18"/>
      <c r="B4161" s="14">
        <f>IFERROR(__xludf.DUMMYFUNCTION("""COMPUTED_VALUE"""),595821.0)</f>
        <v>595821</v>
      </c>
      <c r="C4161" s="14" t="str">
        <f>IFERROR(__xludf.DUMMYFUNCTION("""COMPUTED_VALUE"""),"戴子嫻")</f>
        <v>戴子嫻</v>
      </c>
      <c r="D4161" s="16" t="str">
        <f>IFERROR(__xludf.DUMMYFUNCTION("""COMPUTED_VALUE"""),"coy*****0607@mail.edu.tw")</f>
        <v>coy*****0607@mail.edu.tw</v>
      </c>
      <c r="E4161" s="17" t="str">
        <f>IFERROR(__xludf.DUMMYFUNCTION("""COMPUTED_VALUE"""),"屏東縣佳冬鄉昌隆國民小學")</f>
        <v>屏東縣佳冬鄉昌隆國民小學</v>
      </c>
      <c r="F4161" s="14" t="str">
        <f>IFERROR(__xludf.DUMMYFUNCTION("""COMPUTED_VALUE"""),"六年級")</f>
        <v>六年級</v>
      </c>
      <c r="G4161" s="14" t="str">
        <f>IFERROR(__xludf.DUMMYFUNCTION("""COMPUTED_VALUE"""),"●小禮物")</f>
        <v>●小禮物</v>
      </c>
      <c r="H4161" s="8"/>
    </row>
    <row r="4162">
      <c r="A4162" s="18"/>
      <c r="B4162" s="14">
        <f>IFERROR(__xludf.DUMMYFUNCTION("""COMPUTED_VALUE"""),646693.0)</f>
        <v>646693</v>
      </c>
      <c r="C4162" s="14" t="str">
        <f>IFERROR(__xludf.DUMMYFUNCTION("""COMPUTED_VALUE"""),"余南賢")</f>
        <v>余南賢</v>
      </c>
      <c r="D4162" s="16" t="str">
        <f>IFERROR(__xludf.DUMMYFUNCTION("""COMPUTED_VALUE"""),"nic*****2@mail.edu.tw")</f>
        <v>nic*****2@mail.edu.tw</v>
      </c>
      <c r="E4162" s="17" t="str">
        <f>IFERROR(__xludf.DUMMYFUNCTION("""COMPUTED_VALUE"""),"屏東縣佳冬鄉昌隆國民小學")</f>
        <v>屏東縣佳冬鄉昌隆國民小學</v>
      </c>
      <c r="F4162" s="14" t="str">
        <f>IFERROR(__xludf.DUMMYFUNCTION("""COMPUTED_VALUE"""),"六年級")</f>
        <v>六年級</v>
      </c>
      <c r="G4162" s="14" t="str">
        <f>IFERROR(__xludf.DUMMYFUNCTION("""COMPUTED_VALUE"""),"獎狀")</f>
        <v>獎狀</v>
      </c>
      <c r="H4162" s="8"/>
    </row>
    <row r="4163">
      <c r="A4163" s="18"/>
      <c r="B4163" s="14">
        <f>IFERROR(__xludf.DUMMYFUNCTION("""COMPUTED_VALUE"""),595820.0)</f>
        <v>595820</v>
      </c>
      <c r="C4163" s="14" t="str">
        <f>IFERROR(__xludf.DUMMYFUNCTION("""COMPUTED_VALUE"""),"李海棠")</f>
        <v>李海棠</v>
      </c>
      <c r="D4163" s="16" t="str">
        <f>IFERROR(__xludf.DUMMYFUNCTION("""COMPUTED_VALUE"""),"dan*****606@mail.edu.tw")</f>
        <v>dan*****606@mail.edu.tw</v>
      </c>
      <c r="E4163" s="17" t="str">
        <f>IFERROR(__xludf.DUMMYFUNCTION("""COMPUTED_VALUE"""),"屏東縣佳冬鄉昌隆國民小學")</f>
        <v>屏東縣佳冬鄉昌隆國民小學</v>
      </c>
      <c r="F4163" s="14" t="str">
        <f>IFERROR(__xludf.DUMMYFUNCTION("""COMPUTED_VALUE"""),"六年級")</f>
        <v>六年級</v>
      </c>
      <c r="G4163" s="14" t="str">
        <f>IFERROR(__xludf.DUMMYFUNCTION("""COMPUTED_VALUE"""),"獎狀")</f>
        <v>獎狀</v>
      </c>
      <c r="H4163" s="8"/>
    </row>
    <row r="4164">
      <c r="A4164" s="18"/>
      <c r="B4164" s="14">
        <f>IFERROR(__xludf.DUMMYFUNCTION("""COMPUTED_VALUE"""),595825.0)</f>
        <v>595825</v>
      </c>
      <c r="C4164" s="14" t="str">
        <f>IFERROR(__xludf.DUMMYFUNCTION("""COMPUTED_VALUE"""),"孫瑞妘")</f>
        <v>孫瑞妘</v>
      </c>
      <c r="D4164" s="16" t="str">
        <f>IFERROR(__xludf.DUMMYFUNCTION("""COMPUTED_VALUE"""),"rit*****09@mail.edu.tw")</f>
        <v>rit*****09@mail.edu.tw</v>
      </c>
      <c r="E4164" s="17" t="str">
        <f>IFERROR(__xludf.DUMMYFUNCTION("""COMPUTED_VALUE"""),"屏東縣佳冬鄉昌隆國民小學")</f>
        <v>屏東縣佳冬鄉昌隆國民小學</v>
      </c>
      <c r="F4164" s="14" t="str">
        <f>IFERROR(__xludf.DUMMYFUNCTION("""COMPUTED_VALUE"""),"六年級")</f>
        <v>六年級</v>
      </c>
      <c r="G4164" s="14" t="str">
        <f>IFERROR(__xludf.DUMMYFUNCTION("""COMPUTED_VALUE"""),"獎狀")</f>
        <v>獎狀</v>
      </c>
      <c r="H4164" s="8"/>
    </row>
    <row r="4165">
      <c r="A4165" s="18"/>
      <c r="B4165" s="14">
        <f>IFERROR(__xludf.DUMMYFUNCTION("""COMPUTED_VALUE"""),595819.0)</f>
        <v>595819</v>
      </c>
      <c r="C4165" s="14" t="str">
        <f>IFERROR(__xludf.DUMMYFUNCTION("""COMPUTED_VALUE"""),"戴文芯")</f>
        <v>戴文芯</v>
      </c>
      <c r="D4165" s="16" t="str">
        <f>IFERROR(__xludf.DUMMYFUNCTION("""COMPUTED_VALUE"""),"ret*****0608@mail.edu.tw")</f>
        <v>ret*****0608@mail.edu.tw</v>
      </c>
      <c r="E4165" s="17" t="str">
        <f>IFERROR(__xludf.DUMMYFUNCTION("""COMPUTED_VALUE"""),"屏東縣佳冬鄉昌隆國民小學")</f>
        <v>屏東縣佳冬鄉昌隆國民小學</v>
      </c>
      <c r="F4165" s="14" t="str">
        <f>IFERROR(__xludf.DUMMYFUNCTION("""COMPUTED_VALUE"""),"六年級")</f>
        <v>六年級</v>
      </c>
      <c r="G4165" s="14" t="str">
        <f>IFERROR(__xludf.DUMMYFUNCTION("""COMPUTED_VALUE"""),"獎狀")</f>
        <v>獎狀</v>
      </c>
      <c r="H4165" s="8"/>
    </row>
    <row r="4166">
      <c r="A4166" s="18"/>
      <c r="B4166" s="14">
        <f>IFERROR(__xludf.DUMMYFUNCTION("""COMPUTED_VALUE"""),595823.0)</f>
        <v>595823</v>
      </c>
      <c r="C4166" s="14" t="str">
        <f>IFERROR(__xludf.DUMMYFUNCTION("""COMPUTED_VALUE"""),"戴家安")</f>
        <v>戴家安</v>
      </c>
      <c r="D4166" s="16" t="str">
        <f>IFERROR(__xludf.DUMMYFUNCTION("""COMPUTED_VALUE"""),"shi*****03@mail.edu.tw")</f>
        <v>shi*****03@mail.edu.tw</v>
      </c>
      <c r="E4166" s="17" t="str">
        <f>IFERROR(__xludf.DUMMYFUNCTION("""COMPUTED_VALUE"""),"屏東縣佳冬鄉昌隆國民小學")</f>
        <v>屏東縣佳冬鄉昌隆國民小學</v>
      </c>
      <c r="F4166" s="14" t="str">
        <f>IFERROR(__xludf.DUMMYFUNCTION("""COMPUTED_VALUE"""),"六年級")</f>
        <v>六年級</v>
      </c>
      <c r="G4166" s="14" t="str">
        <f>IFERROR(__xludf.DUMMYFUNCTION("""COMPUTED_VALUE"""),"獎狀")</f>
        <v>獎狀</v>
      </c>
      <c r="H4166" s="8"/>
    </row>
    <row r="4167">
      <c r="A4167" s="18"/>
      <c r="B4167" s="14">
        <f>IFERROR(__xludf.DUMMYFUNCTION("""COMPUTED_VALUE"""),961662.0)</f>
        <v>961662</v>
      </c>
      <c r="C4167" s="14" t="str">
        <f>IFERROR(__xludf.DUMMYFUNCTION("""COMPUTED_VALUE"""),"蘇安昑")</f>
        <v>蘇安昑</v>
      </c>
      <c r="D4167" s="16" t="str">
        <f>IFERROR(__xludf.DUMMYFUNCTION("""COMPUTED_VALUE"""),"jdp*****23@mail.edu.tw")</f>
        <v>jdp*****23@mail.edu.tw</v>
      </c>
      <c r="E4167" s="17" t="str">
        <f>IFERROR(__xludf.DUMMYFUNCTION("""COMPUTED_VALUE"""),"屏東縣佳冬鄉佳冬國民小學")</f>
        <v>屏東縣佳冬鄉佳冬國民小學</v>
      </c>
      <c r="F4167" s="14" t="str">
        <f>IFERROR(__xludf.DUMMYFUNCTION("""COMPUTED_VALUE"""),"六年級")</f>
        <v>六年級</v>
      </c>
      <c r="G4167" s="14" t="str">
        <f>IFERROR(__xludf.DUMMYFUNCTION("""COMPUTED_VALUE"""),"●小禮物")</f>
        <v>●小禮物</v>
      </c>
      <c r="H4167" s="8"/>
    </row>
    <row r="4168">
      <c r="A4168" s="18"/>
      <c r="B4168" s="14">
        <f>IFERROR(__xludf.DUMMYFUNCTION("""COMPUTED_VALUE"""),1123358.0)</f>
        <v>1123358</v>
      </c>
      <c r="C4168" s="14" t="str">
        <f>IFERROR(__xludf.DUMMYFUNCTION("""COMPUTED_VALUE"""),"陳品妤")</f>
        <v>陳品妤</v>
      </c>
      <c r="D4168" s="16" t="str">
        <f>IFERROR(__xludf.DUMMYFUNCTION("""COMPUTED_VALUE"""),"a09*****533@gmail.com")</f>
        <v>a09*****533@gmail.com</v>
      </c>
      <c r="E4168" s="17" t="str">
        <f>IFERROR(__xludf.DUMMYFUNCTION("""COMPUTED_VALUE"""),"屏東縣新園鄉新園國民小學")</f>
        <v>屏東縣新園鄉新園國民小學</v>
      </c>
      <c r="F4168" s="14" t="str">
        <f>IFERROR(__xludf.DUMMYFUNCTION("""COMPUTED_VALUE"""),"三年級")</f>
        <v>三年級</v>
      </c>
      <c r="G4168" s="14" t="str">
        <f>IFERROR(__xludf.DUMMYFUNCTION("""COMPUTED_VALUE"""),"獎狀")</f>
        <v>獎狀</v>
      </c>
      <c r="H4168" s="8"/>
    </row>
    <row r="4169">
      <c r="A4169" s="18"/>
      <c r="B4169" s="14">
        <f>IFERROR(__xludf.DUMMYFUNCTION("""COMPUTED_VALUE"""),359097.0)</f>
        <v>359097</v>
      </c>
      <c r="C4169" s="14" t="str">
        <f>IFERROR(__xludf.DUMMYFUNCTION("""COMPUTED_VALUE"""),"陳品妍")</f>
        <v>陳品妍</v>
      </c>
      <c r="D4169" s="16" t="str">
        <f>IFERROR(__xludf.DUMMYFUNCTION("""COMPUTED_VALUE"""),"gra*****636@mail.edu.tw")</f>
        <v>gra*****636@mail.edu.tw</v>
      </c>
      <c r="E4169" s="17" t="str">
        <f>IFERROR(__xludf.DUMMYFUNCTION("""COMPUTED_VALUE"""),"屏東縣新園鄉新園國民小學")</f>
        <v>屏東縣新園鄉新園國民小學</v>
      </c>
      <c r="F4169" s="14" t="str">
        <f>IFERROR(__xludf.DUMMYFUNCTION("""COMPUTED_VALUE"""),"六年級")</f>
        <v>六年級</v>
      </c>
      <c r="G4169" s="14" t="str">
        <f>IFERROR(__xludf.DUMMYFUNCTION("""COMPUTED_VALUE"""),"●小禮物")</f>
        <v>●小禮物</v>
      </c>
      <c r="H4169" s="8"/>
    </row>
    <row r="4170">
      <c r="A4170" s="18"/>
      <c r="B4170" s="14">
        <f>IFERROR(__xludf.DUMMYFUNCTION("""COMPUTED_VALUE"""),1180597.0)</f>
        <v>1180597</v>
      </c>
      <c r="C4170" s="14" t="str">
        <f>IFERROR(__xludf.DUMMYFUNCTION("""COMPUTED_VALUE"""),"謝芷淇")</f>
        <v>謝芷淇</v>
      </c>
      <c r="D4170" s="16" t="str">
        <f>IFERROR(__xludf.DUMMYFUNCTION("""COMPUTED_VALUE"""),"106*****es.ptc.edu.tw")</f>
        <v>106*****es.ptc.edu.tw</v>
      </c>
      <c r="E4170" s="17" t="str">
        <f>IFERROR(__xludf.DUMMYFUNCTION("""COMPUTED_VALUE"""),"屏東縣獅子鄉內獅國民小學")</f>
        <v>屏東縣獅子鄉內獅國民小學</v>
      </c>
      <c r="F4170" s="14" t="str">
        <f>IFERROR(__xludf.DUMMYFUNCTION("""COMPUTED_VALUE"""),"六年級")</f>
        <v>六年級</v>
      </c>
      <c r="G4170" s="14" t="str">
        <f>IFERROR(__xludf.DUMMYFUNCTION("""COMPUTED_VALUE"""),"●小禮物")</f>
        <v>●小禮物</v>
      </c>
      <c r="H4170" s="8"/>
    </row>
    <row r="4171">
      <c r="A4171" s="18"/>
      <c r="B4171" s="14">
        <f>IFERROR(__xludf.DUMMYFUNCTION("""COMPUTED_VALUE"""),294292.0)</f>
        <v>294292</v>
      </c>
      <c r="C4171" s="14" t="str">
        <f>IFERROR(__xludf.DUMMYFUNCTION("""COMPUTED_VALUE"""),"陳馨")</f>
        <v>陳馨</v>
      </c>
      <c r="D4171" s="16" t="str">
        <f>IFERROR(__xludf.DUMMYFUNCTION("""COMPUTED_VALUE"""),"106*****es.ptc.edu.tw")</f>
        <v>106*****es.ptc.edu.tw</v>
      </c>
      <c r="E4171" s="17" t="str">
        <f>IFERROR(__xludf.DUMMYFUNCTION("""COMPUTED_VALUE"""),"屏東縣獅子鄉內獅國民小學")</f>
        <v>屏東縣獅子鄉內獅國民小學</v>
      </c>
      <c r="F4171" s="14" t="str">
        <f>IFERROR(__xludf.DUMMYFUNCTION("""COMPUTED_VALUE"""),"六年級")</f>
        <v>六年級</v>
      </c>
      <c r="G4171" s="14" t="str">
        <f>IFERROR(__xludf.DUMMYFUNCTION("""COMPUTED_VALUE"""),"獎狀")</f>
        <v>獎狀</v>
      </c>
      <c r="H4171" s="8"/>
    </row>
    <row r="4172">
      <c r="A4172" s="18"/>
      <c r="B4172" s="14">
        <f>IFERROR(__xludf.DUMMYFUNCTION("""COMPUTED_VALUE"""),294291.0)</f>
        <v>294291</v>
      </c>
      <c r="C4172" s="14" t="str">
        <f>IFERROR(__xludf.DUMMYFUNCTION("""COMPUTED_VALUE"""),"賴妍芯")</f>
        <v>賴妍芯</v>
      </c>
      <c r="D4172" s="16" t="str">
        <f>IFERROR(__xludf.DUMMYFUNCTION("""COMPUTED_VALUE"""),"106*****es.ptc.edu.tw")</f>
        <v>106*****es.ptc.edu.tw</v>
      </c>
      <c r="E4172" s="17" t="str">
        <f>IFERROR(__xludf.DUMMYFUNCTION("""COMPUTED_VALUE"""),"屏東縣獅子鄉內獅國民小學")</f>
        <v>屏東縣獅子鄉內獅國民小學</v>
      </c>
      <c r="F4172" s="14" t="str">
        <f>IFERROR(__xludf.DUMMYFUNCTION("""COMPUTED_VALUE"""),"六年級")</f>
        <v>六年級</v>
      </c>
      <c r="G4172" s="14" t="str">
        <f>IFERROR(__xludf.DUMMYFUNCTION("""COMPUTED_VALUE"""),"獎狀")</f>
        <v>獎狀</v>
      </c>
      <c r="H4172" s="8"/>
    </row>
    <row r="4173">
      <c r="A4173" s="18"/>
      <c r="B4173" s="14">
        <f>IFERROR(__xludf.DUMMYFUNCTION("""COMPUTED_VALUE"""),1205090.0)</f>
        <v>1205090</v>
      </c>
      <c r="C4173" s="14" t="str">
        <f>IFERROR(__xludf.DUMMYFUNCTION("""COMPUTED_VALUE"""),"吳娜緁")</f>
        <v>吳娜緁</v>
      </c>
      <c r="D4173" s="16" t="str">
        <f>IFERROR(__xludf.DUMMYFUNCTION("""COMPUTED_VALUE"""),"xs0*****tu.ttct.edu.tw")</f>
        <v>xs0*****tu.ttct.edu.tw</v>
      </c>
      <c r="E4173" s="17" t="str">
        <f>IFERROR(__xludf.DUMMYFUNCTION("""COMPUTED_VALUE"""),"臺東縣臺東市新生國民小學")</f>
        <v>臺東縣臺東市新生國民小學</v>
      </c>
      <c r="F4173" s="14" t="str">
        <f>IFERROR(__xludf.DUMMYFUNCTION("""COMPUTED_VALUE"""),"五年級")</f>
        <v>五年級</v>
      </c>
      <c r="G4173" s="14" t="str">
        <f>IFERROR(__xludf.DUMMYFUNCTION("""COMPUTED_VALUE"""),"獎狀")</f>
        <v>獎狀</v>
      </c>
      <c r="H4173" s="8"/>
    </row>
    <row r="4174">
      <c r="A4174" s="18"/>
      <c r="B4174" s="14">
        <f>IFERROR(__xludf.DUMMYFUNCTION("""COMPUTED_VALUE"""),517860.0)</f>
        <v>517860</v>
      </c>
      <c r="C4174" s="14" t="str">
        <f>IFERROR(__xludf.DUMMYFUNCTION("""COMPUTED_VALUE"""),"丁友軒")</f>
        <v>丁友軒</v>
      </c>
      <c r="D4174" s="16" t="str">
        <f>IFERROR(__xludf.DUMMYFUNCTION("""COMPUTED_VALUE"""),"djc*****yahoo.com.tw")</f>
        <v>djc*****yahoo.com.tw</v>
      </c>
      <c r="E4174" s="17" t="str">
        <f>IFERROR(__xludf.DUMMYFUNCTION("""COMPUTED_VALUE"""),"臺東縣臺東市東海國民小學")</f>
        <v>臺東縣臺東市東海國民小學</v>
      </c>
      <c r="F4174" s="14" t="str">
        <f>IFERROR(__xludf.DUMMYFUNCTION("""COMPUTED_VALUE"""),"五年級")</f>
        <v>五年級</v>
      </c>
      <c r="G4174" s="14" t="str">
        <f>IFERROR(__xludf.DUMMYFUNCTION("""COMPUTED_VALUE"""),"獎狀")</f>
        <v>獎狀</v>
      </c>
      <c r="H4174" s="8"/>
    </row>
    <row r="4175">
      <c r="A4175" s="18"/>
      <c r="B4175" s="14">
        <f>IFERROR(__xludf.DUMMYFUNCTION("""COMPUTED_VALUE"""),420026.0)</f>
        <v>420026</v>
      </c>
      <c r="C4175" s="14" t="str">
        <f>IFERROR(__xludf.DUMMYFUNCTION("""COMPUTED_VALUE"""),"高毓晨")</f>
        <v>高毓晨</v>
      </c>
      <c r="D4175" s="16" t="str">
        <f>IFERROR(__xludf.DUMMYFUNCTION("""COMPUTED_VALUE"""),"106*****hips.ttct.edu.tw")</f>
        <v>106*****hips.ttct.edu.tw</v>
      </c>
      <c r="E4175" s="17" t="str">
        <f>IFERROR(__xludf.DUMMYFUNCTION("""COMPUTED_VALUE"""),"臺東縣臺東市東海國民小學")</f>
        <v>臺東縣臺東市東海國民小學</v>
      </c>
      <c r="F4175" s="14" t="str">
        <f>IFERROR(__xludf.DUMMYFUNCTION("""COMPUTED_VALUE"""),"六年級")</f>
        <v>六年級</v>
      </c>
      <c r="G4175" s="14" t="str">
        <f>IFERROR(__xludf.DUMMYFUNCTION("""COMPUTED_VALUE"""),"獎狀")</f>
        <v>獎狀</v>
      </c>
      <c r="H4175" s="8"/>
    </row>
    <row r="4176">
      <c r="A4176" s="18"/>
      <c r="B4176" s="14">
        <f>IFERROR(__xludf.DUMMYFUNCTION("""COMPUTED_VALUE"""),721043.0)</f>
        <v>721043</v>
      </c>
      <c r="C4176" s="14" t="str">
        <f>IFERROR(__xludf.DUMMYFUNCTION("""COMPUTED_VALUE"""),"林治亨")</f>
        <v>林治亨</v>
      </c>
      <c r="D4176" s="16" t="str">
        <f>IFERROR(__xludf.DUMMYFUNCTION("""COMPUTED_VALUE"""),"le0*****ct@mail.edu.tw")</f>
        <v>le0*****ct@mail.edu.tw</v>
      </c>
      <c r="E4176" s="17" t="str">
        <f>IFERROR(__xludf.DUMMYFUNCTION("""COMPUTED_VALUE"""),"臺東縣綠島鄉綠島國民小學")</f>
        <v>臺東縣綠島鄉綠島國民小學</v>
      </c>
      <c r="F4176" s="14" t="str">
        <f>IFERROR(__xludf.DUMMYFUNCTION("""COMPUTED_VALUE"""),"五年級")</f>
        <v>五年級</v>
      </c>
      <c r="G4176" s="14" t="str">
        <f>IFERROR(__xludf.DUMMYFUNCTION("""COMPUTED_VALUE"""),"★禮券$200")</f>
        <v>★禮券$200</v>
      </c>
      <c r="H4176" s="8"/>
    </row>
    <row r="4177">
      <c r="A4177" s="18"/>
      <c r="B4177" s="14">
        <f>IFERROR(__xludf.DUMMYFUNCTION("""COMPUTED_VALUE"""),615338.0)</f>
        <v>615338</v>
      </c>
      <c r="C4177" s="14" t="str">
        <f>IFERROR(__xludf.DUMMYFUNCTION("""COMPUTED_VALUE"""),"鄭悅伶")</f>
        <v>鄭悅伶</v>
      </c>
      <c r="D4177" s="16" t="str">
        <f>IFERROR(__xludf.DUMMYFUNCTION("""COMPUTED_VALUE"""),"le0*****ct@mail.edu.tw")</f>
        <v>le0*****ct@mail.edu.tw</v>
      </c>
      <c r="E4177" s="17" t="str">
        <f>IFERROR(__xludf.DUMMYFUNCTION("""COMPUTED_VALUE"""),"臺東縣綠島鄉綠島國民小學")</f>
        <v>臺東縣綠島鄉綠島國民小學</v>
      </c>
      <c r="F4177" s="14" t="str">
        <f>IFERROR(__xludf.DUMMYFUNCTION("""COMPUTED_VALUE"""),"五年級")</f>
        <v>五年級</v>
      </c>
      <c r="G4177" s="14" t="str">
        <f>IFERROR(__xludf.DUMMYFUNCTION("""COMPUTED_VALUE"""),"獎狀")</f>
        <v>獎狀</v>
      </c>
      <c r="H4177" s="8"/>
    </row>
    <row r="4178">
      <c r="A4178" s="18"/>
      <c r="B4178" s="14">
        <f>IFERROR(__xludf.DUMMYFUNCTION("""COMPUTED_VALUE"""),1086027.0)</f>
        <v>1086027</v>
      </c>
      <c r="C4178" s="14" t="str">
        <f>IFERROR(__xludf.DUMMYFUNCTION("""COMPUTED_VALUE"""),"蘇暐瀚")</f>
        <v>蘇暐瀚</v>
      </c>
      <c r="D4178" s="16" t="str">
        <f>IFERROR(__xludf.DUMMYFUNCTION("""COMPUTED_VALUE"""),"ggp*****0@mail.edu.tw")</f>
        <v>ggp*****0@mail.edu.tw</v>
      </c>
      <c r="E4178" s="17" t="str">
        <f>IFERROR(__xludf.DUMMYFUNCTION("""COMPUTED_VALUE"""),"臺東縣綠島鄉綠島國民小學")</f>
        <v>臺東縣綠島鄉綠島國民小學</v>
      </c>
      <c r="F4178" s="14" t="str">
        <f>IFERROR(__xludf.DUMMYFUNCTION("""COMPUTED_VALUE"""),"五年級")</f>
        <v>五年級</v>
      </c>
      <c r="G4178" s="14" t="str">
        <f>IFERROR(__xludf.DUMMYFUNCTION("""COMPUTED_VALUE"""),"獎狀")</f>
        <v>獎狀</v>
      </c>
      <c r="H4178" s="8"/>
    </row>
    <row r="4179">
      <c r="A4179" s="18"/>
      <c r="B4179" s="14">
        <f>IFERROR(__xludf.DUMMYFUNCTION("""COMPUTED_VALUE"""),702875.0)</f>
        <v>702875</v>
      </c>
      <c r="C4179" s="14" t="str">
        <f>IFERROR(__xludf.DUMMYFUNCTION("""COMPUTED_VALUE"""),"蘇濬承")</f>
        <v>蘇濬承</v>
      </c>
      <c r="D4179" s="16" t="str">
        <f>IFERROR(__xludf.DUMMYFUNCTION("""COMPUTED_VALUE"""),"le0*****ct@mail.edu.tw")</f>
        <v>le0*****ct@mail.edu.tw</v>
      </c>
      <c r="E4179" s="17" t="str">
        <f>IFERROR(__xludf.DUMMYFUNCTION("""COMPUTED_VALUE"""),"臺東縣綠島鄉綠島國民小學")</f>
        <v>臺東縣綠島鄉綠島國民小學</v>
      </c>
      <c r="F4179" s="14" t="str">
        <f>IFERROR(__xludf.DUMMYFUNCTION("""COMPUTED_VALUE"""),"五年級")</f>
        <v>五年級</v>
      </c>
      <c r="G4179" s="14" t="str">
        <f>IFERROR(__xludf.DUMMYFUNCTION("""COMPUTED_VALUE"""),"獎狀")</f>
        <v>獎狀</v>
      </c>
      <c r="H4179" s="8"/>
    </row>
    <row r="4180">
      <c r="A4180" s="18"/>
      <c r="B4180" s="14">
        <f>IFERROR(__xludf.DUMMYFUNCTION("""COMPUTED_VALUE"""),1163201.0)</f>
        <v>1163201</v>
      </c>
      <c r="C4180" s="14" t="str">
        <f>IFERROR(__xludf.DUMMYFUNCTION("""COMPUTED_VALUE"""),"徐亞萱")</f>
        <v>徐亞萱</v>
      </c>
      <c r="D4180" s="16" t="str">
        <f>IFERROR(__xludf.DUMMYFUNCTION("""COMPUTED_VALUE"""),"s11*****mail.edu.tw")</f>
        <v>s11*****mail.edu.tw</v>
      </c>
      <c r="E4180" s="17" t="str">
        <f>IFERROR(__xludf.DUMMYFUNCTION("""COMPUTED_VALUE"""),"臺東縣綠島鄉綠島國民小學")</f>
        <v>臺東縣綠島鄉綠島國民小學</v>
      </c>
      <c r="F4180" s="14" t="str">
        <f>IFERROR(__xludf.DUMMYFUNCTION("""COMPUTED_VALUE"""),"六年級")</f>
        <v>六年級</v>
      </c>
      <c r="G4180" s="14" t="str">
        <f>IFERROR(__xludf.DUMMYFUNCTION("""COMPUTED_VALUE"""),"●小禮物")</f>
        <v>●小禮物</v>
      </c>
      <c r="H4180" s="8"/>
    </row>
    <row r="4181">
      <c r="A4181" s="18"/>
      <c r="B4181" s="14">
        <f>IFERROR(__xludf.DUMMYFUNCTION("""COMPUTED_VALUE"""),1085475.0)</f>
        <v>1085475</v>
      </c>
      <c r="C4181" s="14" t="str">
        <f>IFERROR(__xludf.DUMMYFUNCTION("""COMPUTED_VALUE"""),"陳柏丞")</f>
        <v>陳柏丞</v>
      </c>
      <c r="D4181" s="16" t="str">
        <f>IFERROR(__xludf.DUMMYFUNCTION("""COMPUTED_VALUE"""),"ldp*****ttct@mail.edu.tw")</f>
        <v>ldp*****ttct@mail.edu.tw</v>
      </c>
      <c r="E4181" s="17" t="str">
        <f>IFERROR(__xludf.DUMMYFUNCTION("""COMPUTED_VALUE"""),"臺東縣綠島鄉綠島國民小學")</f>
        <v>臺東縣綠島鄉綠島國民小學</v>
      </c>
      <c r="F4181" s="14" t="str">
        <f>IFERROR(__xludf.DUMMYFUNCTION("""COMPUTED_VALUE"""),"六年級")</f>
        <v>六年級</v>
      </c>
      <c r="G4181" s="14" t="str">
        <f>IFERROR(__xludf.DUMMYFUNCTION("""COMPUTED_VALUE"""),"●小禮物")</f>
        <v>●小禮物</v>
      </c>
      <c r="H4181" s="8"/>
    </row>
    <row r="4182">
      <c r="A4182" s="18"/>
      <c r="B4182" s="14">
        <f>IFERROR(__xludf.DUMMYFUNCTION("""COMPUTED_VALUE"""),414747.0)</f>
        <v>414747</v>
      </c>
      <c r="C4182" s="14" t="str">
        <f>IFERROR(__xludf.DUMMYFUNCTION("""COMPUTED_VALUE"""),"陳羿如")</f>
        <v>陳羿如</v>
      </c>
      <c r="D4182" s="16" t="str">
        <f>IFERROR(__xludf.DUMMYFUNCTION("""COMPUTED_VALUE"""),"ldp*****ttct@mail.edu.tw")</f>
        <v>ldp*****ttct@mail.edu.tw</v>
      </c>
      <c r="E4182" s="17" t="str">
        <f>IFERROR(__xludf.DUMMYFUNCTION("""COMPUTED_VALUE"""),"臺東縣綠島鄉綠島國民小學")</f>
        <v>臺東縣綠島鄉綠島國民小學</v>
      </c>
      <c r="F4182" s="14" t="str">
        <f>IFERROR(__xludf.DUMMYFUNCTION("""COMPUTED_VALUE"""),"六年級")</f>
        <v>六年級</v>
      </c>
      <c r="G4182" s="14" t="str">
        <f>IFERROR(__xludf.DUMMYFUNCTION("""COMPUTED_VALUE"""),"●小禮物")</f>
        <v>●小禮物</v>
      </c>
      <c r="H4182" s="8"/>
    </row>
    <row r="4183">
      <c r="A4183" s="18"/>
      <c r="B4183" s="14">
        <f>IFERROR(__xludf.DUMMYFUNCTION("""COMPUTED_VALUE"""),598033.0)</f>
        <v>598033</v>
      </c>
      <c r="C4183" s="14" t="str">
        <f>IFERROR(__xludf.DUMMYFUNCTION("""COMPUTED_VALUE"""),"蔡昇峻")</f>
        <v>蔡昇峻</v>
      </c>
      <c r="D4183" s="16" t="str">
        <f>IFERROR(__xludf.DUMMYFUNCTION("""COMPUTED_VALUE"""),"ldp*****.ttct@mail.edu.tw")</f>
        <v>ldp*****.ttct@mail.edu.tw</v>
      </c>
      <c r="E4183" s="17" t="str">
        <f>IFERROR(__xludf.DUMMYFUNCTION("""COMPUTED_VALUE"""),"臺東縣綠島鄉綠島國民小學")</f>
        <v>臺東縣綠島鄉綠島國民小學</v>
      </c>
      <c r="F4183" s="14" t="str">
        <f>IFERROR(__xludf.DUMMYFUNCTION("""COMPUTED_VALUE"""),"六年級")</f>
        <v>六年級</v>
      </c>
      <c r="G4183" s="14" t="str">
        <f>IFERROR(__xludf.DUMMYFUNCTION("""COMPUTED_VALUE"""),"●小禮物")</f>
        <v>●小禮物</v>
      </c>
      <c r="H4183" s="8"/>
    </row>
    <row r="4184">
      <c r="A4184" s="18"/>
      <c r="B4184" s="14">
        <f>IFERROR(__xludf.DUMMYFUNCTION("""COMPUTED_VALUE"""),1085485.0)</f>
        <v>1085485</v>
      </c>
      <c r="C4184" s="14" t="str">
        <f>IFERROR(__xludf.DUMMYFUNCTION("""COMPUTED_VALUE"""),"李羽棠")</f>
        <v>李羽棠</v>
      </c>
      <c r="D4184" s="16" t="str">
        <f>IFERROR(__xludf.DUMMYFUNCTION("""COMPUTED_VALUE"""),"ldp*****ttct@mail.edu.tw")</f>
        <v>ldp*****ttct@mail.edu.tw</v>
      </c>
      <c r="E4184" s="17" t="str">
        <f>IFERROR(__xludf.DUMMYFUNCTION("""COMPUTED_VALUE"""),"臺東縣綠島鄉綠島國民小學")</f>
        <v>臺東縣綠島鄉綠島國民小學</v>
      </c>
      <c r="F4184" s="14" t="str">
        <f>IFERROR(__xludf.DUMMYFUNCTION("""COMPUTED_VALUE"""),"六年級")</f>
        <v>六年級</v>
      </c>
      <c r="G4184" s="14" t="str">
        <f>IFERROR(__xludf.DUMMYFUNCTION("""COMPUTED_VALUE"""),"獎狀")</f>
        <v>獎狀</v>
      </c>
      <c r="H4184" s="8"/>
    </row>
    <row r="4185">
      <c r="A4185" s="18"/>
      <c r="B4185" s="14">
        <f>IFERROR(__xludf.DUMMYFUNCTION("""COMPUTED_VALUE"""),539905.0)</f>
        <v>539905</v>
      </c>
      <c r="C4185" s="14" t="str">
        <f>IFERROR(__xludf.DUMMYFUNCTION("""COMPUTED_VALUE"""),"鄭崴瑜")</f>
        <v>鄭崴瑜</v>
      </c>
      <c r="D4185" s="16" t="str">
        <f>IFERROR(__xludf.DUMMYFUNCTION("""COMPUTED_VALUE"""),"ldp*****ttct@mail.edu.tw")</f>
        <v>ldp*****ttct@mail.edu.tw</v>
      </c>
      <c r="E4185" s="17" t="str">
        <f>IFERROR(__xludf.DUMMYFUNCTION("""COMPUTED_VALUE"""),"臺東縣綠島鄉綠島國民小學")</f>
        <v>臺東縣綠島鄉綠島國民小學</v>
      </c>
      <c r="F4185" s="14" t="str">
        <f>IFERROR(__xludf.DUMMYFUNCTION("""COMPUTED_VALUE"""),"六年級")</f>
        <v>六年級</v>
      </c>
      <c r="G4185" s="14" t="str">
        <f>IFERROR(__xludf.DUMMYFUNCTION("""COMPUTED_VALUE"""),"獎狀")</f>
        <v>獎狀</v>
      </c>
      <c r="H4185" s="8"/>
    </row>
    <row r="4186">
      <c r="A4186" s="18"/>
      <c r="B4186" s="14">
        <f>IFERROR(__xludf.DUMMYFUNCTION("""COMPUTED_VALUE"""),968221.0)</f>
        <v>968221</v>
      </c>
      <c r="C4186" s="14" t="str">
        <f>IFERROR(__xludf.DUMMYFUNCTION("""COMPUTED_VALUE"""),"江語婕")</f>
        <v>江語婕</v>
      </c>
      <c r="D4186" s="16" t="str">
        <f>IFERROR(__xludf.DUMMYFUNCTION("""COMPUTED_VALUE"""),"jn0*****ct@mail.edu.tw")</f>
        <v>jn0*****ct@mail.edu.tw</v>
      </c>
      <c r="E4186" s="17" t="str">
        <f>IFERROR(__xludf.DUMMYFUNCTION("""COMPUTED_VALUE"""),"臺東縣海端鄉加拿國民小學")</f>
        <v>臺東縣海端鄉加拿國民小學</v>
      </c>
      <c r="F4186" s="14" t="str">
        <f>IFERROR(__xludf.DUMMYFUNCTION("""COMPUTED_VALUE"""),"四年級")</f>
        <v>四年級</v>
      </c>
      <c r="G4186" s="14" t="str">
        <f>IFERROR(__xludf.DUMMYFUNCTION("""COMPUTED_VALUE"""),"●小禮物")</f>
        <v>●小禮物</v>
      </c>
      <c r="H4186" s="8"/>
    </row>
    <row r="4187">
      <c r="A4187" s="18"/>
      <c r="B4187" s="14">
        <f>IFERROR(__xludf.DUMMYFUNCTION("""COMPUTED_VALUE"""),968219.0)</f>
        <v>968219</v>
      </c>
      <c r="C4187" s="14" t="str">
        <f>IFERROR(__xludf.DUMMYFUNCTION("""COMPUTED_VALUE"""),"邱悅慈")</f>
        <v>邱悅慈</v>
      </c>
      <c r="D4187" s="16" t="str">
        <f>IFERROR(__xludf.DUMMYFUNCTION("""COMPUTED_VALUE"""),"jn0*****ct@mail.edu.tw")</f>
        <v>jn0*****ct@mail.edu.tw</v>
      </c>
      <c r="E4187" s="17" t="str">
        <f>IFERROR(__xludf.DUMMYFUNCTION("""COMPUTED_VALUE"""),"臺東縣海端鄉加拿國民小學")</f>
        <v>臺東縣海端鄉加拿國民小學</v>
      </c>
      <c r="F4187" s="14" t="str">
        <f>IFERROR(__xludf.DUMMYFUNCTION("""COMPUTED_VALUE"""),"四年級")</f>
        <v>四年級</v>
      </c>
      <c r="G4187" s="14" t="str">
        <f>IFERROR(__xludf.DUMMYFUNCTION("""COMPUTED_VALUE"""),"●小禮物")</f>
        <v>●小禮物</v>
      </c>
      <c r="H4187" s="8"/>
    </row>
    <row r="4188">
      <c r="A4188" s="18"/>
      <c r="B4188" s="14">
        <f>IFERROR(__xludf.DUMMYFUNCTION("""COMPUTED_VALUE"""),968245.0)</f>
        <v>968245</v>
      </c>
      <c r="C4188" s="14" t="str">
        <f>IFERROR(__xludf.DUMMYFUNCTION("""COMPUTED_VALUE"""),"邱志宏")</f>
        <v>邱志宏</v>
      </c>
      <c r="D4188" s="16" t="str">
        <f>IFERROR(__xludf.DUMMYFUNCTION("""COMPUTED_VALUE"""),"jn0*****ct@mail.edu.tw")</f>
        <v>jn0*****ct@mail.edu.tw</v>
      </c>
      <c r="E4188" s="17" t="str">
        <f>IFERROR(__xludf.DUMMYFUNCTION("""COMPUTED_VALUE"""),"臺東縣海端鄉加拿國民小學")</f>
        <v>臺東縣海端鄉加拿國民小學</v>
      </c>
      <c r="F4188" s="14" t="str">
        <f>IFERROR(__xludf.DUMMYFUNCTION("""COMPUTED_VALUE"""),"四年級")</f>
        <v>四年級</v>
      </c>
      <c r="G4188" s="14" t="str">
        <f>IFERROR(__xludf.DUMMYFUNCTION("""COMPUTED_VALUE"""),"獎狀")</f>
        <v>獎狀</v>
      </c>
      <c r="H4188" s="8"/>
    </row>
    <row r="4189">
      <c r="A4189" s="18"/>
      <c r="B4189" s="14">
        <f>IFERROR(__xludf.DUMMYFUNCTION("""COMPUTED_VALUE"""),962235.0)</f>
        <v>962235</v>
      </c>
      <c r="C4189" s="14" t="str">
        <f>IFERROR(__xludf.DUMMYFUNCTION("""COMPUTED_VALUE"""),"江炫峯")</f>
        <v>江炫峯</v>
      </c>
      <c r="D4189" s="16" t="str">
        <f>IFERROR(__xludf.DUMMYFUNCTION("""COMPUTED_VALUE"""),"jn1*****ttct@mail.edu.tw")</f>
        <v>jn1*****ttct@mail.edu.tw</v>
      </c>
      <c r="E4189" s="17" t="str">
        <f>IFERROR(__xludf.DUMMYFUNCTION("""COMPUTED_VALUE"""),"臺東縣海端鄉加拿國民小學")</f>
        <v>臺東縣海端鄉加拿國民小學</v>
      </c>
      <c r="F4189" s="14" t="str">
        <f>IFERROR(__xludf.DUMMYFUNCTION("""COMPUTED_VALUE"""),"五年級")</f>
        <v>五年級</v>
      </c>
      <c r="G4189" s="14" t="str">
        <f>IFERROR(__xludf.DUMMYFUNCTION("""COMPUTED_VALUE"""),"●小禮物")</f>
        <v>●小禮物</v>
      </c>
      <c r="H4189" s="8"/>
    </row>
    <row r="4190">
      <c r="A4190" s="18"/>
      <c r="B4190" s="14">
        <f>IFERROR(__xludf.DUMMYFUNCTION("""COMPUTED_VALUE"""),600715.0)</f>
        <v>600715</v>
      </c>
      <c r="C4190" s="14" t="str">
        <f>IFERROR(__xludf.DUMMYFUNCTION("""COMPUTED_VALUE"""),"邱晨妤")</f>
        <v>邱晨妤</v>
      </c>
      <c r="D4190" s="16" t="str">
        <f>IFERROR(__xludf.DUMMYFUNCTION("""COMPUTED_VALUE"""),"jn1*****ttct@mail.edu.tw")</f>
        <v>jn1*****ttct@mail.edu.tw</v>
      </c>
      <c r="E4190" s="17" t="str">
        <f>IFERROR(__xludf.DUMMYFUNCTION("""COMPUTED_VALUE"""),"臺東縣海端鄉加拿國民小學")</f>
        <v>臺東縣海端鄉加拿國民小學</v>
      </c>
      <c r="F4190" s="14" t="str">
        <f>IFERROR(__xludf.DUMMYFUNCTION("""COMPUTED_VALUE"""),"五年級")</f>
        <v>五年級</v>
      </c>
      <c r="G4190" s="14" t="str">
        <f>IFERROR(__xludf.DUMMYFUNCTION("""COMPUTED_VALUE"""),"獎狀")</f>
        <v>獎狀</v>
      </c>
      <c r="H4190" s="8"/>
    </row>
    <row r="4191">
      <c r="A4191" s="18"/>
      <c r="B4191" s="14">
        <f>IFERROR(__xludf.DUMMYFUNCTION("""COMPUTED_VALUE"""),600714.0)</f>
        <v>600714</v>
      </c>
      <c r="C4191" s="14" t="str">
        <f>IFERROR(__xludf.DUMMYFUNCTION("""COMPUTED_VALUE"""),"張昕冉")</f>
        <v>張昕冉</v>
      </c>
      <c r="D4191" s="16" t="str">
        <f>IFERROR(__xludf.DUMMYFUNCTION("""COMPUTED_VALUE"""),"jn1*****ttct@mail.edu.tw")</f>
        <v>jn1*****ttct@mail.edu.tw</v>
      </c>
      <c r="E4191" s="17" t="str">
        <f>IFERROR(__xludf.DUMMYFUNCTION("""COMPUTED_VALUE"""),"臺東縣海端鄉加拿國民小學")</f>
        <v>臺東縣海端鄉加拿國民小學</v>
      </c>
      <c r="F4191" s="14" t="str">
        <f>IFERROR(__xludf.DUMMYFUNCTION("""COMPUTED_VALUE"""),"五年級")</f>
        <v>五年級</v>
      </c>
      <c r="G4191" s="14" t="str">
        <f>IFERROR(__xludf.DUMMYFUNCTION("""COMPUTED_VALUE"""),"獎狀")</f>
        <v>獎狀</v>
      </c>
      <c r="H4191" s="8"/>
    </row>
    <row r="4192">
      <c r="A4192" s="18"/>
      <c r="B4192" s="14">
        <f>IFERROR(__xludf.DUMMYFUNCTION("""COMPUTED_VALUE"""),967702.0)</f>
        <v>967702</v>
      </c>
      <c r="C4192" s="14" t="str">
        <f>IFERROR(__xludf.DUMMYFUNCTION("""COMPUTED_VALUE"""),"邱億凱")</f>
        <v>邱億凱</v>
      </c>
      <c r="D4192" s="16" t="str">
        <f>IFERROR(__xludf.DUMMYFUNCTION("""COMPUTED_VALUE"""),"jn1*****stu.ttct.edu.tw")</f>
        <v>jn1*****stu.ttct.edu.tw</v>
      </c>
      <c r="E4192" s="17" t="str">
        <f>IFERROR(__xludf.DUMMYFUNCTION("""COMPUTED_VALUE"""),"臺東縣海端鄉加拿國民小學")</f>
        <v>臺東縣海端鄉加拿國民小學</v>
      </c>
      <c r="F4192" s="14" t="str">
        <f>IFERROR(__xludf.DUMMYFUNCTION("""COMPUTED_VALUE"""),"六年級")</f>
        <v>六年級</v>
      </c>
      <c r="G4192" s="14" t="str">
        <f>IFERROR(__xludf.DUMMYFUNCTION("""COMPUTED_VALUE"""),"●小禮物")</f>
        <v>●小禮物</v>
      </c>
      <c r="H4192" s="8"/>
    </row>
    <row r="4193">
      <c r="A4193" s="18"/>
      <c r="B4193" s="14">
        <f>IFERROR(__xludf.DUMMYFUNCTION("""COMPUTED_VALUE"""),967698.0)</f>
        <v>967698</v>
      </c>
      <c r="C4193" s="14" t="str">
        <f>IFERROR(__xludf.DUMMYFUNCTION("""COMPUTED_VALUE"""),"包振毅")</f>
        <v>包振毅</v>
      </c>
      <c r="D4193" s="16" t="str">
        <f>IFERROR(__xludf.DUMMYFUNCTION("""COMPUTED_VALUE"""),"jn1*****stu.ttct.edu.tw")</f>
        <v>jn1*****stu.ttct.edu.tw</v>
      </c>
      <c r="E4193" s="17" t="str">
        <f>IFERROR(__xludf.DUMMYFUNCTION("""COMPUTED_VALUE"""),"臺東縣海端鄉加拿國民小學")</f>
        <v>臺東縣海端鄉加拿國民小學</v>
      </c>
      <c r="F4193" s="14" t="str">
        <f>IFERROR(__xludf.DUMMYFUNCTION("""COMPUTED_VALUE"""),"六年級")</f>
        <v>六年級</v>
      </c>
      <c r="G4193" s="14" t="str">
        <f>IFERROR(__xludf.DUMMYFUNCTION("""COMPUTED_VALUE"""),"獎狀")</f>
        <v>獎狀</v>
      </c>
      <c r="H4193" s="8"/>
    </row>
    <row r="4194">
      <c r="A4194" s="18"/>
      <c r="B4194" s="14">
        <f>IFERROR(__xludf.DUMMYFUNCTION("""COMPUTED_VALUE"""),975892.0)</f>
        <v>975892</v>
      </c>
      <c r="C4194" s="14" t="str">
        <f>IFERROR(__xludf.DUMMYFUNCTION("""COMPUTED_VALUE"""),"胡薰")</f>
        <v>胡薰</v>
      </c>
      <c r="D4194" s="16" t="str">
        <f>IFERROR(__xludf.DUMMYFUNCTION("""COMPUTED_VALUE"""),"jn1*****ttct@mail.edu.tw")</f>
        <v>jn1*****ttct@mail.edu.tw</v>
      </c>
      <c r="E4194" s="17" t="str">
        <f>IFERROR(__xludf.DUMMYFUNCTION("""COMPUTED_VALUE"""),"臺東縣海端鄉加拿國民小學")</f>
        <v>臺東縣海端鄉加拿國民小學</v>
      </c>
      <c r="F4194" s="14" t="str">
        <f>IFERROR(__xludf.DUMMYFUNCTION("""COMPUTED_VALUE"""),"六年級")</f>
        <v>六年級</v>
      </c>
      <c r="G4194" s="14" t="str">
        <f>IFERROR(__xludf.DUMMYFUNCTION("""COMPUTED_VALUE"""),"獎狀")</f>
        <v>獎狀</v>
      </c>
      <c r="H4194" s="8"/>
    </row>
    <row r="4195">
      <c r="A4195" s="18"/>
      <c r="B4195" s="14">
        <f>IFERROR(__xludf.DUMMYFUNCTION("""COMPUTED_VALUE"""),967701.0)</f>
        <v>967701</v>
      </c>
      <c r="C4195" s="14" t="str">
        <f>IFERROR(__xludf.DUMMYFUNCTION("""COMPUTED_VALUE"""),"黃語恩")</f>
        <v>黃語恩</v>
      </c>
      <c r="D4195" s="16" t="str">
        <f>IFERROR(__xludf.DUMMYFUNCTION("""COMPUTED_VALUE"""),"hd0*****u.ttct.edu.tw")</f>
        <v>hd0*****u.ttct.edu.tw</v>
      </c>
      <c r="E4195" s="17" t="str">
        <f>IFERROR(__xludf.DUMMYFUNCTION("""COMPUTED_VALUE"""),"臺東縣海端鄉加拿國民小學")</f>
        <v>臺東縣海端鄉加拿國民小學</v>
      </c>
      <c r="F4195" s="14" t="str">
        <f>IFERROR(__xludf.DUMMYFUNCTION("""COMPUTED_VALUE"""),"六年級")</f>
        <v>六年級</v>
      </c>
      <c r="G4195" s="14" t="str">
        <f>IFERROR(__xludf.DUMMYFUNCTION("""COMPUTED_VALUE"""),"獎狀")</f>
        <v>獎狀</v>
      </c>
      <c r="H4195" s="8"/>
    </row>
    <row r="4196">
      <c r="A4196" s="18"/>
      <c r="B4196" s="14">
        <f>IFERROR(__xludf.DUMMYFUNCTION("""COMPUTED_VALUE"""),1154517.0)</f>
        <v>1154517</v>
      </c>
      <c r="C4196" s="14" t="str">
        <f>IFERROR(__xludf.DUMMYFUNCTION("""COMPUTED_VALUE"""),"王廷睿")</f>
        <v>王廷睿</v>
      </c>
      <c r="D4196" s="16" t="str">
        <f>IFERROR(__xludf.DUMMYFUNCTION("""COMPUTED_VALUE"""),"jn1*****ttct@mail.edu.tw")</f>
        <v>jn1*****ttct@mail.edu.tw</v>
      </c>
      <c r="E4196" s="17" t="str">
        <f>IFERROR(__xludf.DUMMYFUNCTION("""COMPUTED_VALUE"""),"臺東縣海端鄉加拿國民小學")</f>
        <v>臺東縣海端鄉加拿國民小學</v>
      </c>
      <c r="F4196" s="14" t="str">
        <f>IFERROR(__xludf.DUMMYFUNCTION("""COMPUTED_VALUE"""),"六年級")</f>
        <v>六年級</v>
      </c>
      <c r="G4196" s="14" t="str">
        <f>IFERROR(__xludf.DUMMYFUNCTION("""COMPUTED_VALUE"""),"獎狀")</f>
        <v>獎狀</v>
      </c>
      <c r="H4196" s="8"/>
    </row>
    <row r="4197">
      <c r="A4197" s="18"/>
      <c r="B4197" s="14">
        <f>IFERROR(__xludf.DUMMYFUNCTION("""COMPUTED_VALUE"""),296733.0)</f>
        <v>296733</v>
      </c>
      <c r="C4197" s="14" t="str">
        <f>IFERROR(__xludf.DUMMYFUNCTION("""COMPUTED_VALUE"""),"余欣岑")</f>
        <v>余欣岑</v>
      </c>
      <c r="D4197" s="16" t="str">
        <f>IFERROR(__xludf.DUMMYFUNCTION("""COMPUTED_VALUE"""),"vuc*****929.ttct@mail.edu.tw")</f>
        <v>vuc*****929.ttct@mail.edu.tw</v>
      </c>
      <c r="E4197" s="17" t="str">
        <f>IFERROR(__xludf.DUMMYFUNCTION("""COMPUTED_VALUE"""),"臺東縣海端鄉霧鹿國民小學")</f>
        <v>臺東縣海端鄉霧鹿國民小學</v>
      </c>
      <c r="F4197" s="14" t="str">
        <f>IFERROR(__xludf.DUMMYFUNCTION("""COMPUTED_VALUE"""),"六年級")</f>
        <v>六年級</v>
      </c>
      <c r="G4197" s="14" t="str">
        <f>IFERROR(__xludf.DUMMYFUNCTION("""COMPUTED_VALUE"""),"獎狀")</f>
        <v>獎狀</v>
      </c>
      <c r="H4197" s="8"/>
    </row>
    <row r="4198">
      <c r="A4198" s="18"/>
      <c r="B4198" s="14">
        <f>IFERROR(__xludf.DUMMYFUNCTION("""COMPUTED_VALUE"""),662327.0)</f>
        <v>662327</v>
      </c>
      <c r="C4198" s="14" t="str">
        <f>IFERROR(__xludf.DUMMYFUNCTION("""COMPUTED_VALUE"""),"張絨岳")</f>
        <v>張絨岳</v>
      </c>
      <c r="D4198" s="16" t="str">
        <f>IFERROR(__xludf.DUMMYFUNCTION("""COMPUTED_VALUE"""),"nb0*****u.ttct.edu.tw")</f>
        <v>nb0*****u.ttct.edu.tw</v>
      </c>
      <c r="E4198" s="17" t="str">
        <f>IFERROR(__xludf.DUMMYFUNCTION("""COMPUTED_VALUE"""),"臺東縣長濱鄉寧埔國民小學")</f>
        <v>臺東縣長濱鄉寧埔國民小學</v>
      </c>
      <c r="F4198" s="14" t="str">
        <f>IFERROR(__xludf.DUMMYFUNCTION("""COMPUTED_VALUE"""),"六年級")</f>
        <v>六年級</v>
      </c>
      <c r="G4198" s="14" t="str">
        <f>IFERROR(__xludf.DUMMYFUNCTION("""COMPUTED_VALUE"""),"●小禮物")</f>
        <v>●小禮物</v>
      </c>
      <c r="H4198" s="8"/>
    </row>
    <row r="4199">
      <c r="A4199" s="18"/>
      <c r="B4199" s="14">
        <f>IFERROR(__xludf.DUMMYFUNCTION("""COMPUTED_VALUE"""),1128979.0)</f>
        <v>1128979</v>
      </c>
      <c r="C4199" s="14" t="str">
        <f>IFERROR(__xludf.DUMMYFUNCTION("""COMPUTED_VALUE"""),"黃昱琳")</f>
        <v>黃昱琳</v>
      </c>
      <c r="D4199" s="16" t="str">
        <f>IFERROR(__xludf.DUMMYFUNCTION("""COMPUTED_VALUE"""),"sd9*****c@mail.edu.tw")</f>
        <v>sd9*****c@mail.edu.tw</v>
      </c>
      <c r="E4199" s="17" t="str">
        <f>IFERROR(__xludf.DUMMYFUNCTION("""COMPUTED_VALUE"""),"花蓮縣花蓮市明廉國民小學")</f>
        <v>花蓮縣花蓮市明廉國民小學</v>
      </c>
      <c r="F4199" s="14" t="str">
        <f>IFERROR(__xludf.DUMMYFUNCTION("""COMPUTED_VALUE"""),"五年級")</f>
        <v>五年級</v>
      </c>
      <c r="G4199" s="14" t="str">
        <f>IFERROR(__xludf.DUMMYFUNCTION("""COMPUTED_VALUE"""),"獎狀")</f>
        <v>獎狀</v>
      </c>
      <c r="H4199" s="8"/>
    </row>
    <row r="4200">
      <c r="A4200" s="18"/>
      <c r="B4200" s="14">
        <f>IFERROR(__xludf.DUMMYFUNCTION("""COMPUTED_VALUE"""),803997.0)</f>
        <v>803997</v>
      </c>
      <c r="C4200" s="14" t="str">
        <f>IFERROR(__xludf.DUMMYFUNCTION("""COMPUTED_VALUE"""),"涂昱涵")</f>
        <v>涂昱涵</v>
      </c>
      <c r="D4200" s="16" t="str">
        <f>IFERROR(__xludf.DUMMYFUNCTION("""COMPUTED_VALUE"""),"sqt*****c@mail.edu.tw")</f>
        <v>sqt*****c@mail.edu.tw</v>
      </c>
      <c r="E4200" s="17" t="str">
        <f>IFERROR(__xludf.DUMMYFUNCTION("""COMPUTED_VALUE"""),"花蓮縣花蓮市明恥國民小學")</f>
        <v>花蓮縣花蓮市明恥國民小學</v>
      </c>
      <c r="F4200" s="14" t="str">
        <f>IFERROR(__xludf.DUMMYFUNCTION("""COMPUTED_VALUE"""),"五年級")</f>
        <v>五年級</v>
      </c>
      <c r="G4200" s="14" t="str">
        <f>IFERROR(__xludf.DUMMYFUNCTION("""COMPUTED_VALUE"""),"獎狀")</f>
        <v>獎狀</v>
      </c>
      <c r="H4200" s="8"/>
    </row>
    <row r="4201">
      <c r="A4201" s="18"/>
      <c r="B4201" s="14">
        <f>IFERROR(__xludf.DUMMYFUNCTION("""COMPUTED_VALUE"""),279867.0)</f>
        <v>279867</v>
      </c>
      <c r="C4201" s="14" t="str">
        <f>IFERROR(__xludf.DUMMYFUNCTION("""COMPUTED_VALUE"""),"楊政曄")</f>
        <v>楊政曄</v>
      </c>
      <c r="D4201" s="16" t="str">
        <f>IFERROR(__xludf.DUMMYFUNCTION("""COMPUTED_VALUE"""),"sp9*****c.edu.tw")</f>
        <v>sp9*****c.edu.tw</v>
      </c>
      <c r="E4201" s="17" t="str">
        <f>IFERROR(__xludf.DUMMYFUNCTION("""COMPUTED_VALUE"""),"花蓮縣花蓮市明恥國民小學")</f>
        <v>花蓮縣花蓮市明恥國民小學</v>
      </c>
      <c r="F4201" s="14" t="str">
        <f>IFERROR(__xludf.DUMMYFUNCTION("""COMPUTED_VALUE"""),"五年級")</f>
        <v>五年級</v>
      </c>
      <c r="G4201" s="14" t="str">
        <f>IFERROR(__xludf.DUMMYFUNCTION("""COMPUTED_VALUE"""),"★禮券$200")</f>
        <v>★禮券$200</v>
      </c>
      <c r="H4201" s="8"/>
    </row>
    <row r="4202">
      <c r="A4202" s="18"/>
      <c r="B4202" s="14">
        <f>IFERROR(__xludf.DUMMYFUNCTION("""COMPUTED_VALUE"""),713956.0)</f>
        <v>713956</v>
      </c>
      <c r="C4202" s="14" t="str">
        <f>IFERROR(__xludf.DUMMYFUNCTION("""COMPUTED_VALUE"""),"何京諭")</f>
        <v>何京諭</v>
      </c>
      <c r="D4202" s="16" t="str">
        <f>IFERROR(__xludf.DUMMYFUNCTION("""COMPUTED_VALUE"""),"ste*****c@mail.edu.tw")</f>
        <v>ste*****c@mail.edu.tw</v>
      </c>
      <c r="E4202" s="17" t="str">
        <f>IFERROR(__xludf.DUMMYFUNCTION("""COMPUTED_VALUE"""),"花蓮縣花蓮市明恥國民小學")</f>
        <v>花蓮縣花蓮市明恥國民小學</v>
      </c>
      <c r="F4202" s="14" t="str">
        <f>IFERROR(__xludf.DUMMYFUNCTION("""COMPUTED_VALUE"""),"六年級")</f>
        <v>六年級</v>
      </c>
      <c r="G4202" s="14" t="str">
        <f>IFERROR(__xludf.DUMMYFUNCTION("""COMPUTED_VALUE"""),"獎狀")</f>
        <v>獎狀</v>
      </c>
      <c r="H4202" s="8"/>
    </row>
    <row r="4203">
      <c r="A4203" s="18"/>
      <c r="B4203" s="14">
        <f>IFERROR(__xludf.DUMMYFUNCTION("""COMPUTED_VALUE"""),602049.0)</f>
        <v>602049</v>
      </c>
      <c r="C4203" s="14" t="str">
        <f>IFERROR(__xludf.DUMMYFUNCTION("""COMPUTED_VALUE"""),"羅睿騰")</f>
        <v>羅睿騰</v>
      </c>
      <c r="D4203" s="16" t="str">
        <f>IFERROR(__xludf.DUMMYFUNCTION("""COMPUTED_VALUE"""),"s47*****2@mail.edu.tw")</f>
        <v>s47*****2@mail.edu.tw</v>
      </c>
      <c r="E4203" s="17" t="str">
        <f>IFERROR(__xludf.DUMMYFUNCTION("""COMPUTED_VALUE"""),"花蓮縣花蓮市明恥國民小學")</f>
        <v>花蓮縣花蓮市明恥國民小學</v>
      </c>
      <c r="F4203" s="14" t="str">
        <f>IFERROR(__xludf.DUMMYFUNCTION("""COMPUTED_VALUE"""),"六年級")</f>
        <v>六年級</v>
      </c>
      <c r="G4203" s="14" t="str">
        <f>IFERROR(__xludf.DUMMYFUNCTION("""COMPUTED_VALUE"""),"●小禮物")</f>
        <v>●小禮物</v>
      </c>
      <c r="H4203" s="8"/>
    </row>
    <row r="4204">
      <c r="A4204" s="18"/>
      <c r="B4204" s="14">
        <f>IFERROR(__xludf.DUMMYFUNCTION("""COMPUTED_VALUE"""),602003.0)</f>
        <v>602003</v>
      </c>
      <c r="C4204" s="14" t="str">
        <f>IFERROR(__xludf.DUMMYFUNCTION("""COMPUTED_VALUE"""),"林江侑亮")</f>
        <v>林江侑亮</v>
      </c>
      <c r="D4204" s="16" t="str">
        <f>IFERROR(__xludf.DUMMYFUNCTION("""COMPUTED_VALUE"""),"sf6*****c@mail.edu.tw")</f>
        <v>sf6*****c@mail.edu.tw</v>
      </c>
      <c r="E4204" s="17" t="str">
        <f>IFERROR(__xludf.DUMMYFUNCTION("""COMPUTED_VALUE"""),"花蓮縣花蓮市明恥國民小學")</f>
        <v>花蓮縣花蓮市明恥國民小學</v>
      </c>
      <c r="F4204" s="14" t="str">
        <f>IFERROR(__xludf.DUMMYFUNCTION("""COMPUTED_VALUE"""),"六年級")</f>
        <v>六年級</v>
      </c>
      <c r="G4204" s="14" t="str">
        <f>IFERROR(__xludf.DUMMYFUNCTION("""COMPUTED_VALUE"""),"獎狀")</f>
        <v>獎狀</v>
      </c>
      <c r="H4204" s="8"/>
    </row>
    <row r="4205">
      <c r="A4205" s="18"/>
      <c r="B4205" s="14">
        <f>IFERROR(__xludf.DUMMYFUNCTION("""COMPUTED_VALUE"""),714296.0)</f>
        <v>714296</v>
      </c>
      <c r="C4205" s="14" t="str">
        <f>IFERROR(__xludf.DUMMYFUNCTION("""COMPUTED_VALUE"""),"鄭品晟")</f>
        <v>鄭品晟</v>
      </c>
      <c r="D4205" s="16" t="str">
        <f>IFERROR(__xludf.DUMMYFUNCTION("""COMPUTED_VALUE"""),"s3s*****c@mail.edu.tw")</f>
        <v>s3s*****c@mail.edu.tw</v>
      </c>
      <c r="E4205" s="17" t="str">
        <f>IFERROR(__xludf.DUMMYFUNCTION("""COMPUTED_VALUE"""),"花蓮縣花蓮市明恥國民小學")</f>
        <v>花蓮縣花蓮市明恥國民小學</v>
      </c>
      <c r="F4205" s="14" t="str">
        <f>IFERROR(__xludf.DUMMYFUNCTION("""COMPUTED_VALUE"""),"六年級")</f>
        <v>六年級</v>
      </c>
      <c r="G4205" s="14" t="str">
        <f>IFERROR(__xludf.DUMMYFUNCTION("""COMPUTED_VALUE"""),"●小禮物")</f>
        <v>●小禮物</v>
      </c>
      <c r="H4205" s="8"/>
    </row>
    <row r="4206">
      <c r="A4206" s="18"/>
      <c r="B4206" s="14">
        <f>IFERROR(__xludf.DUMMYFUNCTION("""COMPUTED_VALUE"""),492708.0)</f>
        <v>492708</v>
      </c>
      <c r="C4206" s="14" t="str">
        <f>IFERROR(__xludf.DUMMYFUNCTION("""COMPUTED_VALUE"""),"李秋紫")</f>
        <v>李秋紫</v>
      </c>
      <c r="D4206" s="16" t="str">
        <f>IFERROR(__xludf.DUMMYFUNCTION("""COMPUTED_VALUE"""),"sam*****c@mail.edu.tw")</f>
        <v>sam*****c@mail.edu.tw</v>
      </c>
      <c r="E4206" s="17" t="str">
        <f>IFERROR(__xludf.DUMMYFUNCTION("""COMPUTED_VALUE"""),"花蓮縣花蓮市明恥國民小學")</f>
        <v>花蓮縣花蓮市明恥國民小學</v>
      </c>
      <c r="F4206" s="14" t="str">
        <f>IFERROR(__xludf.DUMMYFUNCTION("""COMPUTED_VALUE"""),"六年級")</f>
        <v>六年級</v>
      </c>
      <c r="G4206" s="14" t="str">
        <f>IFERROR(__xludf.DUMMYFUNCTION("""COMPUTED_VALUE"""),"●小禮物")</f>
        <v>●小禮物</v>
      </c>
      <c r="H4206" s="8"/>
    </row>
    <row r="4207">
      <c r="A4207" s="18"/>
      <c r="B4207" s="14">
        <f>IFERROR(__xludf.DUMMYFUNCTION("""COMPUTED_VALUE"""),601998.0)</f>
        <v>601998</v>
      </c>
      <c r="C4207" s="14" t="str">
        <f>IFERROR(__xludf.DUMMYFUNCTION("""COMPUTED_VALUE"""),"林熙芸")</f>
        <v>林熙芸</v>
      </c>
      <c r="D4207" s="16" t="str">
        <f>IFERROR(__xludf.DUMMYFUNCTION("""COMPUTED_VALUE"""),"stx*****c@mail.edu.tw")</f>
        <v>stx*****c@mail.edu.tw</v>
      </c>
      <c r="E4207" s="17" t="str">
        <f>IFERROR(__xludf.DUMMYFUNCTION("""COMPUTED_VALUE"""),"花蓮縣花蓮市明恥國民小學")</f>
        <v>花蓮縣花蓮市明恥國民小學</v>
      </c>
      <c r="F4207" s="14" t="str">
        <f>IFERROR(__xludf.DUMMYFUNCTION("""COMPUTED_VALUE"""),"六年級")</f>
        <v>六年級</v>
      </c>
      <c r="G4207" s="14" t="str">
        <f>IFERROR(__xludf.DUMMYFUNCTION("""COMPUTED_VALUE"""),"●小禮物")</f>
        <v>●小禮物</v>
      </c>
      <c r="H4207" s="8"/>
    </row>
    <row r="4208">
      <c r="A4208" s="18"/>
      <c r="B4208" s="14">
        <f>IFERROR(__xludf.DUMMYFUNCTION("""COMPUTED_VALUE"""),713968.0)</f>
        <v>713968</v>
      </c>
      <c r="C4208" s="14" t="str">
        <f>IFERROR(__xludf.DUMMYFUNCTION("""COMPUTED_VALUE"""),"許丞良")</f>
        <v>許丞良</v>
      </c>
      <c r="D4208" s="16" t="str">
        <f>IFERROR(__xludf.DUMMYFUNCTION("""COMPUTED_VALUE"""),"wo9*****mail.edu.tw")</f>
        <v>wo9*****mail.edu.tw</v>
      </c>
      <c r="E4208" s="17" t="str">
        <f>IFERROR(__xludf.DUMMYFUNCTION("""COMPUTED_VALUE"""),"花蓮縣花蓮市明恥國民小學")</f>
        <v>花蓮縣花蓮市明恥國民小學</v>
      </c>
      <c r="F4208" s="14" t="str">
        <f>IFERROR(__xludf.DUMMYFUNCTION("""COMPUTED_VALUE"""),"六年級")</f>
        <v>六年級</v>
      </c>
      <c r="G4208" s="14" t="str">
        <f>IFERROR(__xludf.DUMMYFUNCTION("""COMPUTED_VALUE"""),"●小禮物")</f>
        <v>●小禮物</v>
      </c>
      <c r="H4208" s="8"/>
    </row>
    <row r="4209">
      <c r="A4209" s="18"/>
      <c r="B4209" s="14">
        <f>IFERROR(__xludf.DUMMYFUNCTION("""COMPUTED_VALUE"""),601996.0)</f>
        <v>601996</v>
      </c>
      <c r="C4209" s="14" t="str">
        <f>IFERROR(__xludf.DUMMYFUNCTION("""COMPUTED_VALUE"""),"何葦平")</f>
        <v>何葦平</v>
      </c>
      <c r="D4209" s="16" t="str">
        <f>IFERROR(__xludf.DUMMYFUNCTION("""COMPUTED_VALUE"""),"sr3*****c@mail.edu.tw")</f>
        <v>sr3*****c@mail.edu.tw</v>
      </c>
      <c r="E4209" s="17" t="str">
        <f>IFERROR(__xludf.DUMMYFUNCTION("""COMPUTED_VALUE"""),"花蓮縣花蓮市明恥國民小學")</f>
        <v>花蓮縣花蓮市明恥國民小學</v>
      </c>
      <c r="F4209" s="14" t="str">
        <f>IFERROR(__xludf.DUMMYFUNCTION("""COMPUTED_VALUE"""),"六年級")</f>
        <v>六年級</v>
      </c>
      <c r="G4209" s="14" t="str">
        <f>IFERROR(__xludf.DUMMYFUNCTION("""COMPUTED_VALUE"""),"獎狀")</f>
        <v>獎狀</v>
      </c>
      <c r="H4209" s="8"/>
    </row>
    <row r="4210">
      <c r="A4210" s="18"/>
      <c r="B4210" s="14">
        <f>IFERROR(__xludf.DUMMYFUNCTION("""COMPUTED_VALUE"""),714281.0)</f>
        <v>714281</v>
      </c>
      <c r="C4210" s="14" t="str">
        <f>IFERROR(__xludf.DUMMYFUNCTION("""COMPUTED_VALUE"""),"卓奕學")</f>
        <v>卓奕學</v>
      </c>
      <c r="D4210" s="16" t="str">
        <f>IFERROR(__xludf.DUMMYFUNCTION("""COMPUTED_VALUE"""),"sgm*****c@mail.edu.tw")</f>
        <v>sgm*****c@mail.edu.tw</v>
      </c>
      <c r="E4210" s="17" t="str">
        <f>IFERROR(__xludf.DUMMYFUNCTION("""COMPUTED_VALUE"""),"花蓮縣花蓮市明恥國民小學")</f>
        <v>花蓮縣花蓮市明恥國民小學</v>
      </c>
      <c r="F4210" s="14" t="str">
        <f>IFERROR(__xludf.DUMMYFUNCTION("""COMPUTED_VALUE"""),"六年級")</f>
        <v>六年級</v>
      </c>
      <c r="G4210" s="14" t="str">
        <f>IFERROR(__xludf.DUMMYFUNCTION("""COMPUTED_VALUE"""),"獎狀")</f>
        <v>獎狀</v>
      </c>
      <c r="H4210" s="8"/>
    </row>
    <row r="4211">
      <c r="A4211" s="18"/>
      <c r="B4211" s="14">
        <f>IFERROR(__xludf.DUMMYFUNCTION("""COMPUTED_VALUE"""),686898.0)</f>
        <v>686898</v>
      </c>
      <c r="C4211" s="14" t="str">
        <f>IFERROR(__xludf.DUMMYFUNCTION("""COMPUTED_VALUE"""),"曾昱仁")</f>
        <v>曾昱仁</v>
      </c>
      <c r="D4211" s="16" t="str">
        <f>IFERROR(__xludf.DUMMYFUNCTION("""COMPUTED_VALUE"""),"sgd*****c@mail.edu.tw")</f>
        <v>sgd*****c@mail.edu.tw</v>
      </c>
      <c r="E4211" s="17" t="str">
        <f>IFERROR(__xludf.DUMMYFUNCTION("""COMPUTED_VALUE"""),"花蓮縣花蓮市明恥國民小學")</f>
        <v>花蓮縣花蓮市明恥國民小學</v>
      </c>
      <c r="F4211" s="14" t="str">
        <f>IFERROR(__xludf.DUMMYFUNCTION("""COMPUTED_VALUE"""),"六年級")</f>
        <v>六年級</v>
      </c>
      <c r="G4211" s="14" t="str">
        <f>IFERROR(__xludf.DUMMYFUNCTION("""COMPUTED_VALUE"""),"獎狀")</f>
        <v>獎狀</v>
      </c>
      <c r="H4211" s="8"/>
    </row>
    <row r="4212">
      <c r="A4212" s="18"/>
      <c r="B4212" s="14">
        <f>IFERROR(__xludf.DUMMYFUNCTION("""COMPUTED_VALUE"""),686808.0)</f>
        <v>686808</v>
      </c>
      <c r="C4212" s="14" t="str">
        <f>IFERROR(__xludf.DUMMYFUNCTION("""COMPUTED_VALUE"""),"賴柔臻")</f>
        <v>賴柔臻</v>
      </c>
      <c r="D4212" s="16" t="str">
        <f>IFERROR(__xludf.DUMMYFUNCTION("""COMPUTED_VALUE"""),"swh*****c@mail.edu.tw")</f>
        <v>swh*****c@mail.edu.tw</v>
      </c>
      <c r="E4212" s="17" t="str">
        <f>IFERROR(__xludf.DUMMYFUNCTION("""COMPUTED_VALUE"""),"花蓮縣花蓮市明恥國民小學")</f>
        <v>花蓮縣花蓮市明恥國民小學</v>
      </c>
      <c r="F4212" s="14" t="str">
        <f>IFERROR(__xludf.DUMMYFUNCTION("""COMPUTED_VALUE"""),"六年級")</f>
        <v>六年級</v>
      </c>
      <c r="G4212" s="14" t="str">
        <f>IFERROR(__xludf.DUMMYFUNCTION("""COMPUTED_VALUE"""),"獎狀")</f>
        <v>獎狀</v>
      </c>
      <c r="H4212" s="8"/>
    </row>
    <row r="4213">
      <c r="A4213" s="18"/>
      <c r="B4213" s="14">
        <f>IFERROR(__xludf.DUMMYFUNCTION("""COMPUTED_VALUE"""),379413.0)</f>
        <v>379413</v>
      </c>
      <c r="C4213" s="14" t="str">
        <f>IFERROR(__xludf.DUMMYFUNCTION("""COMPUTED_VALUE"""),"李育綸")</f>
        <v>李育綸</v>
      </c>
      <c r="D4213" s="16" t="str">
        <f>IFERROR(__xludf.DUMMYFUNCTION("""COMPUTED_VALUE"""),"sug*****c@mail.edu.tw")</f>
        <v>sug*****c@mail.edu.tw</v>
      </c>
      <c r="E4213" s="17" t="str">
        <f>IFERROR(__xludf.DUMMYFUNCTION("""COMPUTED_VALUE"""),"花蓮縣花蓮市明恥國民小學")</f>
        <v>花蓮縣花蓮市明恥國民小學</v>
      </c>
      <c r="F4213" s="14" t="str">
        <f>IFERROR(__xludf.DUMMYFUNCTION("""COMPUTED_VALUE"""),"六年級")</f>
        <v>六年級</v>
      </c>
      <c r="G4213" s="14" t="str">
        <f>IFERROR(__xludf.DUMMYFUNCTION("""COMPUTED_VALUE"""),"●小禮物")</f>
        <v>●小禮物</v>
      </c>
      <c r="H4213" s="8"/>
    </row>
    <row r="4214">
      <c r="A4214" s="18"/>
      <c r="B4214" s="14">
        <f>IFERROR(__xludf.DUMMYFUNCTION("""COMPUTED_VALUE"""),601994.0)</f>
        <v>601994</v>
      </c>
      <c r="C4214" s="14" t="str">
        <f>IFERROR(__xludf.DUMMYFUNCTION("""COMPUTED_VALUE"""),"林寬祐")</f>
        <v>林寬祐</v>
      </c>
      <c r="D4214" s="16" t="str">
        <f>IFERROR(__xludf.DUMMYFUNCTION("""COMPUTED_VALUE"""),"smw*****c@mail.edu.tw")</f>
        <v>smw*****c@mail.edu.tw</v>
      </c>
      <c r="E4214" s="17" t="str">
        <f>IFERROR(__xludf.DUMMYFUNCTION("""COMPUTED_VALUE"""),"花蓮縣花蓮市明恥國民小學")</f>
        <v>花蓮縣花蓮市明恥國民小學</v>
      </c>
      <c r="F4214" s="14" t="str">
        <f>IFERROR(__xludf.DUMMYFUNCTION("""COMPUTED_VALUE"""),"六年級")</f>
        <v>六年級</v>
      </c>
      <c r="G4214" s="14" t="str">
        <f>IFERROR(__xludf.DUMMYFUNCTION("""COMPUTED_VALUE"""),"獎狀")</f>
        <v>獎狀</v>
      </c>
      <c r="H4214" s="8"/>
    </row>
    <row r="4215">
      <c r="A4215" s="18"/>
      <c r="B4215" s="14">
        <f>IFERROR(__xludf.DUMMYFUNCTION("""COMPUTED_VALUE"""),880512.0)</f>
        <v>880512</v>
      </c>
      <c r="C4215" s="14" t="str">
        <f>IFERROR(__xludf.DUMMYFUNCTION("""COMPUTED_VALUE"""),"郭德音")</f>
        <v>郭德音</v>
      </c>
      <c r="D4215" s="16" t="str">
        <f>IFERROR(__xludf.DUMMYFUNCTION("""COMPUTED_VALUE"""),"107*****csmps.hlc.edu.tw")</f>
        <v>107*****csmps.hlc.edu.tw</v>
      </c>
      <c r="E4215" s="17" t="str">
        <f>IFERROR(__xludf.DUMMYFUNCTION("""COMPUTED_VALUE"""),"花蓮縣私立海星國民小學")</f>
        <v>花蓮縣私立海星國民小學</v>
      </c>
      <c r="F4215" s="14" t="str">
        <f>IFERROR(__xludf.DUMMYFUNCTION("""COMPUTED_VALUE"""),"五年級")</f>
        <v>五年級</v>
      </c>
      <c r="G4215" s="14" t="str">
        <f>IFERROR(__xludf.DUMMYFUNCTION("""COMPUTED_VALUE"""),"●小禮物")</f>
        <v>●小禮物</v>
      </c>
      <c r="H4215" s="8"/>
    </row>
    <row r="4216">
      <c r="A4216" s="18"/>
      <c r="B4216" s="14">
        <f>IFERROR(__xludf.DUMMYFUNCTION("""COMPUTED_VALUE"""),1024221.0)</f>
        <v>1024221</v>
      </c>
      <c r="C4216" s="14" t="str">
        <f>IFERROR(__xludf.DUMMYFUNCTION("""COMPUTED_VALUE"""),"張鈞皓")</f>
        <v>張鈞皓</v>
      </c>
      <c r="D4216" s="16" t="str">
        <f>IFERROR(__xludf.DUMMYFUNCTION("""COMPUTED_VALUE"""),"s3z*****c@mail.edu.tw")</f>
        <v>s3z*****c@mail.edu.tw</v>
      </c>
      <c r="E4216" s="17" t="str">
        <f>IFERROR(__xludf.DUMMYFUNCTION("""COMPUTED_VALUE"""),"花蓮縣花蓮市明義國民小學")</f>
        <v>花蓮縣花蓮市明義國民小學</v>
      </c>
      <c r="F4216" s="14" t="str">
        <f>IFERROR(__xludf.DUMMYFUNCTION("""COMPUTED_VALUE"""),"五年級")</f>
        <v>五年級</v>
      </c>
      <c r="G4216" s="14" t="str">
        <f>IFERROR(__xludf.DUMMYFUNCTION("""COMPUTED_VALUE"""),"獎狀")</f>
        <v>獎狀</v>
      </c>
      <c r="H4216" s="8"/>
    </row>
    <row r="4217">
      <c r="A4217" s="18"/>
      <c r="B4217" s="14">
        <f>IFERROR(__xludf.DUMMYFUNCTION("""COMPUTED_VALUE"""),1208451.0)</f>
        <v>1208451</v>
      </c>
      <c r="C4217" s="14" t="str">
        <f>IFERROR(__xludf.DUMMYFUNCTION("""COMPUTED_VALUE"""),"林宥霆")</f>
        <v>林宥霆</v>
      </c>
      <c r="D4217" s="16" t="str">
        <f>IFERROR(__xludf.DUMMYFUNCTION("""COMPUTED_VALUE"""),"st5*****c@mail.edu.tw")</f>
        <v>st5*****c@mail.edu.tw</v>
      </c>
      <c r="E4217" s="17" t="str">
        <f>IFERROR(__xludf.DUMMYFUNCTION("""COMPUTED_VALUE"""),"花蓮縣花蓮市明義國民小學")</f>
        <v>花蓮縣花蓮市明義國民小學</v>
      </c>
      <c r="F4217" s="14" t="str">
        <f>IFERROR(__xludf.DUMMYFUNCTION("""COMPUTED_VALUE"""),"五年級")</f>
        <v>五年級</v>
      </c>
      <c r="G4217" s="14" t="str">
        <f>IFERROR(__xludf.DUMMYFUNCTION("""COMPUTED_VALUE"""),"●小禮物")</f>
        <v>●小禮物</v>
      </c>
      <c r="H4217" s="8"/>
    </row>
    <row r="4218">
      <c r="A4218" s="18"/>
      <c r="B4218" s="14">
        <f>IFERROR(__xludf.DUMMYFUNCTION("""COMPUTED_VALUE"""),791486.0)</f>
        <v>791486</v>
      </c>
      <c r="C4218" s="14" t="str">
        <f>IFERROR(__xludf.DUMMYFUNCTION("""COMPUTED_VALUE"""),"黃子綺")</f>
        <v>黃子綺</v>
      </c>
      <c r="D4218" s="16" t="str">
        <f>IFERROR(__xludf.DUMMYFUNCTION("""COMPUTED_VALUE"""),"s4b*****c@mail.edu.tw")</f>
        <v>s4b*****c@mail.edu.tw</v>
      </c>
      <c r="E4218" s="17" t="str">
        <f>IFERROR(__xludf.DUMMYFUNCTION("""COMPUTED_VALUE"""),"花蓮縣花蓮市明義國民小學")</f>
        <v>花蓮縣花蓮市明義國民小學</v>
      </c>
      <c r="F4218" s="14" t="str">
        <f>IFERROR(__xludf.DUMMYFUNCTION("""COMPUTED_VALUE"""),"六年級")</f>
        <v>六年級</v>
      </c>
      <c r="G4218" s="14" t="str">
        <f>IFERROR(__xludf.DUMMYFUNCTION("""COMPUTED_VALUE"""),"獎狀")</f>
        <v>獎狀</v>
      </c>
      <c r="H4218" s="8"/>
    </row>
    <row r="4219">
      <c r="A4219" s="18"/>
      <c r="B4219" s="14">
        <f>IFERROR(__xludf.DUMMYFUNCTION("""COMPUTED_VALUE"""),1024218.0)</f>
        <v>1024218</v>
      </c>
      <c r="C4219" s="14" t="str">
        <f>IFERROR(__xludf.DUMMYFUNCTION("""COMPUTED_VALUE"""),"陳竑瑞")</f>
        <v>陳竑瑞</v>
      </c>
      <c r="D4219" s="16" t="str">
        <f>IFERROR(__xludf.DUMMYFUNCTION("""COMPUTED_VALUE"""),"sce*****c@mail.edu.tw")</f>
        <v>sce*****c@mail.edu.tw</v>
      </c>
      <c r="E4219" s="17" t="str">
        <f>IFERROR(__xludf.DUMMYFUNCTION("""COMPUTED_VALUE"""),"花蓮縣花蓮市明義國民小學")</f>
        <v>花蓮縣花蓮市明義國民小學</v>
      </c>
      <c r="F4219" s="14" t="str">
        <f>IFERROR(__xludf.DUMMYFUNCTION("""COMPUTED_VALUE"""),"六年級")</f>
        <v>六年級</v>
      </c>
      <c r="G4219" s="14" t="str">
        <f>IFERROR(__xludf.DUMMYFUNCTION("""COMPUTED_VALUE"""),"獎狀")</f>
        <v>獎狀</v>
      </c>
      <c r="H4219" s="8"/>
    </row>
    <row r="4220">
      <c r="A4220" s="18"/>
      <c r="B4220" s="14">
        <f>IFERROR(__xludf.DUMMYFUNCTION("""COMPUTED_VALUE"""),861208.0)</f>
        <v>861208</v>
      </c>
      <c r="C4220" s="14" t="str">
        <f>IFERROR(__xludf.DUMMYFUNCTION("""COMPUTED_VALUE"""),"孟秧")</f>
        <v>孟秧</v>
      </c>
      <c r="D4220" s="16" t="str">
        <f>IFERROR(__xludf.DUMMYFUNCTION("""COMPUTED_VALUE"""),"amb*****rl@mail.edu.tw")</f>
        <v>amb*****rl@mail.edu.tw</v>
      </c>
      <c r="E4220" s="17" t="str">
        <f>IFERROR(__xludf.DUMMYFUNCTION("""COMPUTED_VALUE"""),"花蓮縣花蓮市明禮國民小學")</f>
        <v>花蓮縣花蓮市明禮國民小學</v>
      </c>
      <c r="F4220" s="14" t="str">
        <f>IFERROR(__xludf.DUMMYFUNCTION("""COMPUTED_VALUE"""),"四年級")</f>
        <v>四年級</v>
      </c>
      <c r="G4220" s="14" t="str">
        <f>IFERROR(__xludf.DUMMYFUNCTION("""COMPUTED_VALUE"""),"★禮券$500")</f>
        <v>★禮券$500</v>
      </c>
      <c r="H4220" s="8"/>
    </row>
    <row r="4221">
      <c r="A4221" s="18"/>
      <c r="B4221" s="14">
        <f>IFERROR(__xludf.DUMMYFUNCTION("""COMPUTED_VALUE"""),496090.0)</f>
        <v>496090</v>
      </c>
      <c r="C4221" s="14" t="str">
        <f>IFERROR(__xludf.DUMMYFUNCTION("""COMPUTED_VALUE"""),"吳皇")</f>
        <v>吳皇</v>
      </c>
      <c r="D4221" s="16" t="str">
        <f>IFERROR(__xludf.DUMMYFUNCTION("""COMPUTED_VALUE"""),"s4g*****c@mail.edu.tw")</f>
        <v>s4g*****c@mail.edu.tw</v>
      </c>
      <c r="E4221" s="17" t="str">
        <f>IFERROR(__xludf.DUMMYFUNCTION("""COMPUTED_VALUE"""),"花蓮縣壽豐鄉水璉國民小學")</f>
        <v>花蓮縣壽豐鄉水璉國民小學</v>
      </c>
      <c r="F4221" s="14" t="str">
        <f>IFERROR(__xludf.DUMMYFUNCTION("""COMPUTED_VALUE"""),"六年級")</f>
        <v>六年級</v>
      </c>
      <c r="G4221" s="14" t="str">
        <f>IFERROR(__xludf.DUMMYFUNCTION("""COMPUTED_VALUE"""),"●小禮物")</f>
        <v>●小禮物</v>
      </c>
      <c r="H4221" s="8"/>
    </row>
    <row r="4222">
      <c r="A4222" s="18"/>
      <c r="B4222" s="14">
        <f>IFERROR(__xludf.DUMMYFUNCTION("""COMPUTED_VALUE"""),493272.0)</f>
        <v>493272</v>
      </c>
      <c r="C4222" s="14" t="str">
        <f>IFERROR(__xludf.DUMMYFUNCTION("""COMPUTED_VALUE"""),"陳佳葳")</f>
        <v>陳佳葳</v>
      </c>
      <c r="D4222" s="16" t="str">
        <f>IFERROR(__xludf.DUMMYFUNCTION("""COMPUTED_VALUE"""),"sd8*****c@mail.edu.tw")</f>
        <v>sd8*****c@mail.edu.tw</v>
      </c>
      <c r="E4222" s="17" t="str">
        <f>IFERROR(__xludf.DUMMYFUNCTION("""COMPUTED_VALUE"""),"花蓮縣壽豐鄉水璉國民小學")</f>
        <v>花蓮縣壽豐鄉水璉國民小學</v>
      </c>
      <c r="F4222" s="14" t="str">
        <f>IFERROR(__xludf.DUMMYFUNCTION("""COMPUTED_VALUE"""),"六年級")</f>
        <v>六年級</v>
      </c>
      <c r="G4222" s="14" t="str">
        <f>IFERROR(__xludf.DUMMYFUNCTION("""COMPUTED_VALUE"""),"●小禮物")</f>
        <v>●小禮物</v>
      </c>
      <c r="H4222" s="8"/>
    </row>
    <row r="4223">
      <c r="A4223" s="18"/>
      <c r="B4223" s="14">
        <f>IFERROR(__xludf.DUMMYFUNCTION("""COMPUTED_VALUE"""),493278.0)</f>
        <v>493278</v>
      </c>
      <c r="C4223" s="14" t="str">
        <f>IFERROR(__xludf.DUMMYFUNCTION("""COMPUTED_VALUE"""),"黃塏媗")</f>
        <v>黃塏媗</v>
      </c>
      <c r="D4223" s="16" t="str">
        <f>IFERROR(__xludf.DUMMYFUNCTION("""COMPUTED_VALUE"""),"say*****c@mail.edu.tw")</f>
        <v>say*****c@mail.edu.tw</v>
      </c>
      <c r="E4223" s="17" t="str">
        <f>IFERROR(__xludf.DUMMYFUNCTION("""COMPUTED_VALUE"""),"花蓮縣壽豐鄉水璉國民小學")</f>
        <v>花蓮縣壽豐鄉水璉國民小學</v>
      </c>
      <c r="F4223" s="14" t="str">
        <f>IFERROR(__xludf.DUMMYFUNCTION("""COMPUTED_VALUE"""),"六年級")</f>
        <v>六年級</v>
      </c>
      <c r="G4223" s="14" t="str">
        <f>IFERROR(__xludf.DUMMYFUNCTION("""COMPUTED_VALUE"""),"●小禮物")</f>
        <v>●小禮物</v>
      </c>
      <c r="H4223" s="8"/>
    </row>
    <row r="4224">
      <c r="A4224" s="18"/>
      <c r="B4224" s="14">
        <f>IFERROR(__xludf.DUMMYFUNCTION("""COMPUTED_VALUE"""),862636.0)</f>
        <v>862636</v>
      </c>
      <c r="C4224" s="14" t="str">
        <f>IFERROR(__xludf.DUMMYFUNCTION("""COMPUTED_VALUE"""),"許靜恩")</f>
        <v>許靜恩</v>
      </c>
      <c r="D4224" s="16" t="str">
        <f>IFERROR(__xludf.DUMMYFUNCTION("""COMPUTED_VALUE"""),"as4*****ail.edu.tw")</f>
        <v>as4*****ail.edu.tw</v>
      </c>
      <c r="E4224" s="17" t="str">
        <f>IFERROR(__xludf.DUMMYFUNCTION("""COMPUTED_VALUE"""),"花蓮縣萬榮鄉紅葉國民小學")</f>
        <v>花蓮縣萬榮鄉紅葉國民小學</v>
      </c>
      <c r="F4224" s="14" t="str">
        <f>IFERROR(__xludf.DUMMYFUNCTION("""COMPUTED_VALUE"""),"五年級")</f>
        <v>五年級</v>
      </c>
      <c r="G4224" s="14" t="str">
        <f>IFERROR(__xludf.DUMMYFUNCTION("""COMPUTED_VALUE"""),"●小禮物")</f>
        <v>●小禮物</v>
      </c>
      <c r="H4224" s="8"/>
    </row>
    <row r="4225">
      <c r="A4225" s="18"/>
      <c r="B4225" s="14">
        <f>IFERROR(__xludf.DUMMYFUNCTION("""COMPUTED_VALUE"""),814840.0)</f>
        <v>814840</v>
      </c>
      <c r="C4225" s="14" t="str">
        <f>IFERROR(__xludf.DUMMYFUNCTION("""COMPUTED_VALUE"""),"楊子晴")</f>
        <v>楊子晴</v>
      </c>
      <c r="D4225" s="16" t="str">
        <f>IFERROR(__xludf.DUMMYFUNCTION("""COMPUTED_VALUE"""),"ssr*****ail.edu.tw")</f>
        <v>ssr*****ail.edu.tw</v>
      </c>
      <c r="E4225" s="17" t="str">
        <f>IFERROR(__xludf.DUMMYFUNCTION("""COMPUTED_VALUE"""),"花蓮縣萬榮鄉紅葉國民小學")</f>
        <v>花蓮縣萬榮鄉紅葉國民小學</v>
      </c>
      <c r="F4225" s="14" t="str">
        <f>IFERROR(__xludf.DUMMYFUNCTION("""COMPUTED_VALUE"""),"五年級")</f>
        <v>五年級</v>
      </c>
      <c r="G4225" s="14" t="str">
        <f>IFERROR(__xludf.DUMMYFUNCTION("""COMPUTED_VALUE"""),"●小禮物")</f>
        <v>●小禮物</v>
      </c>
      <c r="H4225" s="8"/>
    </row>
    <row r="4226">
      <c r="A4226" s="18"/>
      <c r="B4226" s="14">
        <f>IFERROR(__xludf.DUMMYFUNCTION("""COMPUTED_VALUE"""),1003749.0)</f>
        <v>1003749</v>
      </c>
      <c r="C4226" s="14" t="str">
        <f>IFERROR(__xludf.DUMMYFUNCTION("""COMPUTED_VALUE"""),"嚴甯")</f>
        <v>嚴甯</v>
      </c>
      <c r="D4226" s="16" t="str">
        <f>IFERROR(__xludf.DUMMYFUNCTION("""COMPUTED_VALUE"""),"ss7*****ail.edu.tw")</f>
        <v>ss7*****ail.edu.tw</v>
      </c>
      <c r="E4226" s="17" t="str">
        <f>IFERROR(__xludf.DUMMYFUNCTION("""COMPUTED_VALUE"""),"花蓮縣萬榮鄉紅葉國民小學")</f>
        <v>花蓮縣萬榮鄉紅葉國民小學</v>
      </c>
      <c r="F4226" s="14" t="str">
        <f>IFERROR(__xludf.DUMMYFUNCTION("""COMPUTED_VALUE"""),"五年級")</f>
        <v>五年級</v>
      </c>
      <c r="G4226" s="14" t="str">
        <f>IFERROR(__xludf.DUMMYFUNCTION("""COMPUTED_VALUE"""),"●小禮物")</f>
        <v>●小禮物</v>
      </c>
      <c r="H4226" s="8"/>
    </row>
    <row r="4227">
      <c r="A4227" s="18"/>
      <c r="B4227" s="14">
        <f>IFERROR(__xludf.DUMMYFUNCTION("""COMPUTED_VALUE"""),1198341.0)</f>
        <v>1198341</v>
      </c>
      <c r="C4227" s="14" t="str">
        <f>IFERROR(__xludf.DUMMYFUNCTION("""COMPUTED_VALUE"""),"范心怡")</f>
        <v>范心怡</v>
      </c>
      <c r="D4227" s="16" t="str">
        <f>IFERROR(__xludf.DUMMYFUNCTION("""COMPUTED_VALUE"""),"s86*****c@mail.edu.tw")</f>
        <v>s86*****c@mail.edu.tw</v>
      </c>
      <c r="E4227" s="17" t="str">
        <f>IFERROR(__xludf.DUMMYFUNCTION("""COMPUTED_VALUE"""),"花蓮縣萬榮鄉紅葉國民小學")</f>
        <v>花蓮縣萬榮鄉紅葉國民小學</v>
      </c>
      <c r="F4227" s="14" t="str">
        <f>IFERROR(__xludf.DUMMYFUNCTION("""COMPUTED_VALUE"""),"五年級")</f>
        <v>五年級</v>
      </c>
      <c r="G4227" s="14" t="str">
        <f>IFERROR(__xludf.DUMMYFUNCTION("""COMPUTED_VALUE"""),"獎狀")</f>
        <v>獎狀</v>
      </c>
      <c r="H4227" s="8"/>
    </row>
    <row r="4228">
      <c r="A4228" s="18"/>
      <c r="B4228" s="14">
        <f>IFERROR(__xludf.DUMMYFUNCTION("""COMPUTED_VALUE"""),814842.0)</f>
        <v>814842</v>
      </c>
      <c r="C4228" s="14" t="str">
        <f>IFERROR(__xludf.DUMMYFUNCTION("""COMPUTED_VALUE"""),"許蕙珊")</f>
        <v>許蕙珊</v>
      </c>
      <c r="D4228" s="16" t="str">
        <f>IFERROR(__xludf.DUMMYFUNCTION("""COMPUTED_VALUE"""),"ssg*****ail.edu.tw")</f>
        <v>ssg*****ail.edu.tw</v>
      </c>
      <c r="E4228" s="17" t="str">
        <f>IFERROR(__xludf.DUMMYFUNCTION("""COMPUTED_VALUE"""),"花蓮縣萬榮鄉紅葉國民小學")</f>
        <v>花蓮縣萬榮鄉紅葉國民小學</v>
      </c>
      <c r="F4228" s="14" t="str">
        <f>IFERROR(__xludf.DUMMYFUNCTION("""COMPUTED_VALUE"""),"五年級")</f>
        <v>五年級</v>
      </c>
      <c r="G4228" s="14" t="str">
        <f>IFERROR(__xludf.DUMMYFUNCTION("""COMPUTED_VALUE"""),"獎狀")</f>
        <v>獎狀</v>
      </c>
      <c r="H4228" s="8"/>
    </row>
    <row r="4229">
      <c r="A4229" s="18"/>
      <c r="B4229" s="14">
        <f>IFERROR(__xludf.DUMMYFUNCTION("""COMPUTED_VALUE"""),359420.0)</f>
        <v>359420</v>
      </c>
      <c r="C4229" s="14" t="str">
        <f>IFERROR(__xludf.DUMMYFUNCTION("""COMPUTED_VALUE"""),"林宥榛")</f>
        <v>林宥榛</v>
      </c>
      <c r="D4229" s="16" t="str">
        <f>IFERROR(__xludf.DUMMYFUNCTION("""COMPUTED_VALUE"""),"s22*****ail.edu.tw")</f>
        <v>s22*****ail.edu.tw</v>
      </c>
      <c r="E4229" s="17" t="str">
        <f>IFERROR(__xludf.DUMMYFUNCTION("""COMPUTED_VALUE"""),"花蓮縣萬榮鄉紅葉國民小學")</f>
        <v>花蓮縣萬榮鄉紅葉國民小學</v>
      </c>
      <c r="F4229" s="14" t="str">
        <f>IFERROR(__xludf.DUMMYFUNCTION("""COMPUTED_VALUE"""),"六年級")</f>
        <v>六年級</v>
      </c>
      <c r="G4229" s="14" t="str">
        <f>IFERROR(__xludf.DUMMYFUNCTION("""COMPUTED_VALUE"""),"獎狀")</f>
        <v>獎狀</v>
      </c>
      <c r="H4229" s="8"/>
    </row>
    <row r="4230">
      <c r="A4230" s="18"/>
      <c r="B4230" s="14">
        <f>IFERROR(__xludf.DUMMYFUNCTION("""COMPUTED_VALUE"""),359421.0)</f>
        <v>359421</v>
      </c>
      <c r="C4230" s="14" t="str">
        <f>IFERROR(__xludf.DUMMYFUNCTION("""COMPUTED_VALUE"""),"曾文傑")</f>
        <v>曾文傑</v>
      </c>
      <c r="D4230" s="16" t="str">
        <f>IFERROR(__xludf.DUMMYFUNCTION("""COMPUTED_VALUE"""),"sgb*****ail.edu.tw")</f>
        <v>sgb*****ail.edu.tw</v>
      </c>
      <c r="E4230" s="17" t="str">
        <f>IFERROR(__xludf.DUMMYFUNCTION("""COMPUTED_VALUE"""),"花蓮縣萬榮鄉紅葉國民小學")</f>
        <v>花蓮縣萬榮鄉紅葉國民小學</v>
      </c>
      <c r="F4230" s="14" t="str">
        <f>IFERROR(__xludf.DUMMYFUNCTION("""COMPUTED_VALUE"""),"六年級")</f>
        <v>六年級</v>
      </c>
      <c r="G4230" s="14" t="str">
        <f>IFERROR(__xludf.DUMMYFUNCTION("""COMPUTED_VALUE"""),"獎狀")</f>
        <v>獎狀</v>
      </c>
      <c r="H4230" s="8"/>
    </row>
    <row r="4231">
      <c r="A4231" s="18"/>
      <c r="B4231" s="19">
        <f>IFERROR(__xludf.DUMMYFUNCTION("""COMPUTED_VALUE"""),285823.0)</f>
        <v>285823</v>
      </c>
      <c r="C4231" s="19" t="str">
        <f>IFERROR(__xludf.DUMMYFUNCTION("""COMPUTED_VALUE"""),"楊權盛")</f>
        <v>楊權盛</v>
      </c>
      <c r="D4231" s="20" t="str">
        <f>IFERROR(__xludf.DUMMYFUNCTION("""COMPUTED_VALUE"""),"spq*****ail.edu.tw")</f>
        <v>spq*****ail.edu.tw</v>
      </c>
      <c r="E4231" s="21" t="str">
        <f>IFERROR(__xludf.DUMMYFUNCTION("""COMPUTED_VALUE"""),"花蓮縣萬榮鄉紅葉國民小學")</f>
        <v>花蓮縣萬榮鄉紅葉國民小學</v>
      </c>
      <c r="F4231" s="14" t="str">
        <f>IFERROR(__xludf.DUMMYFUNCTION("""COMPUTED_VALUE"""),"六年級")</f>
        <v>六年級</v>
      </c>
      <c r="G4231" s="14" t="str">
        <f>IFERROR(__xludf.DUMMYFUNCTION("""COMPUTED_VALUE"""),"獎狀")</f>
        <v>獎狀</v>
      </c>
      <c r="H4231" s="8"/>
    </row>
    <row r="4232">
      <c r="A4232" s="18"/>
      <c r="B4232" s="14">
        <f>IFERROR(__xludf.DUMMYFUNCTION("""COMPUTED_VALUE"""),753674.0)</f>
        <v>753674</v>
      </c>
      <c r="C4232" s="14" t="str">
        <f>IFERROR(__xludf.DUMMYFUNCTION("""COMPUTED_VALUE"""),"謝何沅")</f>
        <v>謝何沅</v>
      </c>
      <c r="D4232" s="16" t="str">
        <f>IFERROR(__xludf.DUMMYFUNCTION("""COMPUTED_VALUE"""),"syy*****c@mail.edu.tw")</f>
        <v>syy*****c@mail.edu.tw</v>
      </c>
      <c r="E4232" s="17" t="str">
        <f>IFERROR(__xludf.DUMMYFUNCTION("""COMPUTED_VALUE"""),"花蓮縣玉里鎮玉里國民小學")</f>
        <v>花蓮縣玉里鎮玉里國民小學</v>
      </c>
      <c r="F4232" s="14" t="str">
        <f>IFERROR(__xludf.DUMMYFUNCTION("""COMPUTED_VALUE"""),"四年級")</f>
        <v>四年級</v>
      </c>
      <c r="G4232" s="14" t="str">
        <f>IFERROR(__xludf.DUMMYFUNCTION("""COMPUTED_VALUE"""),"獎狀")</f>
        <v>獎狀</v>
      </c>
      <c r="H4232" s="8"/>
    </row>
    <row r="4233">
      <c r="A4233" s="18"/>
      <c r="B4233" s="14">
        <f>IFERROR(__xludf.DUMMYFUNCTION("""COMPUTED_VALUE"""),808648.0)</f>
        <v>808648</v>
      </c>
      <c r="C4233" s="14" t="str">
        <f>IFERROR(__xludf.DUMMYFUNCTION("""COMPUTED_VALUE"""),"莊富凱")</f>
        <v>莊富凱</v>
      </c>
      <c r="D4233" s="16" t="str">
        <f>IFERROR(__xludf.DUMMYFUNCTION("""COMPUTED_VALUE"""),"107*****joshuac@tshcmc.edu.vn")</f>
        <v>107*****joshuac@tshcmc.edu.vn</v>
      </c>
      <c r="E4233" s="17" t="str">
        <f>IFERROR(__xludf.DUMMYFUNCTION("""COMPUTED_VALUE"""),"越南胡志明市臺灣學校")</f>
        <v>越南胡志明市臺灣學校</v>
      </c>
      <c r="F4233" s="14" t="str">
        <f>IFERROR(__xludf.DUMMYFUNCTION("""COMPUTED_VALUE"""),"五年級")</f>
        <v>五年級</v>
      </c>
      <c r="G4233" s="14" t="str">
        <f>IFERROR(__xludf.DUMMYFUNCTION("""COMPUTED_VALUE"""),"●小禮物")</f>
        <v>●小禮物</v>
      </c>
      <c r="H4233" s="8"/>
    </row>
    <row r="4234">
      <c r="A4234" s="18"/>
      <c r="B4234" s="22"/>
      <c r="C4234" s="22"/>
      <c r="D4234" s="23"/>
      <c r="E4234" s="24"/>
      <c r="F4234" s="22"/>
      <c r="G4234" s="22"/>
      <c r="H4234" s="8"/>
    </row>
  </sheetData>
  <mergeCells count="1">
    <mergeCell ref="B2:G2"/>
  </mergeCells>
  <printOptions gridLines="1" horizontalCentered="1"/>
  <pageMargins bottom="0.41338582677165353" footer="0.0" header="0.0" left="0.13779527559055116" right="0.13779527559055116" top="0.41338582677165353"/>
  <pageSetup fitToHeight="0" paperSize="9"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75"/>
  <cols>
    <col customWidth="1" min="1" max="1" width="9.38"/>
    <col customWidth="1" min="2" max="2" width="9.0"/>
    <col customWidth="1" min="3" max="3" width="15.5"/>
    <col customWidth="1" min="4" max="4" width="32.0"/>
    <col customWidth="1" min="5" max="5" width="33.0"/>
    <col customWidth="1" min="8" max="8" width="9.38"/>
  </cols>
  <sheetData>
    <row r="1" ht="12.75" customHeight="1">
      <c r="A1" s="1"/>
      <c r="B1" s="2"/>
      <c r="C1" s="2"/>
      <c r="D1" s="3"/>
      <c r="E1" s="1"/>
      <c r="F1" s="1"/>
      <c r="G1" s="1"/>
      <c r="H1" s="4"/>
    </row>
    <row r="2">
      <c r="A2" s="1"/>
      <c r="B2" s="25" t="s">
        <v>7</v>
      </c>
      <c r="C2" s="6"/>
      <c r="D2" s="6"/>
      <c r="E2" s="6"/>
      <c r="F2" s="6"/>
      <c r="G2" s="7"/>
      <c r="H2" s="8"/>
    </row>
    <row r="3">
      <c r="A3" s="9"/>
      <c r="B3" s="10" t="s">
        <v>1</v>
      </c>
      <c r="C3" s="10" t="s">
        <v>2</v>
      </c>
      <c r="D3" s="10" t="s">
        <v>3</v>
      </c>
      <c r="E3" s="11" t="s">
        <v>4</v>
      </c>
      <c r="F3" s="10" t="s">
        <v>5</v>
      </c>
      <c r="G3" s="10" t="s">
        <v>6</v>
      </c>
      <c r="H3" s="8"/>
    </row>
    <row r="4">
      <c r="A4" s="12"/>
      <c r="B4" s="13">
        <f>IFERROR(__xludf.DUMMYFUNCTION("IMPORTRANGE(""https://docs.google.com/spreadsheets/d/1jFOXomHANaTw6VARqt_U8RRr4VhrJnekgP9IHOleJKQ/edit?usp=sharing"",""國中最高分_客服複查用!A5:B"")"),1199410.0)</f>
        <v>1199410</v>
      </c>
      <c r="C4" s="14" t="str">
        <f>IFERROR(__xludf.DUMMYFUNCTION("""COMPUTED_VALUE"""),"蔡承翰")</f>
        <v>蔡承翰</v>
      </c>
      <c r="D4" s="15" t="str">
        <f>IFERROR(__xludf.DUMMYFUNCTION("IMPORTRANGE(""https://docs.google.com/spreadsheets/d/1jFOXomHANaTw6VARqt_U8RRr4VhrJnekgP9IHOleJKQ/edit?usp=sharing"",""國中最高分_客服複查用!E5:E"")"),"111*****tjh.tp.edu.tw")</f>
        <v>111*****tjh.tp.edu.tw</v>
      </c>
      <c r="E4" s="13" t="str">
        <f>IFERROR(__xludf.DUMMYFUNCTION("IMPORTRANGE(""https://docs.google.com/spreadsheets/d/1jFOXomHANaTw6VARqt_U8RRr4VhrJnekgP9IHOleJKQ/edit?usp=sharing"",""國中最高分_客服複查用!K5:K"")"),"臺北市立弘道國民中學")</f>
        <v>臺北市立弘道國民中學</v>
      </c>
      <c r="F4" s="13" t="str">
        <f>IFERROR(__xludf.DUMMYFUNCTION("IMPORTRANGE(""https://docs.google.com/spreadsheets/d/1jFOXomHANaTw6VARqt_U8RRr4VhrJnekgP9IHOleJKQ/edit?usp=sharing"",""國中最高分_客服複查用!N5:N"")"),"七年級")</f>
        <v>七年級</v>
      </c>
      <c r="G4" s="13" t="str">
        <f>IFERROR(__xludf.DUMMYFUNCTION("IMPORTRANGE(""https://docs.google.com/spreadsheets/d/1jFOXomHANaTw6VARqt_U8RRr4VhrJnekgP9IHOleJKQ/edit?usp=sharing"",""國中最高分_客服複查用!C5:C"")"),"獎狀")</f>
        <v>獎狀</v>
      </c>
      <c r="H4" s="8"/>
    </row>
    <row r="5">
      <c r="A5" s="12"/>
      <c r="B5" s="14">
        <f>IFERROR(__xludf.DUMMYFUNCTION("""COMPUTED_VALUE"""),820322.0)</f>
        <v>820322</v>
      </c>
      <c r="C5" s="14" t="str">
        <f>IFERROR(__xludf.DUMMYFUNCTION("""COMPUTED_VALUE"""),"李群富")</f>
        <v>李群富</v>
      </c>
      <c r="D5" s="16" t="str">
        <f>IFERROR(__xludf.DUMMYFUNCTION("""COMPUTED_VALUE"""),"101*****tjh.tp.edu.tw")</f>
        <v>101*****tjh.tp.edu.tw</v>
      </c>
      <c r="E5" s="17" t="str">
        <f>IFERROR(__xludf.DUMMYFUNCTION("""COMPUTED_VALUE"""),"臺北市立弘道國民中學")</f>
        <v>臺北市立弘道國民中學</v>
      </c>
      <c r="F5" s="14" t="str">
        <f>IFERROR(__xludf.DUMMYFUNCTION("""COMPUTED_VALUE"""),"八年級")</f>
        <v>八年級</v>
      </c>
      <c r="G5" s="14" t="str">
        <f>IFERROR(__xludf.DUMMYFUNCTION("""COMPUTED_VALUE"""),"獎狀")</f>
        <v>獎狀</v>
      </c>
      <c r="H5" s="8"/>
    </row>
    <row r="6">
      <c r="A6" s="12"/>
      <c r="B6" s="14">
        <f>IFERROR(__xludf.DUMMYFUNCTION("""COMPUTED_VALUE"""),889531.0)</f>
        <v>889531</v>
      </c>
      <c r="C6" s="14" t="str">
        <f>IFERROR(__xludf.DUMMYFUNCTION("""COMPUTED_VALUE"""),"謝詠晴")</f>
        <v>謝詠晴</v>
      </c>
      <c r="D6" s="16" t="str">
        <f>IFERROR(__xludf.DUMMYFUNCTION("""COMPUTED_VALUE"""),"110*****@st.nmjh.tp.edu.tw")</f>
        <v>110*****@st.nmjh.tp.edu.tw</v>
      </c>
      <c r="E6" s="17" t="str">
        <f>IFERROR(__xludf.DUMMYFUNCTION("""COMPUTED_VALUE"""),"臺北市立南門國民中學")</f>
        <v>臺北市立南門國民中學</v>
      </c>
      <c r="F6" s="14" t="str">
        <f>IFERROR(__xludf.DUMMYFUNCTION("""COMPUTED_VALUE"""),"八年級")</f>
        <v>八年級</v>
      </c>
      <c r="G6" s="14" t="str">
        <f>IFERROR(__xludf.DUMMYFUNCTION("""COMPUTED_VALUE"""),"獎狀")</f>
        <v>獎狀</v>
      </c>
      <c r="H6" s="8"/>
    </row>
    <row r="7">
      <c r="A7" s="12"/>
      <c r="B7" s="14">
        <f>IFERROR(__xludf.DUMMYFUNCTION("""COMPUTED_VALUE"""),419485.0)</f>
        <v>419485</v>
      </c>
      <c r="C7" s="14" t="str">
        <f>IFERROR(__xludf.DUMMYFUNCTION("""COMPUTED_VALUE"""),"吳羿稼")</f>
        <v>吳羿稼</v>
      </c>
      <c r="D7" s="16" t="str">
        <f>IFERROR(__xludf.DUMMYFUNCTION("""COMPUTED_VALUE"""),"mar*****9@gmail.com")</f>
        <v>mar*****9@gmail.com</v>
      </c>
      <c r="E7" s="17" t="str">
        <f>IFERROR(__xludf.DUMMYFUNCTION("""COMPUTED_VALUE"""),"臺北市立南門國民中學")</f>
        <v>臺北市立南門國民中學</v>
      </c>
      <c r="F7" s="14" t="str">
        <f>IFERROR(__xludf.DUMMYFUNCTION("""COMPUTED_VALUE"""),"八年級")</f>
        <v>八年級</v>
      </c>
      <c r="G7" s="14" t="str">
        <f>IFERROR(__xludf.DUMMYFUNCTION("""COMPUTED_VALUE"""),"★禮券$200")</f>
        <v>★禮券$200</v>
      </c>
      <c r="H7" s="8"/>
    </row>
    <row r="8">
      <c r="A8" s="12"/>
      <c r="B8" s="14">
        <f>IFERROR(__xludf.DUMMYFUNCTION("""COMPUTED_VALUE"""),972277.0)</f>
        <v>972277</v>
      </c>
      <c r="C8" s="14" t="str">
        <f>IFERROR(__xludf.DUMMYFUNCTION("""COMPUTED_VALUE"""),"陳禹妡")</f>
        <v>陳禹妡</v>
      </c>
      <c r="D8" s="16" t="str">
        <f>IFERROR(__xludf.DUMMYFUNCTION("""COMPUTED_VALUE"""),"els*****13@gmail.com")</f>
        <v>els*****13@gmail.com</v>
      </c>
      <c r="E8" s="17" t="str">
        <f>IFERROR(__xludf.DUMMYFUNCTION("""COMPUTED_VALUE"""),"臺北市立中正國民中學")</f>
        <v>臺北市立中正國民中學</v>
      </c>
      <c r="F8" s="14" t="str">
        <f>IFERROR(__xludf.DUMMYFUNCTION("""COMPUTED_VALUE"""),"七年級")</f>
        <v>七年級</v>
      </c>
      <c r="G8" s="14" t="str">
        <f>IFERROR(__xludf.DUMMYFUNCTION("""COMPUTED_VALUE"""),"●小禮物")</f>
        <v>●小禮物</v>
      </c>
      <c r="H8" s="8"/>
    </row>
    <row r="9">
      <c r="A9" s="12"/>
      <c r="B9" s="14">
        <f>IFERROR(__xludf.DUMMYFUNCTION("""COMPUTED_VALUE"""),1105074.0)</f>
        <v>1105074</v>
      </c>
      <c r="C9" s="14" t="str">
        <f>IFERROR(__xludf.DUMMYFUNCTION("""COMPUTED_VALUE"""),"簡熙樺")</f>
        <v>簡熙樺</v>
      </c>
      <c r="D9" s="16" t="str">
        <f>IFERROR(__xludf.DUMMYFUNCTION("""COMPUTED_VALUE"""),"way*****en2010@gmail.com")</f>
        <v>way*****en2010@gmail.com</v>
      </c>
      <c r="E9" s="17" t="str">
        <f>IFERROR(__xludf.DUMMYFUNCTION("""COMPUTED_VALUE"""),"臺北市立中正國民中學")</f>
        <v>臺北市立中正國民中學</v>
      </c>
      <c r="F9" s="14" t="str">
        <f>IFERROR(__xludf.DUMMYFUNCTION("""COMPUTED_VALUE"""),"七年級")</f>
        <v>七年級</v>
      </c>
      <c r="G9" s="14" t="str">
        <f>IFERROR(__xludf.DUMMYFUNCTION("""COMPUTED_VALUE"""),"獎狀")</f>
        <v>獎狀</v>
      </c>
      <c r="H9" s="8"/>
    </row>
    <row r="10">
      <c r="A10" s="12"/>
      <c r="B10" s="14">
        <f>IFERROR(__xludf.DUMMYFUNCTION("""COMPUTED_VALUE"""),78962.0)</f>
        <v>78962</v>
      </c>
      <c r="C10" s="14" t="str">
        <f>IFERROR(__xludf.DUMMYFUNCTION("""COMPUTED_VALUE"""),"張郁琪")</f>
        <v>張郁琪</v>
      </c>
      <c r="D10" s="16" t="str">
        <f>IFERROR(__xludf.DUMMYFUNCTION("""COMPUTED_VALUE"""),"jol*****8@yahoo.com.tw")</f>
        <v>jol*****8@yahoo.com.tw</v>
      </c>
      <c r="E10" s="17" t="str">
        <f>IFERROR(__xludf.DUMMYFUNCTION("""COMPUTED_VALUE"""),"臺北市立中正國民中學")</f>
        <v>臺北市立中正國民中學</v>
      </c>
      <c r="F10" s="14" t="str">
        <f>IFERROR(__xludf.DUMMYFUNCTION("""COMPUTED_VALUE"""),"九年級")</f>
        <v>九年級</v>
      </c>
      <c r="G10" s="14" t="str">
        <f>IFERROR(__xludf.DUMMYFUNCTION("""COMPUTED_VALUE"""),"●小禮物")</f>
        <v>●小禮物</v>
      </c>
      <c r="H10" s="8"/>
    </row>
    <row r="11">
      <c r="A11" s="12"/>
      <c r="B11" s="14">
        <f>IFERROR(__xludf.DUMMYFUNCTION("""COMPUTED_VALUE"""),870506.0)</f>
        <v>870506</v>
      </c>
      <c r="C11" s="14" t="str">
        <f>IFERROR(__xludf.DUMMYFUNCTION("""COMPUTED_VALUE"""),"陳威利")</f>
        <v>陳威利</v>
      </c>
      <c r="D11" s="16" t="str">
        <f>IFERROR(__xludf.DUMMYFUNCTION("""COMPUTED_VALUE"""),"chj*****5068@mail.edu.tw")</f>
        <v>chj*****5068@mail.edu.tw</v>
      </c>
      <c r="E11" s="17" t="str">
        <f>IFERROR(__xludf.DUMMYFUNCTION("""COMPUTED_VALUE"""),"臺北市立忠孝國民中學")</f>
        <v>臺北市立忠孝國民中學</v>
      </c>
      <c r="F11" s="14" t="str">
        <f>IFERROR(__xludf.DUMMYFUNCTION("""COMPUTED_VALUE"""),"八年級")</f>
        <v>八年級</v>
      </c>
      <c r="G11" s="14" t="str">
        <f>IFERROR(__xludf.DUMMYFUNCTION("""COMPUTED_VALUE"""),"●小禮物")</f>
        <v>●小禮物</v>
      </c>
      <c r="H11" s="8"/>
    </row>
    <row r="12">
      <c r="A12" s="12"/>
      <c r="B12" s="14">
        <f>IFERROR(__xludf.DUMMYFUNCTION("""COMPUTED_VALUE"""),776582.0)</f>
        <v>776582</v>
      </c>
      <c r="C12" s="14" t="str">
        <f>IFERROR(__xludf.DUMMYFUNCTION("""COMPUTED_VALUE"""),"王怡婷")</f>
        <v>王怡婷</v>
      </c>
      <c r="D12" s="16" t="str">
        <f>IFERROR(__xludf.DUMMYFUNCTION("""COMPUTED_VALUE"""),"tmt*****ng@gmail.com")</f>
        <v>tmt*****ng@gmail.com</v>
      </c>
      <c r="E12" s="17" t="str">
        <f>IFERROR(__xludf.DUMMYFUNCTION("""COMPUTED_VALUE"""),"臺北市立忠孝國民中學")</f>
        <v>臺北市立忠孝國民中學</v>
      </c>
      <c r="F12" s="14" t="str">
        <f>IFERROR(__xludf.DUMMYFUNCTION("""COMPUTED_VALUE"""),"八年級")</f>
        <v>八年級</v>
      </c>
      <c r="G12" s="14" t="str">
        <f>IFERROR(__xludf.DUMMYFUNCTION("""COMPUTED_VALUE"""),"獎狀")</f>
        <v>獎狀</v>
      </c>
      <c r="H12" s="8"/>
    </row>
    <row r="13">
      <c r="A13" s="12"/>
      <c r="B13" s="14">
        <f>IFERROR(__xludf.DUMMYFUNCTION("""COMPUTED_VALUE"""),547447.0)</f>
        <v>547447</v>
      </c>
      <c r="C13" s="14" t="str">
        <f>IFERROR(__xludf.DUMMYFUNCTION("""COMPUTED_VALUE"""),"何欣璇")</f>
        <v>何欣璇</v>
      </c>
      <c r="D13" s="16" t="str">
        <f>IFERROR(__xludf.DUMMYFUNCTION("""COMPUTED_VALUE"""),"109*****@cyhs.tp.edu.tw")</f>
        <v>109*****@cyhs.tp.edu.tw</v>
      </c>
      <c r="E13" s="17" t="str">
        <f>IFERROR(__xludf.DUMMYFUNCTION("""COMPUTED_VALUE"""),"臺北市立成淵高級中學附設國中部")</f>
        <v>臺北市立成淵高級中學附設國中部</v>
      </c>
      <c r="F13" s="14" t="str">
        <f>IFERROR(__xludf.DUMMYFUNCTION("""COMPUTED_VALUE"""),"九年級")</f>
        <v>九年級</v>
      </c>
      <c r="G13" s="14" t="str">
        <f>IFERROR(__xludf.DUMMYFUNCTION("""COMPUTED_VALUE"""),"●小禮物")</f>
        <v>●小禮物</v>
      </c>
      <c r="H13" s="8"/>
    </row>
    <row r="14">
      <c r="A14" s="12"/>
      <c r="B14" s="14">
        <f>IFERROR(__xludf.DUMMYFUNCTION("""COMPUTED_VALUE"""),998158.0)</f>
        <v>998158</v>
      </c>
      <c r="C14" s="14" t="str">
        <f>IFERROR(__xludf.DUMMYFUNCTION("""COMPUTED_VALUE"""),"汪湘庭")</f>
        <v>汪湘庭</v>
      </c>
      <c r="D14" s="16" t="str">
        <f>IFERROR(__xludf.DUMMYFUNCTION("""COMPUTED_VALUE"""),"520*****ang@gmail.com")</f>
        <v>520*****ang@gmail.com</v>
      </c>
      <c r="E14" s="17" t="str">
        <f>IFERROR(__xludf.DUMMYFUNCTION("""COMPUTED_VALUE"""),"臺北市立民權國民中學")</f>
        <v>臺北市立民權國民中學</v>
      </c>
      <c r="F14" s="14" t="str">
        <f>IFERROR(__xludf.DUMMYFUNCTION("""COMPUTED_VALUE"""),"八年級")</f>
        <v>八年級</v>
      </c>
      <c r="G14" s="14" t="str">
        <f>IFERROR(__xludf.DUMMYFUNCTION("""COMPUTED_VALUE"""),"獎狀")</f>
        <v>獎狀</v>
      </c>
      <c r="H14" s="8"/>
    </row>
    <row r="15">
      <c r="A15" s="12"/>
      <c r="B15" s="14">
        <f>IFERROR(__xludf.DUMMYFUNCTION("""COMPUTED_VALUE"""),1099621.0)</f>
        <v>1099621</v>
      </c>
      <c r="C15" s="14" t="str">
        <f>IFERROR(__xludf.DUMMYFUNCTION("""COMPUTED_VALUE"""),"藍心辰")</f>
        <v>藍心辰</v>
      </c>
      <c r="D15" s="16" t="str">
        <f>IFERROR(__xludf.DUMMYFUNCTION("""COMPUTED_VALUE"""),"beb*****92@gmail.com")</f>
        <v>beb*****92@gmail.com</v>
      </c>
      <c r="E15" s="17" t="str">
        <f>IFERROR(__xludf.DUMMYFUNCTION("""COMPUTED_VALUE"""),"臺北市私立靜修高級中學附設國中部")</f>
        <v>臺北市私立靜修高級中學附設國中部</v>
      </c>
      <c r="F15" s="14" t="str">
        <f>IFERROR(__xludf.DUMMYFUNCTION("""COMPUTED_VALUE"""),"七年級")</f>
        <v>七年級</v>
      </c>
      <c r="G15" s="14" t="str">
        <f>IFERROR(__xludf.DUMMYFUNCTION("""COMPUTED_VALUE"""),"獎狀")</f>
        <v>獎狀</v>
      </c>
      <c r="H15" s="8"/>
    </row>
    <row r="16">
      <c r="A16" s="12"/>
      <c r="B16" s="14">
        <f>IFERROR(__xludf.DUMMYFUNCTION("""COMPUTED_VALUE"""),821243.0)</f>
        <v>821243</v>
      </c>
      <c r="C16" s="14" t="str">
        <f>IFERROR(__xludf.DUMMYFUNCTION("""COMPUTED_VALUE"""),"簡子億")</f>
        <v>簡子億</v>
      </c>
      <c r="D16" s="16" t="str">
        <f>IFERROR(__xludf.DUMMYFUNCTION("""COMPUTED_VALUE"""),"ede*****0710@gmail.com")</f>
        <v>ede*****0710@gmail.com</v>
      </c>
      <c r="E16" s="17" t="str">
        <f>IFERROR(__xludf.DUMMYFUNCTION("""COMPUTED_VALUE"""),"臺北市私立靜修高級中學附設國中部")</f>
        <v>臺北市私立靜修高級中學附設國中部</v>
      </c>
      <c r="F16" s="14" t="str">
        <f>IFERROR(__xludf.DUMMYFUNCTION("""COMPUTED_VALUE"""),"八年級")</f>
        <v>八年級</v>
      </c>
      <c r="G16" s="14" t="str">
        <f>IFERROR(__xludf.DUMMYFUNCTION("""COMPUTED_VALUE"""),"●小禮物")</f>
        <v>●小禮物</v>
      </c>
      <c r="H16" s="8"/>
    </row>
    <row r="17">
      <c r="A17" s="12"/>
      <c r="B17" s="14">
        <f>IFERROR(__xludf.DUMMYFUNCTION("""COMPUTED_VALUE"""),1032335.0)</f>
        <v>1032335</v>
      </c>
      <c r="C17" s="14" t="str">
        <f>IFERROR(__xludf.DUMMYFUNCTION("""COMPUTED_VALUE"""),"蔡沛穎")</f>
        <v>蔡沛穎</v>
      </c>
      <c r="D17" s="16" t="str">
        <f>IFERROR(__xludf.DUMMYFUNCTION("""COMPUTED_VALUE"""),"263*****ue@gmail.com")</f>
        <v>263*****ue@gmail.com</v>
      </c>
      <c r="E17" s="17" t="str">
        <f>IFERROR(__xludf.DUMMYFUNCTION("""COMPUTED_VALUE"""),"臺北市立大同高級中學附設國中部")</f>
        <v>臺北市立大同高級中學附設國中部</v>
      </c>
      <c r="F17" s="14" t="str">
        <f>IFERROR(__xludf.DUMMYFUNCTION("""COMPUTED_VALUE"""),"七年級")</f>
        <v>七年級</v>
      </c>
      <c r="G17" s="14" t="str">
        <f>IFERROR(__xludf.DUMMYFUNCTION("""COMPUTED_VALUE"""),"獎狀")</f>
        <v>獎狀</v>
      </c>
      <c r="H17" s="8"/>
    </row>
    <row r="18">
      <c r="A18" s="12"/>
      <c r="B18" s="14">
        <f>IFERROR(__xludf.DUMMYFUNCTION("""COMPUTED_VALUE"""),746861.0)</f>
        <v>746861</v>
      </c>
      <c r="C18" s="14" t="str">
        <f>IFERROR(__xludf.DUMMYFUNCTION("""COMPUTED_VALUE"""),"何庭瑄")</f>
        <v>何庭瑄</v>
      </c>
      <c r="D18" s="16" t="str">
        <f>IFERROR(__xludf.DUMMYFUNCTION("""COMPUTED_VALUE"""),"evi*****019@gmail.com")</f>
        <v>evi*****019@gmail.com</v>
      </c>
      <c r="E18" s="17" t="str">
        <f>IFERROR(__xludf.DUMMYFUNCTION("""COMPUTED_VALUE"""),"臺北市立大同高級中學附設國中部")</f>
        <v>臺北市立大同高級中學附設國中部</v>
      </c>
      <c r="F18" s="14" t="str">
        <f>IFERROR(__xludf.DUMMYFUNCTION("""COMPUTED_VALUE"""),"八年級")</f>
        <v>八年級</v>
      </c>
      <c r="G18" s="14" t="str">
        <f>IFERROR(__xludf.DUMMYFUNCTION("""COMPUTED_VALUE"""),"●小禮物")</f>
        <v>●小禮物</v>
      </c>
      <c r="H18" s="8"/>
    </row>
    <row r="19">
      <c r="A19" s="12"/>
      <c r="B19" s="14">
        <f>IFERROR(__xludf.DUMMYFUNCTION("""COMPUTED_VALUE"""),1209600.0)</f>
        <v>1209600</v>
      </c>
      <c r="C19" s="14" t="str">
        <f>IFERROR(__xludf.DUMMYFUNCTION("""COMPUTED_VALUE"""),"劉冠宏")</f>
        <v>劉冠宏</v>
      </c>
      <c r="D19" s="16" t="str">
        <f>IFERROR(__xludf.DUMMYFUNCTION("""COMPUTED_VALUE"""),"111*****@hhjh.tp.edu.tw")</f>
        <v>111*****@hhjh.tp.edu.tw</v>
      </c>
      <c r="E19" s="17" t="str">
        <f>IFERROR(__xludf.DUMMYFUNCTION("""COMPUTED_VALUE"""),"臺北市立新興國民中學")</f>
        <v>臺北市立新興國民中學</v>
      </c>
      <c r="F19" s="14" t="str">
        <f>IFERROR(__xludf.DUMMYFUNCTION("""COMPUTED_VALUE"""),"七年級")</f>
        <v>七年級</v>
      </c>
      <c r="G19" s="14" t="str">
        <f>IFERROR(__xludf.DUMMYFUNCTION("""COMPUTED_VALUE"""),"●小禮物")</f>
        <v>●小禮物</v>
      </c>
      <c r="H19" s="8"/>
    </row>
    <row r="20">
      <c r="A20" s="12"/>
      <c r="B20" s="14">
        <f>IFERROR(__xludf.DUMMYFUNCTION("""COMPUTED_VALUE"""),1209835.0)</f>
        <v>1209835</v>
      </c>
      <c r="C20" s="14" t="str">
        <f>IFERROR(__xludf.DUMMYFUNCTION("""COMPUTED_VALUE"""),"李益宏")</f>
        <v>李益宏</v>
      </c>
      <c r="D20" s="16" t="str">
        <f>IFERROR(__xludf.DUMMYFUNCTION("""COMPUTED_VALUE"""),"111*****@hhjh.tp.edu.tw")</f>
        <v>111*****@hhjh.tp.edu.tw</v>
      </c>
      <c r="E20" s="17" t="str">
        <f>IFERROR(__xludf.DUMMYFUNCTION("""COMPUTED_VALUE"""),"臺北市立新興國民中學")</f>
        <v>臺北市立新興國民中學</v>
      </c>
      <c r="F20" s="14" t="str">
        <f>IFERROR(__xludf.DUMMYFUNCTION("""COMPUTED_VALUE"""),"七年級")</f>
        <v>七年級</v>
      </c>
      <c r="G20" s="14" t="str">
        <f>IFERROR(__xludf.DUMMYFUNCTION("""COMPUTED_VALUE"""),"獎狀")</f>
        <v>獎狀</v>
      </c>
      <c r="H20" s="8"/>
    </row>
    <row r="21">
      <c r="A21" s="12"/>
      <c r="B21" s="14">
        <f>IFERROR(__xludf.DUMMYFUNCTION("""COMPUTED_VALUE"""),822768.0)</f>
        <v>822768</v>
      </c>
      <c r="C21" s="14" t="str">
        <f>IFERROR(__xludf.DUMMYFUNCTION("""COMPUTED_VALUE"""),"徐子渝")</f>
        <v>徐子渝</v>
      </c>
      <c r="D21" s="16" t="str">
        <f>IFERROR(__xludf.DUMMYFUNCTION("""COMPUTED_VALUE"""),"110*****@hhjh.tp.edu.tw")</f>
        <v>110*****@hhjh.tp.edu.tw</v>
      </c>
      <c r="E21" s="17" t="str">
        <f>IFERROR(__xludf.DUMMYFUNCTION("""COMPUTED_VALUE"""),"臺北市立新興國民中學")</f>
        <v>臺北市立新興國民中學</v>
      </c>
      <c r="F21" s="14" t="str">
        <f>IFERROR(__xludf.DUMMYFUNCTION("""COMPUTED_VALUE"""),"八年級")</f>
        <v>八年級</v>
      </c>
      <c r="G21" s="14" t="str">
        <f>IFERROR(__xludf.DUMMYFUNCTION("""COMPUTED_VALUE"""),"●小禮物")</f>
        <v>●小禮物</v>
      </c>
      <c r="H21" s="8"/>
    </row>
    <row r="22">
      <c r="A22" s="12"/>
      <c r="B22" s="14">
        <f>IFERROR(__xludf.DUMMYFUNCTION("""COMPUTED_VALUE"""),819511.0)</f>
        <v>819511</v>
      </c>
      <c r="C22" s="14" t="str">
        <f>IFERROR(__xludf.DUMMYFUNCTION("""COMPUTED_VALUE"""),"徐可恩")</f>
        <v>徐可恩</v>
      </c>
      <c r="D22" s="16" t="str">
        <f>IFERROR(__xludf.DUMMYFUNCTION("""COMPUTED_VALUE"""),"110*****@hhjh.tp.edu.tw")</f>
        <v>110*****@hhjh.tp.edu.tw</v>
      </c>
      <c r="E22" s="17" t="str">
        <f>IFERROR(__xludf.DUMMYFUNCTION("""COMPUTED_VALUE"""),"臺北市立新興國民中學")</f>
        <v>臺北市立新興國民中學</v>
      </c>
      <c r="F22" s="14" t="str">
        <f>IFERROR(__xludf.DUMMYFUNCTION("""COMPUTED_VALUE"""),"八年級")</f>
        <v>八年級</v>
      </c>
      <c r="G22" s="14" t="str">
        <f>IFERROR(__xludf.DUMMYFUNCTION("""COMPUTED_VALUE"""),"●小禮物")</f>
        <v>●小禮物</v>
      </c>
      <c r="H22" s="8"/>
    </row>
    <row r="23">
      <c r="A23" s="12"/>
      <c r="B23" s="14">
        <f>IFERROR(__xludf.DUMMYFUNCTION("""COMPUTED_VALUE"""),822765.0)</f>
        <v>822765</v>
      </c>
      <c r="C23" s="14" t="str">
        <f>IFERROR(__xludf.DUMMYFUNCTION("""COMPUTED_VALUE"""),"莊雲臣")</f>
        <v>莊雲臣</v>
      </c>
      <c r="D23" s="16" t="str">
        <f>IFERROR(__xludf.DUMMYFUNCTION("""COMPUTED_VALUE"""),"110*****@hhjh.tp.edu.tw")</f>
        <v>110*****@hhjh.tp.edu.tw</v>
      </c>
      <c r="E23" s="17" t="str">
        <f>IFERROR(__xludf.DUMMYFUNCTION("""COMPUTED_VALUE"""),"臺北市立新興國民中學")</f>
        <v>臺北市立新興國民中學</v>
      </c>
      <c r="F23" s="14" t="str">
        <f>IFERROR(__xludf.DUMMYFUNCTION("""COMPUTED_VALUE"""),"八年級")</f>
        <v>八年級</v>
      </c>
      <c r="G23" s="14" t="str">
        <f>IFERROR(__xludf.DUMMYFUNCTION("""COMPUTED_VALUE"""),"●小禮物")</f>
        <v>●小禮物</v>
      </c>
      <c r="H23" s="8"/>
    </row>
    <row r="24">
      <c r="A24" s="12"/>
      <c r="B24" s="14">
        <f>IFERROR(__xludf.DUMMYFUNCTION("""COMPUTED_VALUE"""),822777.0)</f>
        <v>822777</v>
      </c>
      <c r="C24" s="14" t="str">
        <f>IFERROR(__xludf.DUMMYFUNCTION("""COMPUTED_VALUE"""),"陳靖丰")</f>
        <v>陳靖丰</v>
      </c>
      <c r="D24" s="16" t="str">
        <f>IFERROR(__xludf.DUMMYFUNCTION("""COMPUTED_VALUE"""),"110*****@hhjh.tp.edu.tw")</f>
        <v>110*****@hhjh.tp.edu.tw</v>
      </c>
      <c r="E24" s="17" t="str">
        <f>IFERROR(__xludf.DUMMYFUNCTION("""COMPUTED_VALUE"""),"臺北市立新興國民中學")</f>
        <v>臺北市立新興國民中學</v>
      </c>
      <c r="F24" s="14" t="str">
        <f>IFERROR(__xludf.DUMMYFUNCTION("""COMPUTED_VALUE"""),"八年級")</f>
        <v>八年級</v>
      </c>
      <c r="G24" s="14" t="str">
        <f>IFERROR(__xludf.DUMMYFUNCTION("""COMPUTED_VALUE"""),"●小禮物")</f>
        <v>●小禮物</v>
      </c>
      <c r="H24" s="8"/>
    </row>
    <row r="25">
      <c r="A25" s="12"/>
      <c r="B25" s="14">
        <f>IFERROR(__xludf.DUMMYFUNCTION("""COMPUTED_VALUE"""),822776.0)</f>
        <v>822776</v>
      </c>
      <c r="C25" s="14" t="str">
        <f>IFERROR(__xludf.DUMMYFUNCTION("""COMPUTED_VALUE"""),"蘇佳音")</f>
        <v>蘇佳音</v>
      </c>
      <c r="D25" s="16" t="str">
        <f>IFERROR(__xludf.DUMMYFUNCTION("""COMPUTED_VALUE"""),"110*****@hhjh.tp.edu.tw")</f>
        <v>110*****@hhjh.tp.edu.tw</v>
      </c>
      <c r="E25" s="17" t="str">
        <f>IFERROR(__xludf.DUMMYFUNCTION("""COMPUTED_VALUE"""),"臺北市立新興國民中學")</f>
        <v>臺北市立新興國民中學</v>
      </c>
      <c r="F25" s="14" t="str">
        <f>IFERROR(__xludf.DUMMYFUNCTION("""COMPUTED_VALUE"""),"八年級")</f>
        <v>八年級</v>
      </c>
      <c r="G25" s="14" t="str">
        <f>IFERROR(__xludf.DUMMYFUNCTION("""COMPUTED_VALUE"""),"獎狀")</f>
        <v>獎狀</v>
      </c>
      <c r="H25" s="8"/>
    </row>
    <row r="26">
      <c r="A26" s="12"/>
      <c r="B26" s="14">
        <f>IFERROR(__xludf.DUMMYFUNCTION("""COMPUTED_VALUE"""),824335.0)</f>
        <v>824335</v>
      </c>
      <c r="C26" s="14" t="str">
        <f>IFERROR(__xludf.DUMMYFUNCTION("""COMPUTED_VALUE"""),"吳宸綾")</f>
        <v>吳宸綾</v>
      </c>
      <c r="D26" s="16" t="str">
        <f>IFERROR(__xludf.DUMMYFUNCTION("""COMPUTED_VALUE"""),"110*****@hhjh.tp.edu.tw")</f>
        <v>110*****@hhjh.tp.edu.tw</v>
      </c>
      <c r="E26" s="17" t="str">
        <f>IFERROR(__xludf.DUMMYFUNCTION("""COMPUTED_VALUE"""),"臺北市立新興國民中學")</f>
        <v>臺北市立新興國民中學</v>
      </c>
      <c r="F26" s="14" t="str">
        <f>IFERROR(__xludf.DUMMYFUNCTION("""COMPUTED_VALUE"""),"八年級")</f>
        <v>八年級</v>
      </c>
      <c r="G26" s="14" t="str">
        <f>IFERROR(__xludf.DUMMYFUNCTION("""COMPUTED_VALUE"""),"●小禮物")</f>
        <v>●小禮物</v>
      </c>
      <c r="H26" s="8"/>
    </row>
    <row r="27">
      <c r="A27" s="12"/>
      <c r="B27" s="14">
        <f>IFERROR(__xludf.DUMMYFUNCTION("""COMPUTED_VALUE"""),824334.0)</f>
        <v>824334</v>
      </c>
      <c r="C27" s="14" t="str">
        <f>IFERROR(__xludf.DUMMYFUNCTION("""COMPUTED_VALUE"""),"蔡承哲")</f>
        <v>蔡承哲</v>
      </c>
      <c r="D27" s="16" t="str">
        <f>IFERROR(__xludf.DUMMYFUNCTION("""COMPUTED_VALUE"""),"110*****@hhjh.tp.edu.tw")</f>
        <v>110*****@hhjh.tp.edu.tw</v>
      </c>
      <c r="E27" s="17" t="str">
        <f>IFERROR(__xludf.DUMMYFUNCTION("""COMPUTED_VALUE"""),"臺北市立新興國民中學")</f>
        <v>臺北市立新興國民中學</v>
      </c>
      <c r="F27" s="14" t="str">
        <f>IFERROR(__xludf.DUMMYFUNCTION("""COMPUTED_VALUE"""),"八年級")</f>
        <v>八年級</v>
      </c>
      <c r="G27" s="14" t="str">
        <f>IFERROR(__xludf.DUMMYFUNCTION("""COMPUTED_VALUE"""),"●小禮物")</f>
        <v>●小禮物</v>
      </c>
      <c r="H27" s="8"/>
    </row>
    <row r="28">
      <c r="A28" s="12"/>
      <c r="B28" s="14">
        <f>IFERROR(__xludf.DUMMYFUNCTION("""COMPUTED_VALUE"""),824345.0)</f>
        <v>824345</v>
      </c>
      <c r="C28" s="14" t="str">
        <f>IFERROR(__xludf.DUMMYFUNCTION("""COMPUTED_VALUE"""),"戴清心")</f>
        <v>戴清心</v>
      </c>
      <c r="D28" s="16" t="str">
        <f>IFERROR(__xludf.DUMMYFUNCTION("""COMPUTED_VALUE"""),"110*****@hhjh.tp.edu.tw")</f>
        <v>110*****@hhjh.tp.edu.tw</v>
      </c>
      <c r="E28" s="17" t="str">
        <f>IFERROR(__xludf.DUMMYFUNCTION("""COMPUTED_VALUE"""),"臺北市立新興國民中學")</f>
        <v>臺北市立新興國民中學</v>
      </c>
      <c r="F28" s="14" t="str">
        <f>IFERROR(__xludf.DUMMYFUNCTION("""COMPUTED_VALUE"""),"八年級")</f>
        <v>八年級</v>
      </c>
      <c r="G28" s="14" t="str">
        <f>IFERROR(__xludf.DUMMYFUNCTION("""COMPUTED_VALUE"""),"●小禮物")</f>
        <v>●小禮物</v>
      </c>
      <c r="H28" s="8"/>
    </row>
    <row r="29">
      <c r="A29" s="12"/>
      <c r="B29" s="14">
        <f>IFERROR(__xludf.DUMMYFUNCTION("""COMPUTED_VALUE"""),824359.0)</f>
        <v>824359</v>
      </c>
      <c r="C29" s="14" t="str">
        <f>IFERROR(__xludf.DUMMYFUNCTION("""COMPUTED_VALUE"""),"戴翌翔")</f>
        <v>戴翌翔</v>
      </c>
      <c r="D29" s="16" t="str">
        <f>IFERROR(__xludf.DUMMYFUNCTION("""COMPUTED_VALUE"""),"110*****@hhjh.tp.edu.tw")</f>
        <v>110*****@hhjh.tp.edu.tw</v>
      </c>
      <c r="E29" s="17" t="str">
        <f>IFERROR(__xludf.DUMMYFUNCTION("""COMPUTED_VALUE"""),"臺北市立新興國民中學")</f>
        <v>臺北市立新興國民中學</v>
      </c>
      <c r="F29" s="14" t="str">
        <f>IFERROR(__xludf.DUMMYFUNCTION("""COMPUTED_VALUE"""),"八年級")</f>
        <v>八年級</v>
      </c>
      <c r="G29" s="14" t="str">
        <f>IFERROR(__xludf.DUMMYFUNCTION("""COMPUTED_VALUE"""),"●小禮物")</f>
        <v>●小禮物</v>
      </c>
      <c r="H29" s="8"/>
    </row>
    <row r="30">
      <c r="A30" s="12"/>
      <c r="B30" s="14">
        <f>IFERROR(__xludf.DUMMYFUNCTION("""COMPUTED_VALUE"""),819555.0)</f>
        <v>819555</v>
      </c>
      <c r="C30" s="14" t="str">
        <f>IFERROR(__xludf.DUMMYFUNCTION("""COMPUTED_VALUE"""),"何冠賢")</f>
        <v>何冠賢</v>
      </c>
      <c r="D30" s="16" t="str">
        <f>IFERROR(__xludf.DUMMYFUNCTION("""COMPUTED_VALUE"""),"110*****@hhjh.tp.edu.tw")</f>
        <v>110*****@hhjh.tp.edu.tw</v>
      </c>
      <c r="E30" s="17" t="str">
        <f>IFERROR(__xludf.DUMMYFUNCTION("""COMPUTED_VALUE"""),"臺北市立新興國民中學")</f>
        <v>臺北市立新興國民中學</v>
      </c>
      <c r="F30" s="14" t="str">
        <f>IFERROR(__xludf.DUMMYFUNCTION("""COMPUTED_VALUE"""),"八年級")</f>
        <v>八年級</v>
      </c>
      <c r="G30" s="14" t="str">
        <f>IFERROR(__xludf.DUMMYFUNCTION("""COMPUTED_VALUE"""),"獎狀")</f>
        <v>獎狀</v>
      </c>
      <c r="H30" s="8"/>
    </row>
    <row r="31">
      <c r="A31" s="12"/>
      <c r="B31" s="14">
        <f>IFERROR(__xludf.DUMMYFUNCTION("""COMPUTED_VALUE"""),824330.0)</f>
        <v>824330</v>
      </c>
      <c r="C31" s="14" t="str">
        <f>IFERROR(__xludf.DUMMYFUNCTION("""COMPUTED_VALUE"""),"洪睿廷")</f>
        <v>洪睿廷</v>
      </c>
      <c r="D31" s="16" t="str">
        <f>IFERROR(__xludf.DUMMYFUNCTION("""COMPUTED_VALUE"""),"110*****@hhjh.tp.edu.tw")</f>
        <v>110*****@hhjh.tp.edu.tw</v>
      </c>
      <c r="E31" s="17" t="str">
        <f>IFERROR(__xludf.DUMMYFUNCTION("""COMPUTED_VALUE"""),"臺北市立新興國民中學")</f>
        <v>臺北市立新興國民中學</v>
      </c>
      <c r="F31" s="14" t="str">
        <f>IFERROR(__xludf.DUMMYFUNCTION("""COMPUTED_VALUE"""),"八年級")</f>
        <v>八年級</v>
      </c>
      <c r="G31" s="14" t="str">
        <f>IFERROR(__xludf.DUMMYFUNCTION("""COMPUTED_VALUE"""),"獎狀")</f>
        <v>獎狀</v>
      </c>
      <c r="H31" s="8"/>
    </row>
    <row r="32">
      <c r="A32" s="12"/>
      <c r="B32" s="14">
        <f>IFERROR(__xludf.DUMMYFUNCTION("""COMPUTED_VALUE"""),824325.0)</f>
        <v>824325</v>
      </c>
      <c r="C32" s="14" t="str">
        <f>IFERROR(__xludf.DUMMYFUNCTION("""COMPUTED_VALUE"""),"張巧妮")</f>
        <v>張巧妮</v>
      </c>
      <c r="D32" s="16" t="str">
        <f>IFERROR(__xludf.DUMMYFUNCTION("""COMPUTED_VALUE"""),"110*****@hhjh.tp.edu.tw")</f>
        <v>110*****@hhjh.tp.edu.tw</v>
      </c>
      <c r="E32" s="17" t="str">
        <f>IFERROR(__xludf.DUMMYFUNCTION("""COMPUTED_VALUE"""),"臺北市立新興國民中學")</f>
        <v>臺北市立新興國民中學</v>
      </c>
      <c r="F32" s="14" t="str">
        <f>IFERROR(__xludf.DUMMYFUNCTION("""COMPUTED_VALUE"""),"八年級")</f>
        <v>八年級</v>
      </c>
      <c r="G32" s="14" t="str">
        <f>IFERROR(__xludf.DUMMYFUNCTION("""COMPUTED_VALUE"""),"獎狀")</f>
        <v>獎狀</v>
      </c>
      <c r="H32" s="8"/>
    </row>
    <row r="33">
      <c r="A33" s="12"/>
      <c r="B33" s="14">
        <f>IFERROR(__xludf.DUMMYFUNCTION("""COMPUTED_VALUE"""),824348.0)</f>
        <v>824348</v>
      </c>
      <c r="C33" s="14" t="str">
        <f>IFERROR(__xludf.DUMMYFUNCTION("""COMPUTED_VALUE"""),"許偉哲")</f>
        <v>許偉哲</v>
      </c>
      <c r="D33" s="16" t="str">
        <f>IFERROR(__xludf.DUMMYFUNCTION("""COMPUTED_VALUE"""),"110*****@hhjh.tp.edu.tw")</f>
        <v>110*****@hhjh.tp.edu.tw</v>
      </c>
      <c r="E33" s="17" t="str">
        <f>IFERROR(__xludf.DUMMYFUNCTION("""COMPUTED_VALUE"""),"臺北市立新興國民中學")</f>
        <v>臺北市立新興國民中學</v>
      </c>
      <c r="F33" s="14" t="str">
        <f>IFERROR(__xludf.DUMMYFUNCTION("""COMPUTED_VALUE"""),"八年級")</f>
        <v>八年級</v>
      </c>
      <c r="G33" s="14" t="str">
        <f>IFERROR(__xludf.DUMMYFUNCTION("""COMPUTED_VALUE"""),"獎狀")</f>
        <v>獎狀</v>
      </c>
      <c r="H33" s="8"/>
    </row>
    <row r="34">
      <c r="A34" s="12"/>
      <c r="B34" s="14">
        <f>IFERROR(__xludf.DUMMYFUNCTION("""COMPUTED_VALUE"""),824337.0)</f>
        <v>824337</v>
      </c>
      <c r="C34" s="14" t="str">
        <f>IFERROR(__xludf.DUMMYFUNCTION("""COMPUTED_VALUE"""),"陳元麒")</f>
        <v>陳元麒</v>
      </c>
      <c r="D34" s="16" t="str">
        <f>IFERROR(__xludf.DUMMYFUNCTION("""COMPUTED_VALUE"""),"110*****@hhjh.tp.edu.tw")</f>
        <v>110*****@hhjh.tp.edu.tw</v>
      </c>
      <c r="E34" s="17" t="str">
        <f>IFERROR(__xludf.DUMMYFUNCTION("""COMPUTED_VALUE"""),"臺北市立新興國民中學")</f>
        <v>臺北市立新興國民中學</v>
      </c>
      <c r="F34" s="14" t="str">
        <f>IFERROR(__xludf.DUMMYFUNCTION("""COMPUTED_VALUE"""),"八年級")</f>
        <v>八年級</v>
      </c>
      <c r="G34" s="14" t="str">
        <f>IFERROR(__xludf.DUMMYFUNCTION("""COMPUTED_VALUE"""),"獎狀")</f>
        <v>獎狀</v>
      </c>
      <c r="H34" s="8"/>
    </row>
    <row r="35">
      <c r="A35" s="12"/>
      <c r="B35" s="14">
        <f>IFERROR(__xludf.DUMMYFUNCTION("""COMPUTED_VALUE"""),847779.0)</f>
        <v>847779</v>
      </c>
      <c r="C35" s="14" t="str">
        <f>IFERROR(__xludf.DUMMYFUNCTION("""COMPUTED_VALUE"""),"蔡清光")</f>
        <v>蔡清光</v>
      </c>
      <c r="D35" s="16" t="str">
        <f>IFERROR(__xludf.DUMMYFUNCTION("""COMPUTED_VALUE"""),"110*****@hhjh.tp.edu.tw")</f>
        <v>110*****@hhjh.tp.edu.tw</v>
      </c>
      <c r="E35" s="17" t="str">
        <f>IFERROR(__xludf.DUMMYFUNCTION("""COMPUTED_VALUE"""),"臺北市立新興國民中學")</f>
        <v>臺北市立新興國民中學</v>
      </c>
      <c r="F35" s="14" t="str">
        <f>IFERROR(__xludf.DUMMYFUNCTION("""COMPUTED_VALUE"""),"八年級")</f>
        <v>八年級</v>
      </c>
      <c r="G35" s="14" t="str">
        <f>IFERROR(__xludf.DUMMYFUNCTION("""COMPUTED_VALUE"""),"獎狀")</f>
        <v>獎狀</v>
      </c>
      <c r="H35" s="8"/>
    </row>
    <row r="36">
      <c r="A36" s="12"/>
      <c r="B36" s="14">
        <f>IFERROR(__xludf.DUMMYFUNCTION("""COMPUTED_VALUE"""),828951.0)</f>
        <v>828951</v>
      </c>
      <c r="C36" s="14" t="str">
        <f>IFERROR(__xludf.DUMMYFUNCTION("""COMPUTED_VALUE"""),"張詠涵")</f>
        <v>張詠涵</v>
      </c>
      <c r="D36" s="16" t="str">
        <f>IFERROR(__xludf.DUMMYFUNCTION("""COMPUTED_VALUE"""),"110*****@hhjh.tp.edu.tw")</f>
        <v>110*****@hhjh.tp.edu.tw</v>
      </c>
      <c r="E36" s="17" t="str">
        <f>IFERROR(__xludf.DUMMYFUNCTION("""COMPUTED_VALUE"""),"臺北市立新興國民中學")</f>
        <v>臺北市立新興國民中學</v>
      </c>
      <c r="F36" s="14" t="str">
        <f>IFERROR(__xludf.DUMMYFUNCTION("""COMPUTED_VALUE"""),"八年級")</f>
        <v>八年級</v>
      </c>
      <c r="G36" s="14" t="str">
        <f>IFERROR(__xludf.DUMMYFUNCTION("""COMPUTED_VALUE"""),"●小禮物")</f>
        <v>●小禮物</v>
      </c>
      <c r="H36" s="8"/>
    </row>
    <row r="37">
      <c r="A37" s="12"/>
      <c r="B37" s="14">
        <f>IFERROR(__xludf.DUMMYFUNCTION("""COMPUTED_VALUE"""),828912.0)</f>
        <v>828912</v>
      </c>
      <c r="C37" s="14" t="str">
        <f>IFERROR(__xludf.DUMMYFUNCTION("""COMPUTED_VALUE"""),"曾翊宸")</f>
        <v>曾翊宸</v>
      </c>
      <c r="D37" s="16" t="str">
        <f>IFERROR(__xludf.DUMMYFUNCTION("""COMPUTED_VALUE"""),"110*****@hhjh.tp.edu.tw")</f>
        <v>110*****@hhjh.tp.edu.tw</v>
      </c>
      <c r="E37" s="17" t="str">
        <f>IFERROR(__xludf.DUMMYFUNCTION("""COMPUTED_VALUE"""),"臺北市立新興國民中學")</f>
        <v>臺北市立新興國民中學</v>
      </c>
      <c r="F37" s="14" t="str">
        <f>IFERROR(__xludf.DUMMYFUNCTION("""COMPUTED_VALUE"""),"八年級")</f>
        <v>八年級</v>
      </c>
      <c r="G37" s="14" t="str">
        <f>IFERROR(__xludf.DUMMYFUNCTION("""COMPUTED_VALUE"""),"●小禮物")</f>
        <v>●小禮物</v>
      </c>
      <c r="H37" s="8"/>
    </row>
    <row r="38">
      <c r="A38" s="12"/>
      <c r="B38" s="14">
        <f>IFERROR(__xludf.DUMMYFUNCTION("""COMPUTED_VALUE"""),828933.0)</f>
        <v>828933</v>
      </c>
      <c r="C38" s="14" t="str">
        <f>IFERROR(__xludf.DUMMYFUNCTION("""COMPUTED_VALUE"""),"鄭易琁")</f>
        <v>鄭易琁</v>
      </c>
      <c r="D38" s="16" t="str">
        <f>IFERROR(__xludf.DUMMYFUNCTION("""COMPUTED_VALUE"""),"110*****@hhjh.tp.edu.tw")</f>
        <v>110*****@hhjh.tp.edu.tw</v>
      </c>
      <c r="E38" s="17" t="str">
        <f>IFERROR(__xludf.DUMMYFUNCTION("""COMPUTED_VALUE"""),"臺北市立新興國民中學")</f>
        <v>臺北市立新興國民中學</v>
      </c>
      <c r="F38" s="14" t="str">
        <f>IFERROR(__xludf.DUMMYFUNCTION("""COMPUTED_VALUE"""),"八年級")</f>
        <v>八年級</v>
      </c>
      <c r="G38" s="14" t="str">
        <f>IFERROR(__xludf.DUMMYFUNCTION("""COMPUTED_VALUE"""),"●小禮物")</f>
        <v>●小禮物</v>
      </c>
      <c r="H38" s="8"/>
    </row>
    <row r="39">
      <c r="A39" s="12"/>
      <c r="B39" s="14">
        <f>IFERROR(__xludf.DUMMYFUNCTION("""COMPUTED_VALUE"""),828943.0)</f>
        <v>828943</v>
      </c>
      <c r="C39" s="14" t="str">
        <f>IFERROR(__xludf.DUMMYFUNCTION("""COMPUTED_VALUE"""),"林侑潔")</f>
        <v>林侑潔</v>
      </c>
      <c r="D39" s="16" t="str">
        <f>IFERROR(__xludf.DUMMYFUNCTION("""COMPUTED_VALUE"""),"110*****@hhjh.tp.edu.tw")</f>
        <v>110*****@hhjh.tp.edu.tw</v>
      </c>
      <c r="E39" s="17" t="str">
        <f>IFERROR(__xludf.DUMMYFUNCTION("""COMPUTED_VALUE"""),"臺北市立新興國民中學")</f>
        <v>臺北市立新興國民中學</v>
      </c>
      <c r="F39" s="14" t="str">
        <f>IFERROR(__xludf.DUMMYFUNCTION("""COMPUTED_VALUE"""),"八年級")</f>
        <v>八年級</v>
      </c>
      <c r="G39" s="14" t="str">
        <f>IFERROR(__xludf.DUMMYFUNCTION("""COMPUTED_VALUE"""),"獎狀")</f>
        <v>獎狀</v>
      </c>
      <c r="H39" s="8"/>
    </row>
    <row r="40">
      <c r="A40" s="12"/>
      <c r="B40" s="14">
        <f>IFERROR(__xludf.DUMMYFUNCTION("""COMPUTED_VALUE"""),819512.0)</f>
        <v>819512</v>
      </c>
      <c r="C40" s="14" t="str">
        <f>IFERROR(__xludf.DUMMYFUNCTION("""COMPUTED_VALUE"""),"林威彤")</f>
        <v>林威彤</v>
      </c>
      <c r="D40" s="16" t="str">
        <f>IFERROR(__xludf.DUMMYFUNCTION("""COMPUTED_VALUE"""),"110*****@hhjh.tp.edu.tw")</f>
        <v>110*****@hhjh.tp.edu.tw</v>
      </c>
      <c r="E40" s="17" t="str">
        <f>IFERROR(__xludf.DUMMYFUNCTION("""COMPUTED_VALUE"""),"臺北市立新興國民中學")</f>
        <v>臺北市立新興國民中學</v>
      </c>
      <c r="F40" s="14" t="str">
        <f>IFERROR(__xludf.DUMMYFUNCTION("""COMPUTED_VALUE"""),"八年級")</f>
        <v>八年級</v>
      </c>
      <c r="G40" s="14" t="str">
        <f>IFERROR(__xludf.DUMMYFUNCTION("""COMPUTED_VALUE"""),"獎狀")</f>
        <v>獎狀</v>
      </c>
      <c r="H40" s="8"/>
    </row>
    <row r="41">
      <c r="A41" s="12"/>
      <c r="B41" s="14">
        <f>IFERROR(__xludf.DUMMYFUNCTION("""COMPUTED_VALUE"""),828914.0)</f>
        <v>828914</v>
      </c>
      <c r="C41" s="14" t="str">
        <f>IFERROR(__xludf.DUMMYFUNCTION("""COMPUTED_VALUE"""),"林意晴")</f>
        <v>林意晴</v>
      </c>
      <c r="D41" s="16" t="str">
        <f>IFERROR(__xludf.DUMMYFUNCTION("""COMPUTED_VALUE"""),"110*****@hhjh.tp.edu.tw")</f>
        <v>110*****@hhjh.tp.edu.tw</v>
      </c>
      <c r="E41" s="17" t="str">
        <f>IFERROR(__xludf.DUMMYFUNCTION("""COMPUTED_VALUE"""),"臺北市立新興國民中學")</f>
        <v>臺北市立新興國民中學</v>
      </c>
      <c r="F41" s="14" t="str">
        <f>IFERROR(__xludf.DUMMYFUNCTION("""COMPUTED_VALUE"""),"八年級")</f>
        <v>八年級</v>
      </c>
      <c r="G41" s="14" t="str">
        <f>IFERROR(__xludf.DUMMYFUNCTION("""COMPUTED_VALUE"""),"獎狀")</f>
        <v>獎狀</v>
      </c>
      <c r="H41" s="8"/>
    </row>
    <row r="42">
      <c r="A42" s="12"/>
      <c r="B42" s="14">
        <f>IFERROR(__xludf.DUMMYFUNCTION("""COMPUTED_VALUE"""),1199079.0)</f>
        <v>1199079</v>
      </c>
      <c r="C42" s="14" t="str">
        <f>IFERROR(__xludf.DUMMYFUNCTION("""COMPUTED_VALUE"""),"邱以旋")</f>
        <v>邱以旋</v>
      </c>
      <c r="D42" s="16" t="str">
        <f>IFERROR(__xludf.DUMMYFUNCTION("""COMPUTED_VALUE"""),"mel*****iu123@gmail.com")</f>
        <v>mel*****iu123@gmail.com</v>
      </c>
      <c r="E42" s="17" t="str">
        <f>IFERROR(__xludf.DUMMYFUNCTION("""COMPUTED_VALUE"""),"臺北市立新興國民中學")</f>
        <v>臺北市立新興國民中學</v>
      </c>
      <c r="F42" s="14" t="str">
        <f>IFERROR(__xludf.DUMMYFUNCTION("""COMPUTED_VALUE"""),"九年級")</f>
        <v>九年級</v>
      </c>
      <c r="G42" s="14" t="str">
        <f>IFERROR(__xludf.DUMMYFUNCTION("""COMPUTED_VALUE"""),"●小禮物")</f>
        <v>●小禮物</v>
      </c>
      <c r="H42" s="8"/>
    </row>
    <row r="43">
      <c r="A43" s="12"/>
      <c r="B43" s="14">
        <f>IFERROR(__xludf.DUMMYFUNCTION("""COMPUTED_VALUE"""),445788.0)</f>
        <v>445788</v>
      </c>
      <c r="C43" s="14" t="str">
        <f>IFERROR(__xludf.DUMMYFUNCTION("""COMPUTED_VALUE"""),"劉芯妤")</f>
        <v>劉芯妤</v>
      </c>
      <c r="D43" s="16" t="str">
        <f>IFERROR(__xludf.DUMMYFUNCTION("""COMPUTED_VALUE"""),"109*****@bjjh.tp.edu.tw")</f>
        <v>109*****@bjjh.tp.edu.tw</v>
      </c>
      <c r="E43" s="17" t="str">
        <f>IFERROR(__xludf.DUMMYFUNCTION("""COMPUTED_VALUE"""),"臺北市濱江實驗國民中學")</f>
        <v>臺北市濱江實驗國民中學</v>
      </c>
      <c r="F43" s="14" t="str">
        <f>IFERROR(__xludf.DUMMYFUNCTION("""COMPUTED_VALUE"""),"九年級")</f>
        <v>九年級</v>
      </c>
      <c r="G43" s="14" t="str">
        <f>IFERROR(__xludf.DUMMYFUNCTION("""COMPUTED_VALUE"""),"獎狀")</f>
        <v>獎狀</v>
      </c>
      <c r="H43" s="8"/>
    </row>
    <row r="44">
      <c r="A44" s="12"/>
      <c r="B44" s="14">
        <f>IFERROR(__xludf.DUMMYFUNCTION("""COMPUTED_VALUE"""),181390.0)</f>
        <v>181390</v>
      </c>
      <c r="C44" s="14" t="str">
        <f>IFERROR(__xludf.DUMMYFUNCTION("""COMPUTED_VALUE"""),"黃雨晴")</f>
        <v>黃雨晴</v>
      </c>
      <c r="D44" s="16" t="str">
        <f>IFERROR(__xludf.DUMMYFUNCTION("""COMPUTED_VALUE"""),"rub*****2@gmail.com")</f>
        <v>rub*****2@gmail.com</v>
      </c>
      <c r="E44" s="17" t="str">
        <f>IFERROR(__xludf.DUMMYFUNCTION("""COMPUTED_VALUE"""),"臺北市立長安國民中學")</f>
        <v>臺北市立長安國民中學</v>
      </c>
      <c r="F44" s="14" t="str">
        <f>IFERROR(__xludf.DUMMYFUNCTION("""COMPUTED_VALUE"""),"七年級")</f>
        <v>七年級</v>
      </c>
      <c r="G44" s="14" t="str">
        <f>IFERROR(__xludf.DUMMYFUNCTION("""COMPUTED_VALUE"""),"獎狀")</f>
        <v>獎狀</v>
      </c>
      <c r="H44" s="8"/>
    </row>
    <row r="45">
      <c r="A45" s="12"/>
      <c r="B45" s="14">
        <f>IFERROR(__xludf.DUMMYFUNCTION("""COMPUTED_VALUE"""),115838.0)</f>
        <v>115838</v>
      </c>
      <c r="C45" s="14" t="str">
        <f>IFERROR(__xludf.DUMMYFUNCTION("""COMPUTED_VALUE"""),"陳品彤")</f>
        <v>陳品彤</v>
      </c>
      <c r="D45" s="16" t="str">
        <f>IFERROR(__xludf.DUMMYFUNCTION("""COMPUTED_VALUE"""),"104*****ces.tp.edu.tw")</f>
        <v>104*****ces.tp.edu.tw</v>
      </c>
      <c r="E45" s="17" t="str">
        <f>IFERROR(__xludf.DUMMYFUNCTION("""COMPUTED_VALUE"""),"臺北市立敦化國民中學")</f>
        <v>臺北市立敦化國民中學</v>
      </c>
      <c r="F45" s="14" t="str">
        <f>IFERROR(__xludf.DUMMYFUNCTION("""COMPUTED_VALUE"""),"八年級")</f>
        <v>八年級</v>
      </c>
      <c r="G45" s="14" t="str">
        <f>IFERROR(__xludf.DUMMYFUNCTION("""COMPUTED_VALUE"""),"●小禮物")</f>
        <v>●小禮物</v>
      </c>
      <c r="H45" s="8"/>
    </row>
    <row r="46">
      <c r="A46" s="12"/>
      <c r="B46" s="14">
        <f>IFERROR(__xludf.DUMMYFUNCTION("""COMPUTED_VALUE"""),1186742.0)</f>
        <v>1186742</v>
      </c>
      <c r="C46" s="14" t="str">
        <f>IFERROR(__xludf.DUMMYFUNCTION("""COMPUTED_VALUE"""),"陳品睿")</f>
        <v>陳品睿</v>
      </c>
      <c r="D46" s="16" t="str">
        <f>IFERROR(__xludf.DUMMYFUNCTION("""COMPUTED_VALUE"""),"111*****@tajh.tp.edu.tw")</f>
        <v>111*****@tajh.tp.edu.tw</v>
      </c>
      <c r="E46" s="17" t="str">
        <f>IFERROR(__xludf.DUMMYFUNCTION("""COMPUTED_VALUE"""),"臺北市立大安國民中學")</f>
        <v>臺北市立大安國民中學</v>
      </c>
      <c r="F46" s="14" t="str">
        <f>IFERROR(__xludf.DUMMYFUNCTION("""COMPUTED_VALUE"""),"七年級")</f>
        <v>七年級</v>
      </c>
      <c r="G46" s="14" t="str">
        <f>IFERROR(__xludf.DUMMYFUNCTION("""COMPUTED_VALUE"""),"獎狀")</f>
        <v>獎狀</v>
      </c>
      <c r="H46" s="8"/>
    </row>
    <row r="47">
      <c r="A47" s="12"/>
      <c r="B47" s="14">
        <f>IFERROR(__xludf.DUMMYFUNCTION("""COMPUTED_VALUE"""),866537.0)</f>
        <v>866537</v>
      </c>
      <c r="C47" s="14" t="str">
        <f>IFERROR(__xludf.DUMMYFUNCTION("""COMPUTED_VALUE"""),"方楷維")</f>
        <v>方楷維</v>
      </c>
      <c r="D47" s="16" t="str">
        <f>IFERROR(__xludf.DUMMYFUNCTION("""COMPUTED_VALUE"""),"fan*****e45@gmail.com")</f>
        <v>fan*****e45@gmail.com</v>
      </c>
      <c r="E47" s="17" t="str">
        <f>IFERROR(__xludf.DUMMYFUNCTION("""COMPUTED_VALUE"""),"臺北市立大安國民中學")</f>
        <v>臺北市立大安國民中學</v>
      </c>
      <c r="F47" s="14" t="str">
        <f>IFERROR(__xludf.DUMMYFUNCTION("""COMPUTED_VALUE"""),"八年級")</f>
        <v>八年級</v>
      </c>
      <c r="G47" s="14" t="str">
        <f>IFERROR(__xludf.DUMMYFUNCTION("""COMPUTED_VALUE"""),"●小禮物")</f>
        <v>●小禮物</v>
      </c>
      <c r="H47" s="8"/>
    </row>
    <row r="48">
      <c r="A48" s="12"/>
      <c r="B48" s="14">
        <f>IFERROR(__xludf.DUMMYFUNCTION("""COMPUTED_VALUE"""),1161634.0)</f>
        <v>1161634</v>
      </c>
      <c r="C48" s="14" t="str">
        <f>IFERROR(__xludf.DUMMYFUNCTION("""COMPUTED_VALUE"""),"廖悠行")</f>
        <v>廖悠行</v>
      </c>
      <c r="D48" s="16" t="str">
        <f>IFERROR(__xludf.DUMMYFUNCTION("""COMPUTED_VALUE"""),"111*****@gs.hs.ntnu.edu.tw")</f>
        <v>111*****@gs.hs.ntnu.edu.tw</v>
      </c>
      <c r="E48" s="17" t="str">
        <f>IFERROR(__xludf.DUMMYFUNCTION("""COMPUTED_VALUE"""),"國立臺灣師範大學附屬高級中學附設國中部")</f>
        <v>國立臺灣師範大學附屬高級中學附設國中部</v>
      </c>
      <c r="F48" s="14" t="str">
        <f>IFERROR(__xludf.DUMMYFUNCTION("""COMPUTED_VALUE"""),"七年級")</f>
        <v>七年級</v>
      </c>
      <c r="G48" s="14" t="str">
        <f>IFERROR(__xludf.DUMMYFUNCTION("""COMPUTED_VALUE"""),"獎狀")</f>
        <v>獎狀</v>
      </c>
      <c r="H48" s="8"/>
    </row>
    <row r="49">
      <c r="A49" s="12"/>
      <c r="B49" s="14">
        <f>IFERROR(__xludf.DUMMYFUNCTION("""COMPUTED_VALUE"""),1185940.0)</f>
        <v>1185940</v>
      </c>
      <c r="C49" s="14" t="str">
        <f>IFERROR(__xludf.DUMMYFUNCTION("""COMPUTED_VALUE"""),"王子鈞")</f>
        <v>王子鈞</v>
      </c>
      <c r="D49" s="16" t="str">
        <f>IFERROR(__xludf.DUMMYFUNCTION("""COMPUTED_VALUE"""),"111*****@gs.hs.ntnu.edu.tw")</f>
        <v>111*****@gs.hs.ntnu.edu.tw</v>
      </c>
      <c r="E49" s="17" t="str">
        <f>IFERROR(__xludf.DUMMYFUNCTION("""COMPUTED_VALUE"""),"國立臺灣師範大學附屬高級中學附設國中部")</f>
        <v>國立臺灣師範大學附屬高級中學附設國中部</v>
      </c>
      <c r="F49" s="14" t="str">
        <f>IFERROR(__xludf.DUMMYFUNCTION("""COMPUTED_VALUE"""),"七年級")</f>
        <v>七年級</v>
      </c>
      <c r="G49" s="14" t="str">
        <f>IFERROR(__xludf.DUMMYFUNCTION("""COMPUTED_VALUE"""),"獎狀")</f>
        <v>獎狀</v>
      </c>
      <c r="H49" s="8"/>
    </row>
    <row r="50">
      <c r="A50" s="12"/>
      <c r="B50" s="14">
        <f>IFERROR(__xludf.DUMMYFUNCTION("""COMPUTED_VALUE"""),248382.0)</f>
        <v>248382</v>
      </c>
      <c r="C50" s="14" t="str">
        <f>IFERROR(__xludf.DUMMYFUNCTION("""COMPUTED_VALUE"""),"陳奕安")</f>
        <v>陳奕安</v>
      </c>
      <c r="D50" s="16" t="str">
        <f>IFERROR(__xludf.DUMMYFUNCTION("""COMPUTED_VALUE"""),"ang*****17@hotmail.com")</f>
        <v>ang*****17@hotmail.com</v>
      </c>
      <c r="E50" s="17" t="str">
        <f>IFERROR(__xludf.DUMMYFUNCTION("""COMPUTED_VALUE"""),"臺北市私立延平高級中學附設國中部")</f>
        <v>臺北市私立延平高級中學附設國中部</v>
      </c>
      <c r="F50" s="14" t="str">
        <f>IFERROR(__xludf.DUMMYFUNCTION("""COMPUTED_VALUE"""),"七年級")</f>
        <v>七年級</v>
      </c>
      <c r="G50" s="14" t="str">
        <f>IFERROR(__xludf.DUMMYFUNCTION("""COMPUTED_VALUE"""),"★禮券$500")</f>
        <v>★禮券$500</v>
      </c>
      <c r="H50" s="8"/>
    </row>
    <row r="51">
      <c r="A51" s="12"/>
      <c r="B51" s="14">
        <f>IFERROR(__xludf.DUMMYFUNCTION("""COMPUTED_VALUE"""),1211950.0)</f>
        <v>1211950</v>
      </c>
      <c r="C51" s="14" t="str">
        <f>IFERROR(__xludf.DUMMYFUNCTION("""COMPUTED_VALUE"""),"林柏漢")</f>
        <v>林柏漢</v>
      </c>
      <c r="D51" s="16" t="str">
        <f>IFERROR(__xludf.DUMMYFUNCTION("""COMPUTED_VALUE"""),"110*****@fhehs.tp.edu.tw")</f>
        <v>110*****@fhehs.tp.edu.tw</v>
      </c>
      <c r="E51" s="17" t="str">
        <f>IFERROR(__xludf.DUMMYFUNCTION("""COMPUTED_VALUE"""),"臺北市立芳和實驗國民中學")</f>
        <v>臺北市立芳和實驗國民中學</v>
      </c>
      <c r="F51" s="14" t="str">
        <f>IFERROR(__xludf.DUMMYFUNCTION("""COMPUTED_VALUE"""),"八年級")</f>
        <v>八年級</v>
      </c>
      <c r="G51" s="14" t="str">
        <f>IFERROR(__xludf.DUMMYFUNCTION("""COMPUTED_VALUE"""),"●小禮物")</f>
        <v>●小禮物</v>
      </c>
      <c r="H51" s="8"/>
    </row>
    <row r="52">
      <c r="A52" s="12"/>
      <c r="B52" s="14">
        <f>IFERROR(__xludf.DUMMYFUNCTION("""COMPUTED_VALUE"""),1211960.0)</f>
        <v>1211960</v>
      </c>
      <c r="C52" s="14" t="str">
        <f>IFERROR(__xludf.DUMMYFUNCTION("""COMPUTED_VALUE"""),"陳佑瑞")</f>
        <v>陳佑瑞</v>
      </c>
      <c r="D52" s="16" t="str">
        <f>IFERROR(__xludf.DUMMYFUNCTION("""COMPUTED_VALUE"""),"110*****@fhehs.tp.edu.tw")</f>
        <v>110*****@fhehs.tp.edu.tw</v>
      </c>
      <c r="E52" s="17" t="str">
        <f>IFERROR(__xludf.DUMMYFUNCTION("""COMPUTED_VALUE"""),"臺北市立芳和實驗國民中學")</f>
        <v>臺北市立芳和實驗國民中學</v>
      </c>
      <c r="F52" s="14" t="str">
        <f>IFERROR(__xludf.DUMMYFUNCTION("""COMPUTED_VALUE"""),"八年級")</f>
        <v>八年級</v>
      </c>
      <c r="G52" s="14" t="str">
        <f>IFERROR(__xludf.DUMMYFUNCTION("""COMPUTED_VALUE"""),"獎狀")</f>
        <v>獎狀</v>
      </c>
      <c r="H52" s="8"/>
    </row>
    <row r="53">
      <c r="A53" s="12"/>
      <c r="B53" s="14">
        <f>IFERROR(__xludf.DUMMYFUNCTION("""COMPUTED_VALUE"""),824870.0)</f>
        <v>824870</v>
      </c>
      <c r="C53" s="14" t="str">
        <f>IFERROR(__xludf.DUMMYFUNCTION("""COMPUTED_VALUE"""),"黃庭筠")</f>
        <v>黃庭筠</v>
      </c>
      <c r="D53" s="16" t="str">
        <f>IFERROR(__xludf.DUMMYFUNCTION("""COMPUTED_VALUE"""),"110*****@fhehs.tp.edu.tw")</f>
        <v>110*****@fhehs.tp.edu.tw</v>
      </c>
      <c r="E53" s="17" t="str">
        <f>IFERROR(__xludf.DUMMYFUNCTION("""COMPUTED_VALUE"""),"臺北市立芳和實驗國民中學")</f>
        <v>臺北市立芳和實驗國民中學</v>
      </c>
      <c r="F53" s="14" t="str">
        <f>IFERROR(__xludf.DUMMYFUNCTION("""COMPUTED_VALUE"""),"八年級")</f>
        <v>八年級</v>
      </c>
      <c r="G53" s="14" t="str">
        <f>IFERROR(__xludf.DUMMYFUNCTION("""COMPUTED_VALUE"""),"獎狀")</f>
        <v>獎狀</v>
      </c>
      <c r="H53" s="8"/>
    </row>
    <row r="54">
      <c r="A54" s="12"/>
      <c r="B54" s="14">
        <f>IFERROR(__xludf.DUMMYFUNCTION("""COMPUTED_VALUE"""),1216980.0)</f>
        <v>1216980</v>
      </c>
      <c r="C54" s="14" t="str">
        <f>IFERROR(__xludf.DUMMYFUNCTION("""COMPUTED_VALUE"""),"吳昶宏")</f>
        <v>吳昶宏</v>
      </c>
      <c r="D54" s="16" t="str">
        <f>IFERROR(__xludf.DUMMYFUNCTION("""COMPUTED_VALUE"""),"111*****@st.fhjh.tp.edu.tw")</f>
        <v>111*****@st.fhjh.tp.edu.tw</v>
      </c>
      <c r="E54" s="17" t="str">
        <f>IFERROR(__xludf.DUMMYFUNCTION("""COMPUTED_VALUE"""),"臺北市私立復興實驗高級中學附設國中部")</f>
        <v>臺北市私立復興實驗高級中學附設國中部</v>
      </c>
      <c r="F54" s="14" t="str">
        <f>IFERROR(__xludf.DUMMYFUNCTION("""COMPUTED_VALUE"""),"七年級")</f>
        <v>七年級</v>
      </c>
      <c r="G54" s="14" t="str">
        <f>IFERROR(__xludf.DUMMYFUNCTION("""COMPUTED_VALUE"""),"●小禮物")</f>
        <v>●小禮物</v>
      </c>
      <c r="H54" s="8"/>
    </row>
    <row r="55">
      <c r="A55" s="12"/>
      <c r="B55" s="14">
        <f>IFERROR(__xludf.DUMMYFUNCTION("""COMPUTED_VALUE"""),1066859.0)</f>
        <v>1066859</v>
      </c>
      <c r="C55" s="14" t="str">
        <f>IFERROR(__xludf.DUMMYFUNCTION("""COMPUTED_VALUE"""),"黃允忻")</f>
        <v>黃允忻</v>
      </c>
      <c r="D55" s="16" t="str">
        <f>IFERROR(__xludf.DUMMYFUNCTION("""COMPUTED_VALUE"""),"109*****@st.fhjh.tp.edu.tw")</f>
        <v>109*****@st.fhjh.tp.edu.tw</v>
      </c>
      <c r="E55" s="17" t="str">
        <f>IFERROR(__xludf.DUMMYFUNCTION("""COMPUTED_VALUE"""),"臺北市私立復興實驗高級中學附設國中部")</f>
        <v>臺北市私立復興實驗高級中學附設國中部</v>
      </c>
      <c r="F55" s="14" t="str">
        <f>IFERROR(__xludf.DUMMYFUNCTION("""COMPUTED_VALUE"""),"九年級")</f>
        <v>九年級</v>
      </c>
      <c r="G55" s="14" t="str">
        <f>IFERROR(__xludf.DUMMYFUNCTION("""COMPUTED_VALUE"""),"●小禮物")</f>
        <v>●小禮物</v>
      </c>
      <c r="H55" s="8"/>
    </row>
    <row r="56">
      <c r="A56" s="12"/>
      <c r="B56" s="14">
        <f>IFERROR(__xludf.DUMMYFUNCTION("""COMPUTED_VALUE"""),1177507.0)</f>
        <v>1177507</v>
      </c>
      <c r="C56" s="14" t="str">
        <f>IFERROR(__xludf.DUMMYFUNCTION("""COMPUTED_VALUE"""),"張家樂")</f>
        <v>張家樂</v>
      </c>
      <c r="D56" s="16" t="str">
        <f>IFERROR(__xludf.DUMMYFUNCTION("""COMPUTED_VALUE"""),"111*****@jajh.tp.edu.tw")</f>
        <v>111*****@jajh.tp.edu.tw</v>
      </c>
      <c r="E56" s="17" t="str">
        <f>IFERROR(__xludf.DUMMYFUNCTION("""COMPUTED_VALUE"""),"臺北市立仁愛國民中學")</f>
        <v>臺北市立仁愛國民中學</v>
      </c>
      <c r="F56" s="14" t="str">
        <f>IFERROR(__xludf.DUMMYFUNCTION("""COMPUTED_VALUE"""),"七年級")</f>
        <v>七年級</v>
      </c>
      <c r="G56" s="14" t="str">
        <f>IFERROR(__xludf.DUMMYFUNCTION("""COMPUTED_VALUE"""),"★禮券$200")</f>
        <v>★禮券$200</v>
      </c>
      <c r="H56" s="8"/>
    </row>
    <row r="57">
      <c r="A57" s="12"/>
      <c r="B57" s="14">
        <f>IFERROR(__xludf.DUMMYFUNCTION("""COMPUTED_VALUE"""),862231.0)</f>
        <v>862231</v>
      </c>
      <c r="C57" s="14" t="str">
        <f>IFERROR(__xludf.DUMMYFUNCTION("""COMPUTED_VALUE"""),"呂少齊")</f>
        <v>呂少齊</v>
      </c>
      <c r="D57" s="16" t="str">
        <f>IFERROR(__xludf.DUMMYFUNCTION("""COMPUTED_VALUE"""),"110*****@jajh.tp.edu.tw")</f>
        <v>110*****@jajh.tp.edu.tw</v>
      </c>
      <c r="E57" s="17" t="str">
        <f>IFERROR(__xludf.DUMMYFUNCTION("""COMPUTED_VALUE"""),"臺北市立仁愛國民中學")</f>
        <v>臺北市立仁愛國民中學</v>
      </c>
      <c r="F57" s="14" t="str">
        <f>IFERROR(__xludf.DUMMYFUNCTION("""COMPUTED_VALUE"""),"八年級")</f>
        <v>八年級</v>
      </c>
      <c r="G57" s="14" t="str">
        <f>IFERROR(__xludf.DUMMYFUNCTION("""COMPUTED_VALUE"""),"●小禮物")</f>
        <v>●小禮物</v>
      </c>
      <c r="H57" s="8"/>
    </row>
    <row r="58">
      <c r="A58" s="12"/>
      <c r="B58" s="14">
        <f>IFERROR(__xludf.DUMMYFUNCTION("""COMPUTED_VALUE"""),121031.0)</f>
        <v>121031</v>
      </c>
      <c r="C58" s="14" t="str">
        <f>IFERROR(__xludf.DUMMYFUNCTION("""COMPUTED_VALUE"""),"陳妍芸")</f>
        <v>陳妍芸</v>
      </c>
      <c r="D58" s="16" t="str">
        <f>IFERROR(__xludf.DUMMYFUNCTION("""COMPUTED_VALUE"""),"chi*****hen@hotmail.com")</f>
        <v>chi*****hen@hotmail.com</v>
      </c>
      <c r="E58" s="17" t="str">
        <f>IFERROR(__xludf.DUMMYFUNCTION("""COMPUTED_VALUE"""),"臺北市立仁愛國民中學")</f>
        <v>臺北市立仁愛國民中學</v>
      </c>
      <c r="F58" s="14" t="str">
        <f>IFERROR(__xludf.DUMMYFUNCTION("""COMPUTED_VALUE"""),"九年級")</f>
        <v>九年級</v>
      </c>
      <c r="G58" s="14" t="str">
        <f>IFERROR(__xludf.DUMMYFUNCTION("""COMPUTED_VALUE"""),"獎狀")</f>
        <v>獎狀</v>
      </c>
      <c r="H58" s="8"/>
    </row>
    <row r="59">
      <c r="A59" s="12"/>
      <c r="B59" s="14">
        <f>IFERROR(__xludf.DUMMYFUNCTION("""COMPUTED_VALUE"""),165438.0)</f>
        <v>165438</v>
      </c>
      <c r="C59" s="14" t="str">
        <f>IFERROR(__xludf.DUMMYFUNCTION("""COMPUTED_VALUE"""),"高丞閎")</f>
        <v>高丞閎</v>
      </c>
      <c r="D59" s="16" t="str">
        <f>IFERROR(__xludf.DUMMYFUNCTION("""COMPUTED_VALUE"""),"nic*****9989@yahoo.com.tw")</f>
        <v>nic*****9989@yahoo.com.tw</v>
      </c>
      <c r="E59" s="17" t="str">
        <f>IFERROR(__xludf.DUMMYFUNCTION("""COMPUTED_VALUE"""),"臺北市立金華國民中學")</f>
        <v>臺北市立金華國民中學</v>
      </c>
      <c r="F59" s="14" t="str">
        <f>IFERROR(__xludf.DUMMYFUNCTION("""COMPUTED_VALUE"""),"七年級")</f>
        <v>七年級</v>
      </c>
      <c r="G59" s="14" t="str">
        <f>IFERROR(__xludf.DUMMYFUNCTION("""COMPUTED_VALUE"""),"●小禮物")</f>
        <v>●小禮物</v>
      </c>
      <c r="H59" s="8"/>
    </row>
    <row r="60">
      <c r="A60" s="12"/>
      <c r="B60" s="14">
        <f>IFERROR(__xludf.DUMMYFUNCTION("""COMPUTED_VALUE"""),1215466.0)</f>
        <v>1215466</v>
      </c>
      <c r="C60" s="14" t="str">
        <f>IFERROR(__xludf.DUMMYFUNCTION("""COMPUTED_VALUE"""),"顏永夏")</f>
        <v>顏永夏</v>
      </c>
      <c r="D60" s="16" t="str">
        <f>IFERROR(__xludf.DUMMYFUNCTION("""COMPUTED_VALUE"""),"111*****@lsjh.tp.edu.tw")</f>
        <v>111*****@lsjh.tp.edu.tw</v>
      </c>
      <c r="E60" s="17" t="str">
        <f>IFERROR(__xludf.DUMMYFUNCTION("""COMPUTED_VALUE"""),"臺北市立龍山國民中學")</f>
        <v>臺北市立龍山國民中學</v>
      </c>
      <c r="F60" s="14" t="str">
        <f>IFERROR(__xludf.DUMMYFUNCTION("""COMPUTED_VALUE"""),"七年級")</f>
        <v>七年級</v>
      </c>
      <c r="G60" s="14" t="str">
        <f>IFERROR(__xludf.DUMMYFUNCTION("""COMPUTED_VALUE"""),"獎狀")</f>
        <v>獎狀</v>
      </c>
      <c r="H60" s="8"/>
    </row>
    <row r="61">
      <c r="A61" s="12"/>
      <c r="B61" s="14">
        <f>IFERROR(__xludf.DUMMYFUNCTION("""COMPUTED_VALUE"""),1212480.0)</f>
        <v>1212480</v>
      </c>
      <c r="C61" s="14" t="str">
        <f>IFERROR(__xludf.DUMMYFUNCTION("""COMPUTED_VALUE"""),"張詩邁")</f>
        <v>張詩邁</v>
      </c>
      <c r="D61" s="16" t="str">
        <f>IFERROR(__xludf.DUMMYFUNCTION("""COMPUTED_VALUE"""),"cha*****le8@gmail.com")</f>
        <v>cha*****le8@gmail.com</v>
      </c>
      <c r="E61" s="17" t="str">
        <f>IFERROR(__xludf.DUMMYFUNCTION("""COMPUTED_VALUE"""),"臺北市立永吉國民中學")</f>
        <v>臺北市立永吉國民中學</v>
      </c>
      <c r="F61" s="14" t="str">
        <f>IFERROR(__xludf.DUMMYFUNCTION("""COMPUTED_VALUE"""),"八年級")</f>
        <v>八年級</v>
      </c>
      <c r="G61" s="14" t="str">
        <f>IFERROR(__xludf.DUMMYFUNCTION("""COMPUTED_VALUE"""),"●小禮物")</f>
        <v>●小禮物</v>
      </c>
      <c r="H61" s="8"/>
    </row>
    <row r="62">
      <c r="A62" s="12"/>
      <c r="B62" s="14">
        <f>IFERROR(__xludf.DUMMYFUNCTION("""COMPUTED_VALUE"""),1164031.0)</f>
        <v>1164031</v>
      </c>
      <c r="C62" s="14" t="str">
        <f>IFERROR(__xludf.DUMMYFUNCTION("""COMPUTED_VALUE"""),"胡沛彤")</f>
        <v>胡沛彤</v>
      </c>
      <c r="D62" s="16" t="str">
        <f>IFERROR(__xludf.DUMMYFUNCTION("""COMPUTED_VALUE"""),"s11*****@syajh.tp.edu.tw")</f>
        <v>s11*****@syajh.tp.edu.tw</v>
      </c>
      <c r="E62" s="17" t="str">
        <f>IFERROR(__xludf.DUMMYFUNCTION("""COMPUTED_VALUE"""),"臺北市立興雅國民中學")</f>
        <v>臺北市立興雅國民中學</v>
      </c>
      <c r="F62" s="14" t="str">
        <f>IFERROR(__xludf.DUMMYFUNCTION("""COMPUTED_VALUE"""),"七年級")</f>
        <v>七年級</v>
      </c>
      <c r="G62" s="14" t="str">
        <f>IFERROR(__xludf.DUMMYFUNCTION("""COMPUTED_VALUE"""),"●小禮物")</f>
        <v>●小禮物</v>
      </c>
      <c r="H62" s="8"/>
    </row>
    <row r="63">
      <c r="A63" s="12"/>
      <c r="B63" s="14">
        <f>IFERROR(__xludf.DUMMYFUNCTION("""COMPUTED_VALUE"""),1107676.0)</f>
        <v>1107676</v>
      </c>
      <c r="C63" s="14" t="str">
        <f>IFERROR(__xludf.DUMMYFUNCTION("""COMPUTED_VALUE"""),"白佳立")</f>
        <v>白佳立</v>
      </c>
      <c r="D63" s="16" t="str">
        <f>IFERROR(__xludf.DUMMYFUNCTION("""COMPUTED_VALUE"""),"c99*****gmail.com")</f>
        <v>c99*****gmail.com</v>
      </c>
      <c r="E63" s="17" t="str">
        <f>IFERROR(__xludf.DUMMYFUNCTION("""COMPUTED_VALUE"""),"臺北市立瑠公國民中學")</f>
        <v>臺北市立瑠公國民中學</v>
      </c>
      <c r="F63" s="14" t="str">
        <f>IFERROR(__xludf.DUMMYFUNCTION("""COMPUTED_VALUE"""),"七年級")</f>
        <v>七年級</v>
      </c>
      <c r="G63" s="14" t="str">
        <f>IFERROR(__xludf.DUMMYFUNCTION("""COMPUTED_VALUE"""),"獎狀")</f>
        <v>獎狀</v>
      </c>
      <c r="H63" s="8"/>
    </row>
    <row r="64">
      <c r="A64" s="12"/>
      <c r="B64" s="14">
        <f>IFERROR(__xludf.DUMMYFUNCTION("""COMPUTED_VALUE"""),246571.0)</f>
        <v>246571</v>
      </c>
      <c r="C64" s="14" t="str">
        <f>IFERROR(__xludf.DUMMYFUNCTION("""COMPUTED_VALUE"""),"王品璇")</f>
        <v>王品璇</v>
      </c>
      <c r="D64" s="16" t="str">
        <f>IFERROR(__xludf.DUMMYFUNCTION("""COMPUTED_VALUE"""),"cm1*****06@gmail.com")</f>
        <v>cm1*****06@gmail.com</v>
      </c>
      <c r="E64" s="17" t="str">
        <f>IFERROR(__xludf.DUMMYFUNCTION("""COMPUTED_VALUE"""),"臺北市立蘭雅國民中學")</f>
        <v>臺北市立蘭雅國民中學</v>
      </c>
      <c r="F64" s="14" t="str">
        <f>IFERROR(__xludf.DUMMYFUNCTION("""COMPUTED_VALUE"""),"八年級")</f>
        <v>八年級</v>
      </c>
      <c r="G64" s="14" t="str">
        <f>IFERROR(__xludf.DUMMYFUNCTION("""COMPUTED_VALUE"""),"獎狀")</f>
        <v>獎狀</v>
      </c>
      <c r="H64" s="8"/>
    </row>
    <row r="65">
      <c r="A65" s="12"/>
      <c r="B65" s="14">
        <f>IFERROR(__xludf.DUMMYFUNCTION("""COMPUTED_VALUE"""),1088915.0)</f>
        <v>1088915</v>
      </c>
      <c r="C65" s="14" t="str">
        <f>IFERROR(__xludf.DUMMYFUNCTION("""COMPUTED_VALUE"""),"袁雋程")</f>
        <v>袁雋程</v>
      </c>
      <c r="D65" s="16" t="str">
        <f>IFERROR(__xludf.DUMMYFUNCTION("""COMPUTED_VALUE"""),"sha*****07sharon2007@gmail.com")</f>
        <v>sha*****07sharon2007@gmail.com</v>
      </c>
      <c r="E65" s="17" t="str">
        <f>IFERROR(__xludf.DUMMYFUNCTION("""COMPUTED_VALUE"""),"臺北市立天母國民中學")</f>
        <v>臺北市立天母國民中學</v>
      </c>
      <c r="F65" s="14" t="str">
        <f>IFERROR(__xludf.DUMMYFUNCTION("""COMPUTED_VALUE"""),"八年級")</f>
        <v>八年級</v>
      </c>
      <c r="G65" s="14" t="str">
        <f>IFERROR(__xludf.DUMMYFUNCTION("""COMPUTED_VALUE"""),"●小禮物")</f>
        <v>●小禮物</v>
      </c>
      <c r="H65" s="8"/>
    </row>
    <row r="66">
      <c r="A66" s="12"/>
      <c r="B66" s="14">
        <f>IFERROR(__xludf.DUMMYFUNCTION("""COMPUTED_VALUE"""),1093116.0)</f>
        <v>1093116</v>
      </c>
      <c r="C66" s="14" t="str">
        <f>IFERROR(__xludf.DUMMYFUNCTION("""COMPUTED_VALUE"""),"梁懷恩")</f>
        <v>梁懷恩</v>
      </c>
      <c r="D66" s="16" t="str">
        <f>IFERROR(__xludf.DUMMYFUNCTION("""COMPUTED_VALUE"""),"pip*****003@yahoo.com")</f>
        <v>pip*****003@yahoo.com</v>
      </c>
      <c r="E66" s="17" t="str">
        <f>IFERROR(__xludf.DUMMYFUNCTION("""COMPUTED_VALUE"""),"臺北市立天母國民中學")</f>
        <v>臺北市立天母國民中學</v>
      </c>
      <c r="F66" s="14" t="str">
        <f>IFERROR(__xludf.DUMMYFUNCTION("""COMPUTED_VALUE"""),"八年級")</f>
        <v>八年級</v>
      </c>
      <c r="G66" s="14" t="str">
        <f>IFERROR(__xludf.DUMMYFUNCTION("""COMPUTED_VALUE"""),"獎狀")</f>
        <v>獎狀</v>
      </c>
      <c r="H66" s="8"/>
    </row>
    <row r="67">
      <c r="A67" s="12"/>
      <c r="B67" s="14">
        <f>IFERROR(__xludf.DUMMYFUNCTION("""COMPUTED_VALUE"""),1199260.0)</f>
        <v>1199260</v>
      </c>
      <c r="C67" s="14" t="str">
        <f>IFERROR(__xludf.DUMMYFUNCTION("""COMPUTED_VALUE"""),"錢冠廷")</f>
        <v>錢冠廷</v>
      </c>
      <c r="D67" s="16" t="str">
        <f>IFERROR(__xludf.DUMMYFUNCTION("""COMPUTED_VALUE"""),"107*****lps.tp.edu.tw")</f>
        <v>107*****lps.tp.edu.tw</v>
      </c>
      <c r="E67" s="17" t="str">
        <f>IFERROR(__xludf.DUMMYFUNCTION("""COMPUTED_VALUE"""),"華興學校財團法人臺北市私立華興高級中等學校國中部")</f>
        <v>華興學校財團法人臺北市私立華興高級中等學校國中部</v>
      </c>
      <c r="F67" s="14" t="str">
        <f>IFERROR(__xludf.DUMMYFUNCTION("""COMPUTED_VALUE"""),"九年級")</f>
        <v>九年級</v>
      </c>
      <c r="G67" s="14" t="str">
        <f>IFERROR(__xludf.DUMMYFUNCTION("""COMPUTED_VALUE"""),"獎狀")</f>
        <v>獎狀</v>
      </c>
      <c r="H67" s="8"/>
    </row>
    <row r="68">
      <c r="A68" s="12"/>
      <c r="B68" s="14">
        <f>IFERROR(__xludf.DUMMYFUNCTION("""COMPUTED_VALUE"""),824274.0)</f>
        <v>824274</v>
      </c>
      <c r="C68" s="14" t="str">
        <f>IFERROR(__xludf.DUMMYFUNCTION("""COMPUTED_VALUE"""),"鞠昊恩")</f>
        <v>鞠昊恩</v>
      </c>
      <c r="D68" s="16" t="str">
        <f>IFERROR(__xludf.DUMMYFUNCTION("""COMPUTED_VALUE"""),"110*****@gjjh.tp.edu.tw")</f>
        <v>110*****@gjjh.tp.edu.tw</v>
      </c>
      <c r="E68" s="17" t="str">
        <f>IFERROR(__xludf.DUMMYFUNCTION("""COMPUTED_VALUE"""),"臺北市立格致國民中學")</f>
        <v>臺北市立格致國民中學</v>
      </c>
      <c r="F68" s="14" t="str">
        <f>IFERROR(__xludf.DUMMYFUNCTION("""COMPUTED_VALUE"""),"八年級")</f>
        <v>八年級</v>
      </c>
      <c r="G68" s="14" t="str">
        <f>IFERROR(__xludf.DUMMYFUNCTION("""COMPUTED_VALUE"""),"●小禮物")</f>
        <v>●小禮物</v>
      </c>
      <c r="H68" s="8"/>
    </row>
    <row r="69">
      <c r="A69" s="12"/>
      <c r="B69" s="14">
        <f>IFERROR(__xludf.DUMMYFUNCTION("""COMPUTED_VALUE"""),1031936.0)</f>
        <v>1031936</v>
      </c>
      <c r="C69" s="14" t="str">
        <f>IFERROR(__xludf.DUMMYFUNCTION("""COMPUTED_VALUE"""),"吳茗")</f>
        <v>吳茗</v>
      </c>
      <c r="D69" s="16" t="str">
        <f>IFERROR(__xludf.DUMMYFUNCTION("""COMPUTED_VALUE"""),"amb*****@gmail.com")</f>
        <v>amb*****@gmail.com</v>
      </c>
      <c r="E69" s="17" t="str">
        <f>IFERROR(__xludf.DUMMYFUNCTION("""COMPUTED_VALUE"""),"臺北市立桃源國民中學")</f>
        <v>臺北市立桃源國民中學</v>
      </c>
      <c r="F69" s="14" t="str">
        <f>IFERROR(__xludf.DUMMYFUNCTION("""COMPUTED_VALUE"""),"八年級")</f>
        <v>八年級</v>
      </c>
      <c r="G69" s="14" t="str">
        <f>IFERROR(__xludf.DUMMYFUNCTION("""COMPUTED_VALUE"""),"獎狀")</f>
        <v>獎狀</v>
      </c>
      <c r="H69" s="8"/>
    </row>
    <row r="70">
      <c r="A70" s="12"/>
      <c r="B70" s="14">
        <f>IFERROR(__xludf.DUMMYFUNCTION("""COMPUTED_VALUE"""),1158203.0)</f>
        <v>1158203</v>
      </c>
      <c r="C70" s="14" t="str">
        <f>IFERROR(__xludf.DUMMYFUNCTION("""COMPUTED_VALUE"""),"林哲宇")</f>
        <v>林哲宇</v>
      </c>
      <c r="D70" s="16" t="str">
        <f>IFERROR(__xludf.DUMMYFUNCTION("""COMPUTED_VALUE"""),"111*****stu.wghs.tp.edu.tw")</f>
        <v>111*****stu.wghs.tp.edu.tw</v>
      </c>
      <c r="E70" s="17" t="str">
        <f>IFERROR(__xludf.DUMMYFUNCTION("""COMPUTED_VALUE"""),"臺北市私立薇閣高級中學附設國中部")</f>
        <v>臺北市私立薇閣高級中學附設國中部</v>
      </c>
      <c r="F70" s="14" t="str">
        <f>IFERROR(__xludf.DUMMYFUNCTION("""COMPUTED_VALUE"""),"七年級")</f>
        <v>七年級</v>
      </c>
      <c r="G70" s="14" t="str">
        <f>IFERROR(__xludf.DUMMYFUNCTION("""COMPUTED_VALUE"""),"●小禮物")</f>
        <v>●小禮物</v>
      </c>
      <c r="H70" s="8"/>
    </row>
    <row r="71">
      <c r="A71" s="12"/>
      <c r="B71" s="14">
        <f>IFERROR(__xludf.DUMMYFUNCTION("""COMPUTED_VALUE"""),550209.0)</f>
        <v>550209</v>
      </c>
      <c r="C71" s="14" t="str">
        <f>IFERROR(__xludf.DUMMYFUNCTION("""COMPUTED_VALUE"""),"黃宥愷")</f>
        <v>黃宥愷</v>
      </c>
      <c r="D71" s="16" t="str">
        <f>IFERROR(__xludf.DUMMYFUNCTION("""COMPUTED_VALUE"""),"mav*****a@gmail.com")</f>
        <v>mav*****a@gmail.com</v>
      </c>
      <c r="E71" s="17" t="str">
        <f>IFERROR(__xludf.DUMMYFUNCTION("""COMPUTED_VALUE"""),"臺北市私立薇閣高級中學附設國中部")</f>
        <v>臺北市私立薇閣高級中學附設國中部</v>
      </c>
      <c r="F71" s="14" t="str">
        <f>IFERROR(__xludf.DUMMYFUNCTION("""COMPUTED_VALUE"""),"七年級")</f>
        <v>七年級</v>
      </c>
      <c r="G71" s="14" t="str">
        <f>IFERROR(__xludf.DUMMYFUNCTION("""COMPUTED_VALUE"""),"●小禮物")</f>
        <v>●小禮物</v>
      </c>
      <c r="H71" s="8"/>
    </row>
    <row r="72">
      <c r="A72" s="12"/>
      <c r="B72" s="14">
        <f>IFERROR(__xludf.DUMMYFUNCTION("""COMPUTED_VALUE"""),1163910.0)</f>
        <v>1163910</v>
      </c>
      <c r="C72" s="14" t="str">
        <f>IFERROR(__xludf.DUMMYFUNCTION("""COMPUTED_VALUE"""),"洪瑋辰")</f>
        <v>洪瑋辰</v>
      </c>
      <c r="D72" s="16" t="str">
        <f>IFERROR(__xludf.DUMMYFUNCTION("""COMPUTED_VALUE"""),"rya*****0721@gmail.com")</f>
        <v>rya*****0721@gmail.com</v>
      </c>
      <c r="E72" s="17" t="str">
        <f>IFERROR(__xludf.DUMMYFUNCTION("""COMPUTED_VALUE"""),"臺北市私立薇閣高級中學附設國中部")</f>
        <v>臺北市私立薇閣高級中學附設國中部</v>
      </c>
      <c r="F72" s="14" t="str">
        <f>IFERROR(__xludf.DUMMYFUNCTION("""COMPUTED_VALUE"""),"七年級")</f>
        <v>七年級</v>
      </c>
      <c r="G72" s="14" t="str">
        <f>IFERROR(__xludf.DUMMYFUNCTION("""COMPUTED_VALUE"""),"獎狀")</f>
        <v>獎狀</v>
      </c>
      <c r="H72" s="8"/>
    </row>
    <row r="73">
      <c r="A73" s="12"/>
      <c r="B73" s="14">
        <f>IFERROR(__xludf.DUMMYFUNCTION("""COMPUTED_VALUE"""),1158149.0)</f>
        <v>1158149</v>
      </c>
      <c r="C73" s="14" t="str">
        <f>IFERROR(__xludf.DUMMYFUNCTION("""COMPUTED_VALUE"""),"洪瑋翎")</f>
        <v>洪瑋翎</v>
      </c>
      <c r="D73" s="16" t="str">
        <f>IFERROR(__xludf.DUMMYFUNCTION("""COMPUTED_VALUE"""),"111*****stu.wghs.tp.edu.tw")</f>
        <v>111*****stu.wghs.tp.edu.tw</v>
      </c>
      <c r="E73" s="17" t="str">
        <f>IFERROR(__xludf.DUMMYFUNCTION("""COMPUTED_VALUE"""),"臺北市私立薇閣高級中學附設國中部")</f>
        <v>臺北市私立薇閣高級中學附設國中部</v>
      </c>
      <c r="F73" s="14" t="str">
        <f>IFERROR(__xludf.DUMMYFUNCTION("""COMPUTED_VALUE"""),"七年級")</f>
        <v>七年級</v>
      </c>
      <c r="G73" s="14" t="str">
        <f>IFERROR(__xludf.DUMMYFUNCTION("""COMPUTED_VALUE"""),"獎狀")</f>
        <v>獎狀</v>
      </c>
      <c r="H73" s="8"/>
    </row>
    <row r="74">
      <c r="A74" s="12"/>
      <c r="B74" s="14">
        <f>IFERROR(__xludf.DUMMYFUNCTION("""COMPUTED_VALUE"""),162692.0)</f>
        <v>162692</v>
      </c>
      <c r="C74" s="14" t="str">
        <f>IFERROR(__xludf.DUMMYFUNCTION("""COMPUTED_VALUE"""),"謝沁")</f>
        <v>謝沁</v>
      </c>
      <c r="D74" s="16" t="str">
        <f>IFERROR(__xludf.DUMMYFUNCTION("""COMPUTED_VALUE"""),"111*****stu.wghs.tp.edu.tw")</f>
        <v>111*****stu.wghs.tp.edu.tw</v>
      </c>
      <c r="E74" s="17" t="str">
        <f>IFERROR(__xludf.DUMMYFUNCTION("""COMPUTED_VALUE"""),"臺北市私立薇閣高級中學附設國中部")</f>
        <v>臺北市私立薇閣高級中學附設國中部</v>
      </c>
      <c r="F74" s="14" t="str">
        <f>IFERROR(__xludf.DUMMYFUNCTION("""COMPUTED_VALUE"""),"七年級")</f>
        <v>七年級</v>
      </c>
      <c r="G74" s="14" t="str">
        <f>IFERROR(__xludf.DUMMYFUNCTION("""COMPUTED_VALUE"""),"獎狀")</f>
        <v>獎狀</v>
      </c>
      <c r="H74" s="8"/>
    </row>
    <row r="75">
      <c r="A75" s="12"/>
      <c r="B75" s="14">
        <f>IFERROR(__xludf.DUMMYFUNCTION("""COMPUTED_VALUE"""),1142007.0)</f>
        <v>1142007</v>
      </c>
      <c r="C75" s="14" t="str">
        <f>IFERROR(__xludf.DUMMYFUNCTION("""COMPUTED_VALUE"""),"李芳瑜")</f>
        <v>李芳瑜</v>
      </c>
      <c r="D75" s="16" t="str">
        <f>IFERROR(__xludf.DUMMYFUNCTION("""COMPUTED_VALUE"""),"111*****h.tp.edu.tw")</f>
        <v>111*****h.tp.edu.tw</v>
      </c>
      <c r="E75" s="17" t="str">
        <f>IFERROR(__xludf.DUMMYFUNCTION("""COMPUTED_VALUE"""),"幼華學校財團法人臺北市幼華高級中等學校附設國中部")</f>
        <v>幼華學校財團法人臺北市幼華高級中等學校附設國中部</v>
      </c>
      <c r="F75" s="14" t="str">
        <f>IFERROR(__xludf.DUMMYFUNCTION("""COMPUTED_VALUE"""),"七年級")</f>
        <v>七年級</v>
      </c>
      <c r="G75" s="14" t="str">
        <f>IFERROR(__xludf.DUMMYFUNCTION("""COMPUTED_VALUE"""),"●小禮物")</f>
        <v>●小禮物</v>
      </c>
      <c r="H75" s="8"/>
    </row>
    <row r="76">
      <c r="A76" s="12"/>
      <c r="B76" s="14">
        <f>IFERROR(__xludf.DUMMYFUNCTION("""COMPUTED_VALUE"""),176079.0)</f>
        <v>176079</v>
      </c>
      <c r="C76" s="14" t="str">
        <f>IFERROR(__xludf.DUMMYFUNCTION("""COMPUTED_VALUE"""),"胡永菱")</f>
        <v>胡永菱</v>
      </c>
      <c r="D76" s="16" t="str">
        <f>IFERROR(__xludf.DUMMYFUNCTION("""COMPUTED_VALUE"""),"lui*****@gmail.com")</f>
        <v>lui*****@gmail.com</v>
      </c>
      <c r="E76" s="17" t="str">
        <f>IFERROR(__xludf.DUMMYFUNCTION("""COMPUTED_VALUE"""),"臺北市立明德國民中學")</f>
        <v>臺北市立明德國民中學</v>
      </c>
      <c r="F76" s="14" t="str">
        <f>IFERROR(__xludf.DUMMYFUNCTION("""COMPUTED_VALUE"""),"七年級")</f>
        <v>七年級</v>
      </c>
      <c r="G76" s="14" t="str">
        <f>IFERROR(__xludf.DUMMYFUNCTION("""COMPUTED_VALUE"""),"獎狀")</f>
        <v>獎狀</v>
      </c>
      <c r="H76" s="8"/>
    </row>
    <row r="77">
      <c r="A77" s="12"/>
      <c r="B77" s="14">
        <f>IFERROR(__xludf.DUMMYFUNCTION("""COMPUTED_VALUE"""),750393.0)</f>
        <v>750393</v>
      </c>
      <c r="C77" s="14" t="str">
        <f>IFERROR(__xludf.DUMMYFUNCTION("""COMPUTED_VALUE"""),"蘇俊與")</f>
        <v>蘇俊與</v>
      </c>
      <c r="D77" s="16" t="str">
        <f>IFERROR(__xludf.DUMMYFUNCTION("""COMPUTED_VALUE"""),"whp*****14@whps.tp.edu.tw")</f>
        <v>whp*****14@whps.tp.edu.tw</v>
      </c>
      <c r="E77" s="17" t="str">
        <f>IFERROR(__xludf.DUMMYFUNCTION("""COMPUTED_VALUE"""),"臺北市立明德國民中學")</f>
        <v>臺北市立明德國民中學</v>
      </c>
      <c r="F77" s="14" t="str">
        <f>IFERROR(__xludf.DUMMYFUNCTION("""COMPUTED_VALUE"""),"七年級")</f>
        <v>七年級</v>
      </c>
      <c r="G77" s="14" t="str">
        <f>IFERROR(__xludf.DUMMYFUNCTION("""COMPUTED_VALUE"""),"●小禮物")</f>
        <v>●小禮物</v>
      </c>
      <c r="H77" s="8"/>
    </row>
    <row r="78">
      <c r="A78" s="12"/>
      <c r="B78" s="14">
        <f>IFERROR(__xludf.DUMMYFUNCTION("""COMPUTED_VALUE"""),748083.0)</f>
        <v>748083</v>
      </c>
      <c r="C78" s="14" t="str">
        <f>IFERROR(__xludf.DUMMYFUNCTION("""COMPUTED_VALUE"""),"蘇筠捷")</f>
        <v>蘇筠捷</v>
      </c>
      <c r="D78" s="16" t="str">
        <f>IFERROR(__xludf.DUMMYFUNCTION("""COMPUTED_VALUE"""),"whp*****25@whps.tp.edu.tw")</f>
        <v>whp*****25@whps.tp.edu.tw</v>
      </c>
      <c r="E78" s="17" t="str">
        <f>IFERROR(__xludf.DUMMYFUNCTION("""COMPUTED_VALUE"""),"臺北市立明德國民中學")</f>
        <v>臺北市立明德國民中學</v>
      </c>
      <c r="F78" s="14" t="str">
        <f>IFERROR(__xludf.DUMMYFUNCTION("""COMPUTED_VALUE"""),"七年級")</f>
        <v>七年級</v>
      </c>
      <c r="G78" s="14" t="str">
        <f>IFERROR(__xludf.DUMMYFUNCTION("""COMPUTED_VALUE"""),"●小禮物")</f>
        <v>●小禮物</v>
      </c>
      <c r="H78" s="8"/>
    </row>
    <row r="79">
      <c r="A79" s="12"/>
      <c r="B79" s="14">
        <f>IFERROR(__xludf.DUMMYFUNCTION("""COMPUTED_VALUE"""),844603.0)</f>
        <v>844603</v>
      </c>
      <c r="C79" s="14" t="str">
        <f>IFERROR(__xludf.DUMMYFUNCTION("""COMPUTED_VALUE"""),"Vihaan Meghnani")</f>
        <v>Vihaan Meghnani</v>
      </c>
      <c r="D79" s="16" t="str">
        <f>IFERROR(__xludf.DUMMYFUNCTION("""COMPUTED_VALUE"""),"s11*****@stud.ptjh.tp.edu.tw")</f>
        <v>s11*****@stud.ptjh.tp.edu.tw</v>
      </c>
      <c r="E79" s="17" t="str">
        <f>IFERROR(__xludf.DUMMYFUNCTION("""COMPUTED_VALUE"""),"臺北市立北投國民中學")</f>
        <v>臺北市立北投國民中學</v>
      </c>
      <c r="F79" s="14" t="str">
        <f>IFERROR(__xludf.DUMMYFUNCTION("""COMPUTED_VALUE"""),"八年級")</f>
        <v>八年級</v>
      </c>
      <c r="G79" s="14" t="str">
        <f>IFERROR(__xludf.DUMMYFUNCTION("""COMPUTED_VALUE"""),"獎狀")</f>
        <v>獎狀</v>
      </c>
      <c r="H79" s="8"/>
    </row>
    <row r="80">
      <c r="A80" s="12"/>
      <c r="B80" s="14">
        <f>IFERROR(__xludf.DUMMYFUNCTION("""COMPUTED_VALUE"""),1171050.0)</f>
        <v>1171050</v>
      </c>
      <c r="C80" s="14" t="str">
        <f>IFERROR(__xludf.DUMMYFUNCTION("""COMPUTED_VALUE"""),"王詩瑩")</f>
        <v>王詩瑩</v>
      </c>
      <c r="D80" s="16" t="str">
        <f>IFERROR(__xludf.DUMMYFUNCTION("""COMPUTED_VALUE"""),"111*****@lsjhs.tp.edu.tw")</f>
        <v>111*****@lsjhs.tp.edu.tw</v>
      </c>
      <c r="E80" s="17" t="str">
        <f>IFERROR(__xludf.DUMMYFUNCTION("""COMPUTED_VALUE"""),"臺北市立麗山國民中學")</f>
        <v>臺北市立麗山國民中學</v>
      </c>
      <c r="F80" s="14" t="str">
        <f>IFERROR(__xludf.DUMMYFUNCTION("""COMPUTED_VALUE"""),"七年級")</f>
        <v>七年級</v>
      </c>
      <c r="G80" s="14" t="str">
        <f>IFERROR(__xludf.DUMMYFUNCTION("""COMPUTED_VALUE"""),"●小禮物")</f>
        <v>●小禮物</v>
      </c>
      <c r="H80" s="8"/>
    </row>
    <row r="81">
      <c r="A81" s="12"/>
      <c r="B81" s="14">
        <f>IFERROR(__xludf.DUMMYFUNCTION("""COMPUTED_VALUE"""),541618.0)</f>
        <v>541618</v>
      </c>
      <c r="C81" s="14" t="str">
        <f>IFERROR(__xludf.DUMMYFUNCTION("""COMPUTED_VALUE"""),"朱亭蓁")</f>
        <v>朱亭蓁</v>
      </c>
      <c r="D81" s="16" t="str">
        <f>IFERROR(__xludf.DUMMYFUNCTION("""COMPUTED_VALUE"""),"ab9*****m.kl.edu.tw")</f>
        <v>ab9*****m.kl.edu.tw</v>
      </c>
      <c r="E81" s="17" t="str">
        <f>IFERROR(__xludf.DUMMYFUNCTION("""COMPUTED_VALUE"""),"臺北市立內湖國民中學")</f>
        <v>臺北市立內湖國民中學</v>
      </c>
      <c r="F81" s="14" t="str">
        <f>IFERROR(__xludf.DUMMYFUNCTION("""COMPUTED_VALUE"""),"八年級")</f>
        <v>八年級</v>
      </c>
      <c r="G81" s="14" t="str">
        <f>IFERROR(__xludf.DUMMYFUNCTION("""COMPUTED_VALUE"""),"獎狀")</f>
        <v>獎狀</v>
      </c>
      <c r="H81" s="8"/>
    </row>
    <row r="82">
      <c r="A82" s="12"/>
      <c r="B82" s="14">
        <f>IFERROR(__xludf.DUMMYFUNCTION("""COMPUTED_VALUE"""),1201421.0)</f>
        <v>1201421</v>
      </c>
      <c r="C82" s="14" t="str">
        <f>IFERROR(__xludf.DUMMYFUNCTION("""COMPUTED_VALUE"""),"游理萌")</f>
        <v>游理萌</v>
      </c>
      <c r="D82" s="16" t="str">
        <f>IFERROR(__xludf.DUMMYFUNCTION("""COMPUTED_VALUE"""),"111*****mail.mhjh.tp.edu.tw")</f>
        <v>111*****mail.mhjh.tp.edu.tw</v>
      </c>
      <c r="E82" s="17" t="str">
        <f>IFERROR(__xludf.DUMMYFUNCTION("""COMPUTED_VALUE"""),"臺北市立明湖國民中學")</f>
        <v>臺北市立明湖國民中學</v>
      </c>
      <c r="F82" s="14" t="str">
        <f>IFERROR(__xludf.DUMMYFUNCTION("""COMPUTED_VALUE"""),"七年級")</f>
        <v>七年級</v>
      </c>
      <c r="G82" s="14" t="str">
        <f>IFERROR(__xludf.DUMMYFUNCTION("""COMPUTED_VALUE"""),"●小禮物")</f>
        <v>●小禮物</v>
      </c>
      <c r="H82" s="8"/>
    </row>
    <row r="83">
      <c r="A83" s="12"/>
      <c r="B83" s="14">
        <f>IFERROR(__xludf.DUMMYFUNCTION("""COMPUTED_VALUE"""),430047.0)</f>
        <v>430047</v>
      </c>
      <c r="C83" s="14" t="str">
        <f>IFERROR(__xludf.DUMMYFUNCTION("""COMPUTED_VALUE"""),"張哲嘉")</f>
        <v>張哲嘉</v>
      </c>
      <c r="D83" s="16" t="str">
        <f>IFERROR(__xludf.DUMMYFUNCTION("""COMPUTED_VALUE"""),"s85*****@yahoo.com.tw")</f>
        <v>s85*****@yahoo.com.tw</v>
      </c>
      <c r="E83" s="17" t="str">
        <f>IFERROR(__xludf.DUMMYFUNCTION("""COMPUTED_VALUE"""),"臺北市立東湖國民中學")</f>
        <v>臺北市立東湖國民中學</v>
      </c>
      <c r="F83" s="14" t="str">
        <f>IFERROR(__xludf.DUMMYFUNCTION("""COMPUTED_VALUE"""),"八年級")</f>
        <v>八年級</v>
      </c>
      <c r="G83" s="14" t="str">
        <f>IFERROR(__xludf.DUMMYFUNCTION("""COMPUTED_VALUE"""),"獎狀")</f>
        <v>獎狀</v>
      </c>
      <c r="H83" s="8"/>
    </row>
    <row r="84">
      <c r="A84" s="12"/>
      <c r="B84" s="14">
        <f>IFERROR(__xludf.DUMMYFUNCTION("""COMPUTED_VALUE"""),618165.0)</f>
        <v>618165</v>
      </c>
      <c r="C84" s="14" t="str">
        <f>IFERROR(__xludf.DUMMYFUNCTION("""COMPUTED_VALUE"""),"楊郁慈")</f>
        <v>楊郁慈</v>
      </c>
      <c r="D84" s="16" t="str">
        <f>IFERROR(__xludf.DUMMYFUNCTION("""COMPUTED_VALUE"""),"sun*****233@gmail.com")</f>
        <v>sun*****233@gmail.com</v>
      </c>
      <c r="E84" s="17" t="str">
        <f>IFERROR(__xludf.DUMMYFUNCTION("""COMPUTED_VALUE"""),"臺北市立東湖國民中學")</f>
        <v>臺北市立東湖國民中學</v>
      </c>
      <c r="F84" s="14" t="str">
        <f>IFERROR(__xludf.DUMMYFUNCTION("""COMPUTED_VALUE"""),"九年級")</f>
        <v>九年級</v>
      </c>
      <c r="G84" s="14" t="str">
        <f>IFERROR(__xludf.DUMMYFUNCTION("""COMPUTED_VALUE"""),"獎狀")</f>
        <v>獎狀</v>
      </c>
      <c r="H84" s="8"/>
    </row>
    <row r="85">
      <c r="A85" s="12"/>
      <c r="B85" s="14">
        <f>IFERROR(__xludf.DUMMYFUNCTION("""COMPUTED_VALUE"""),143360.0)</f>
        <v>143360</v>
      </c>
      <c r="C85" s="14" t="str">
        <f>IFERROR(__xludf.DUMMYFUNCTION("""COMPUTED_VALUE"""),"林淵恒")</f>
        <v>林淵恒</v>
      </c>
      <c r="D85" s="16" t="str">
        <f>IFERROR(__xludf.DUMMYFUNCTION("""COMPUTED_VALUE"""),"lin*****213@gmail.com")</f>
        <v>lin*****213@gmail.com</v>
      </c>
      <c r="E85" s="17" t="str">
        <f>IFERROR(__xludf.DUMMYFUNCTION("""COMPUTED_VALUE"""),"臺北市私立東山高級中學附設國中部")</f>
        <v>臺北市私立東山高級中學附設國中部</v>
      </c>
      <c r="F85" s="14" t="str">
        <f>IFERROR(__xludf.DUMMYFUNCTION("""COMPUTED_VALUE"""),"七年級")</f>
        <v>七年級</v>
      </c>
      <c r="G85" s="14" t="str">
        <f>IFERROR(__xludf.DUMMYFUNCTION("""COMPUTED_VALUE"""),"●小禮物")</f>
        <v>●小禮物</v>
      </c>
      <c r="H85" s="8"/>
    </row>
    <row r="86">
      <c r="A86" s="12"/>
      <c r="B86" s="14">
        <f>IFERROR(__xludf.DUMMYFUNCTION("""COMPUTED_VALUE"""),127336.0)</f>
        <v>127336</v>
      </c>
      <c r="C86" s="14" t="str">
        <f>IFERROR(__xludf.DUMMYFUNCTION("""COMPUTED_VALUE"""),"王仁宏")</f>
        <v>王仁宏</v>
      </c>
      <c r="D86" s="16" t="str">
        <f>IFERROR(__xludf.DUMMYFUNCTION("""COMPUTED_VALUE"""),"jun*****s34.hinet.net")</f>
        <v>jun*****s34.hinet.net</v>
      </c>
      <c r="E86" s="17" t="str">
        <f>IFERROR(__xludf.DUMMYFUNCTION("""COMPUTED_VALUE"""),"臺北市私立東山高級中學附設國中部")</f>
        <v>臺北市私立東山高級中學附設國中部</v>
      </c>
      <c r="F86" s="14" t="str">
        <f>IFERROR(__xludf.DUMMYFUNCTION("""COMPUTED_VALUE"""),"八年級")</f>
        <v>八年級</v>
      </c>
      <c r="G86" s="14" t="str">
        <f>IFERROR(__xludf.DUMMYFUNCTION("""COMPUTED_VALUE"""),"獎狀")</f>
        <v>獎狀</v>
      </c>
      <c r="H86" s="8"/>
    </row>
    <row r="87">
      <c r="A87" s="12"/>
      <c r="B87" s="14">
        <f>IFERROR(__xludf.DUMMYFUNCTION("""COMPUTED_VALUE"""),1171746.0)</f>
        <v>1171746</v>
      </c>
      <c r="C87" s="14" t="str">
        <f>IFERROR(__xludf.DUMMYFUNCTION("""COMPUTED_VALUE"""),"張詠涵")</f>
        <v>張詠涵</v>
      </c>
      <c r="D87" s="16" t="str">
        <f>IFERROR(__xludf.DUMMYFUNCTION("""COMPUTED_VALUE"""),"com*****ng@gmail.com")</f>
        <v>com*****ng@gmail.com</v>
      </c>
      <c r="E87" s="17" t="str">
        <f>IFERROR(__xludf.DUMMYFUNCTION("""COMPUTED_VALUE"""),"臺北市私立東山高級中學附設國中部")</f>
        <v>臺北市私立東山高級中學附設國中部</v>
      </c>
      <c r="F87" s="14" t="str">
        <f>IFERROR(__xludf.DUMMYFUNCTION("""COMPUTED_VALUE"""),"九年級")</f>
        <v>九年級</v>
      </c>
      <c r="G87" s="14" t="str">
        <f>IFERROR(__xludf.DUMMYFUNCTION("""COMPUTED_VALUE"""),"獎狀")</f>
        <v>獎狀</v>
      </c>
      <c r="H87" s="8"/>
    </row>
    <row r="88">
      <c r="A88" s="12"/>
      <c r="B88" s="14">
        <f>IFERROR(__xludf.DUMMYFUNCTION("""COMPUTED_VALUE"""),1141037.0)</f>
        <v>1141037</v>
      </c>
      <c r="C88" s="14" t="str">
        <f>IFERROR(__xludf.DUMMYFUNCTION("""COMPUTED_VALUE"""),"周珈伃")</f>
        <v>周珈伃</v>
      </c>
      <c r="D88" s="16" t="str">
        <f>IFERROR(__xludf.DUMMYFUNCTION("""COMPUTED_VALUE"""),"111*****@st.thsh.tp.edu.tw")</f>
        <v>111*****@st.thsh.tp.edu.tw</v>
      </c>
      <c r="E88" s="17" t="str">
        <f>IFERROR(__xludf.DUMMYFUNCTION("""COMPUTED_VALUE"""),"臺北市私立再興高級中學附設國中部")</f>
        <v>臺北市私立再興高級中學附設國中部</v>
      </c>
      <c r="F88" s="14" t="str">
        <f>IFERROR(__xludf.DUMMYFUNCTION("""COMPUTED_VALUE"""),"七年級")</f>
        <v>七年級</v>
      </c>
      <c r="G88" s="14" t="str">
        <f>IFERROR(__xludf.DUMMYFUNCTION("""COMPUTED_VALUE"""),"●小禮物")</f>
        <v>●小禮物</v>
      </c>
      <c r="H88" s="8"/>
    </row>
    <row r="89">
      <c r="A89" s="12"/>
      <c r="B89" s="14">
        <f>IFERROR(__xludf.DUMMYFUNCTION("""COMPUTED_VALUE"""),1141003.0)</f>
        <v>1141003</v>
      </c>
      <c r="C89" s="14" t="str">
        <f>IFERROR(__xludf.DUMMYFUNCTION("""COMPUTED_VALUE"""),"郭庭妤")</f>
        <v>郭庭妤</v>
      </c>
      <c r="D89" s="16" t="str">
        <f>IFERROR(__xludf.DUMMYFUNCTION("""COMPUTED_VALUE"""),"111*****@st.thsh.tp.edu.tw")</f>
        <v>111*****@st.thsh.tp.edu.tw</v>
      </c>
      <c r="E89" s="17" t="str">
        <f>IFERROR(__xludf.DUMMYFUNCTION("""COMPUTED_VALUE"""),"臺北市私立再興高級中學附設國中部")</f>
        <v>臺北市私立再興高級中學附設國中部</v>
      </c>
      <c r="F89" s="14" t="str">
        <f>IFERROR(__xludf.DUMMYFUNCTION("""COMPUTED_VALUE"""),"七年級")</f>
        <v>七年級</v>
      </c>
      <c r="G89" s="14" t="str">
        <f>IFERROR(__xludf.DUMMYFUNCTION("""COMPUTED_VALUE"""),"●小禮物")</f>
        <v>●小禮物</v>
      </c>
      <c r="H89" s="8"/>
    </row>
    <row r="90">
      <c r="A90" s="12"/>
      <c r="B90" s="14">
        <f>IFERROR(__xludf.DUMMYFUNCTION("""COMPUTED_VALUE"""),1141032.0)</f>
        <v>1141032</v>
      </c>
      <c r="C90" s="14" t="str">
        <f>IFERROR(__xludf.DUMMYFUNCTION("""COMPUTED_VALUE"""),"李元元")</f>
        <v>李元元</v>
      </c>
      <c r="D90" s="16" t="str">
        <f>IFERROR(__xludf.DUMMYFUNCTION("""COMPUTED_VALUE"""),"111*****@st.thsh.tp.edu.tw")</f>
        <v>111*****@st.thsh.tp.edu.tw</v>
      </c>
      <c r="E90" s="17" t="str">
        <f>IFERROR(__xludf.DUMMYFUNCTION("""COMPUTED_VALUE"""),"臺北市私立再興高級中學附設國中部")</f>
        <v>臺北市私立再興高級中學附設國中部</v>
      </c>
      <c r="F90" s="14" t="str">
        <f>IFERROR(__xludf.DUMMYFUNCTION("""COMPUTED_VALUE"""),"七年級")</f>
        <v>七年級</v>
      </c>
      <c r="G90" s="14" t="str">
        <f>IFERROR(__xludf.DUMMYFUNCTION("""COMPUTED_VALUE"""),"獎狀")</f>
        <v>獎狀</v>
      </c>
      <c r="H90" s="8"/>
    </row>
    <row r="91">
      <c r="A91" s="12"/>
      <c r="B91" s="14">
        <f>IFERROR(__xludf.DUMMYFUNCTION("""COMPUTED_VALUE"""),1141075.0)</f>
        <v>1141075</v>
      </c>
      <c r="C91" s="14" t="str">
        <f>IFERROR(__xludf.DUMMYFUNCTION("""COMPUTED_VALUE"""),"張哲瑋")</f>
        <v>張哲瑋</v>
      </c>
      <c r="D91" s="16" t="str">
        <f>IFERROR(__xludf.DUMMYFUNCTION("""COMPUTED_VALUE"""),"111*****@st.thsh.tp.edu.tw")</f>
        <v>111*****@st.thsh.tp.edu.tw</v>
      </c>
      <c r="E91" s="17" t="str">
        <f>IFERROR(__xludf.DUMMYFUNCTION("""COMPUTED_VALUE"""),"臺北市私立再興高級中學附設國中部")</f>
        <v>臺北市私立再興高級中學附設國中部</v>
      </c>
      <c r="F91" s="14" t="str">
        <f>IFERROR(__xludf.DUMMYFUNCTION("""COMPUTED_VALUE"""),"七年級")</f>
        <v>七年級</v>
      </c>
      <c r="G91" s="14" t="str">
        <f>IFERROR(__xludf.DUMMYFUNCTION("""COMPUTED_VALUE"""),"獎狀")</f>
        <v>獎狀</v>
      </c>
      <c r="H91" s="8"/>
    </row>
    <row r="92">
      <c r="A92" s="12"/>
      <c r="B92" s="14">
        <f>IFERROR(__xludf.DUMMYFUNCTION("""COMPUTED_VALUE"""),1141218.0)</f>
        <v>1141218</v>
      </c>
      <c r="C92" s="14" t="str">
        <f>IFERROR(__xludf.DUMMYFUNCTION("""COMPUTED_VALUE"""),"顏碩亨")</f>
        <v>顏碩亨</v>
      </c>
      <c r="D92" s="16" t="str">
        <f>IFERROR(__xludf.DUMMYFUNCTION("""COMPUTED_VALUE"""),"111*****@st.thsh.tp.edu.tw")</f>
        <v>111*****@st.thsh.tp.edu.tw</v>
      </c>
      <c r="E92" s="17" t="str">
        <f>IFERROR(__xludf.DUMMYFUNCTION("""COMPUTED_VALUE"""),"臺北市私立再興高級中學附設國中部")</f>
        <v>臺北市私立再興高級中學附設國中部</v>
      </c>
      <c r="F92" s="14" t="str">
        <f>IFERROR(__xludf.DUMMYFUNCTION("""COMPUTED_VALUE"""),"七年級")</f>
        <v>七年級</v>
      </c>
      <c r="G92" s="14" t="str">
        <f>IFERROR(__xludf.DUMMYFUNCTION("""COMPUTED_VALUE"""),"獎狀")</f>
        <v>獎狀</v>
      </c>
      <c r="H92" s="8"/>
    </row>
    <row r="93">
      <c r="A93" s="12"/>
      <c r="B93" s="14">
        <f>IFERROR(__xludf.DUMMYFUNCTION("""COMPUTED_VALUE"""),1141183.0)</f>
        <v>1141183</v>
      </c>
      <c r="C93" s="14" t="str">
        <f>IFERROR(__xludf.DUMMYFUNCTION("""COMPUTED_VALUE"""),"洪子皓")</f>
        <v>洪子皓</v>
      </c>
      <c r="D93" s="16" t="str">
        <f>IFERROR(__xludf.DUMMYFUNCTION("""COMPUTED_VALUE"""),"111*****@st.thsh.tp.edu.tw")</f>
        <v>111*****@st.thsh.tp.edu.tw</v>
      </c>
      <c r="E93" s="17" t="str">
        <f>IFERROR(__xludf.DUMMYFUNCTION("""COMPUTED_VALUE"""),"臺北市私立再興高級中學附設國中部")</f>
        <v>臺北市私立再興高級中學附設國中部</v>
      </c>
      <c r="F93" s="14" t="str">
        <f>IFERROR(__xludf.DUMMYFUNCTION("""COMPUTED_VALUE"""),"七年級")</f>
        <v>七年級</v>
      </c>
      <c r="G93" s="14" t="str">
        <f>IFERROR(__xludf.DUMMYFUNCTION("""COMPUTED_VALUE"""),"●小禮物")</f>
        <v>●小禮物</v>
      </c>
      <c r="H93" s="8"/>
    </row>
    <row r="94">
      <c r="A94" s="12"/>
      <c r="B94" s="14">
        <f>IFERROR(__xludf.DUMMYFUNCTION("""COMPUTED_VALUE"""),1140758.0)</f>
        <v>1140758</v>
      </c>
      <c r="C94" s="14" t="str">
        <f>IFERROR(__xludf.DUMMYFUNCTION("""COMPUTED_VALUE"""),"葉祐呈")</f>
        <v>葉祐呈</v>
      </c>
      <c r="D94" s="16" t="str">
        <f>IFERROR(__xludf.DUMMYFUNCTION("""COMPUTED_VALUE"""),"111*****@st.thsh.tp.edu.tw")</f>
        <v>111*****@st.thsh.tp.edu.tw</v>
      </c>
      <c r="E94" s="17" t="str">
        <f>IFERROR(__xludf.DUMMYFUNCTION("""COMPUTED_VALUE"""),"臺北市私立再興高級中學附設國中部")</f>
        <v>臺北市私立再興高級中學附設國中部</v>
      </c>
      <c r="F94" s="14" t="str">
        <f>IFERROR(__xludf.DUMMYFUNCTION("""COMPUTED_VALUE"""),"七年級")</f>
        <v>七年級</v>
      </c>
      <c r="G94" s="14" t="str">
        <f>IFERROR(__xludf.DUMMYFUNCTION("""COMPUTED_VALUE"""),"●小禮物")</f>
        <v>●小禮物</v>
      </c>
      <c r="H94" s="8"/>
    </row>
    <row r="95">
      <c r="A95" s="12"/>
      <c r="B95" s="14">
        <f>IFERROR(__xludf.DUMMYFUNCTION("""COMPUTED_VALUE"""),1141464.0)</f>
        <v>1141464</v>
      </c>
      <c r="C95" s="14" t="str">
        <f>IFERROR(__xludf.DUMMYFUNCTION("""COMPUTED_VALUE"""),"黃帷榮")</f>
        <v>黃帷榮</v>
      </c>
      <c r="D95" s="16" t="str">
        <f>IFERROR(__xludf.DUMMYFUNCTION("""COMPUTED_VALUE"""),"111*****@st.thsh.tp.edu.tw")</f>
        <v>111*****@st.thsh.tp.edu.tw</v>
      </c>
      <c r="E95" s="17" t="str">
        <f>IFERROR(__xludf.DUMMYFUNCTION("""COMPUTED_VALUE"""),"臺北市私立再興高級中學附設國中部")</f>
        <v>臺北市私立再興高級中學附設國中部</v>
      </c>
      <c r="F95" s="14" t="str">
        <f>IFERROR(__xludf.DUMMYFUNCTION("""COMPUTED_VALUE"""),"七年級")</f>
        <v>七年級</v>
      </c>
      <c r="G95" s="14" t="str">
        <f>IFERROR(__xludf.DUMMYFUNCTION("""COMPUTED_VALUE"""),"獎狀")</f>
        <v>獎狀</v>
      </c>
      <c r="H95" s="8"/>
    </row>
    <row r="96">
      <c r="A96" s="12"/>
      <c r="B96" s="14">
        <f>IFERROR(__xludf.DUMMYFUNCTION("""COMPUTED_VALUE"""),1141205.0)</f>
        <v>1141205</v>
      </c>
      <c r="C96" s="14" t="str">
        <f>IFERROR(__xludf.DUMMYFUNCTION("""COMPUTED_VALUE"""),"尹怡絜")</f>
        <v>尹怡絜</v>
      </c>
      <c r="D96" s="16" t="str">
        <f>IFERROR(__xludf.DUMMYFUNCTION("""COMPUTED_VALUE"""),"111*****@st.thsh.tp.edu.tw")</f>
        <v>111*****@st.thsh.tp.edu.tw</v>
      </c>
      <c r="E96" s="17" t="str">
        <f>IFERROR(__xludf.DUMMYFUNCTION("""COMPUTED_VALUE"""),"臺北市私立再興高級中學附設國中部")</f>
        <v>臺北市私立再興高級中學附設國中部</v>
      </c>
      <c r="F96" s="14" t="str">
        <f>IFERROR(__xludf.DUMMYFUNCTION("""COMPUTED_VALUE"""),"七年級")</f>
        <v>七年級</v>
      </c>
      <c r="G96" s="14" t="str">
        <f>IFERROR(__xludf.DUMMYFUNCTION("""COMPUTED_VALUE"""),"●小禮物")</f>
        <v>●小禮物</v>
      </c>
      <c r="H96" s="8"/>
    </row>
    <row r="97">
      <c r="A97" s="12"/>
      <c r="B97" s="14">
        <f>IFERROR(__xludf.DUMMYFUNCTION("""COMPUTED_VALUE"""),1141182.0)</f>
        <v>1141182</v>
      </c>
      <c r="C97" s="14" t="str">
        <f>IFERROR(__xludf.DUMMYFUNCTION("""COMPUTED_VALUE"""),"李予安")</f>
        <v>李予安</v>
      </c>
      <c r="D97" s="16" t="str">
        <f>IFERROR(__xludf.DUMMYFUNCTION("""COMPUTED_VALUE"""),"111*****@st.thsh.tp.edu.tw")</f>
        <v>111*****@st.thsh.tp.edu.tw</v>
      </c>
      <c r="E97" s="17" t="str">
        <f>IFERROR(__xludf.DUMMYFUNCTION("""COMPUTED_VALUE"""),"臺北市私立再興高級中學附設國中部")</f>
        <v>臺北市私立再興高級中學附設國中部</v>
      </c>
      <c r="F97" s="14" t="str">
        <f>IFERROR(__xludf.DUMMYFUNCTION("""COMPUTED_VALUE"""),"七年級")</f>
        <v>七年級</v>
      </c>
      <c r="G97" s="14" t="str">
        <f>IFERROR(__xludf.DUMMYFUNCTION("""COMPUTED_VALUE"""),"●小禮物")</f>
        <v>●小禮物</v>
      </c>
      <c r="H97" s="8"/>
    </row>
    <row r="98">
      <c r="A98" s="12"/>
      <c r="B98" s="14">
        <f>IFERROR(__xludf.DUMMYFUNCTION("""COMPUTED_VALUE"""),1141044.0)</f>
        <v>1141044</v>
      </c>
      <c r="C98" s="14" t="str">
        <f>IFERROR(__xludf.DUMMYFUNCTION("""COMPUTED_VALUE"""),"李凱元")</f>
        <v>李凱元</v>
      </c>
      <c r="D98" s="16" t="str">
        <f>IFERROR(__xludf.DUMMYFUNCTION("""COMPUTED_VALUE"""),"111*****@st.thsh.tp.edu.tw")</f>
        <v>111*****@st.thsh.tp.edu.tw</v>
      </c>
      <c r="E98" s="17" t="str">
        <f>IFERROR(__xludf.DUMMYFUNCTION("""COMPUTED_VALUE"""),"臺北市私立再興高級中學附設國中部")</f>
        <v>臺北市私立再興高級中學附設國中部</v>
      </c>
      <c r="F98" s="14" t="str">
        <f>IFERROR(__xludf.DUMMYFUNCTION("""COMPUTED_VALUE"""),"七年級")</f>
        <v>七年級</v>
      </c>
      <c r="G98" s="14" t="str">
        <f>IFERROR(__xludf.DUMMYFUNCTION("""COMPUTED_VALUE"""),"●小禮物")</f>
        <v>●小禮物</v>
      </c>
      <c r="H98" s="8"/>
    </row>
    <row r="99">
      <c r="A99" s="12"/>
      <c r="B99" s="14">
        <f>IFERROR(__xludf.DUMMYFUNCTION("""COMPUTED_VALUE"""),1141059.0)</f>
        <v>1141059</v>
      </c>
      <c r="C99" s="14" t="str">
        <f>IFERROR(__xludf.DUMMYFUNCTION("""COMPUTED_VALUE"""),"房允望")</f>
        <v>房允望</v>
      </c>
      <c r="D99" s="16" t="str">
        <f>IFERROR(__xludf.DUMMYFUNCTION("""COMPUTED_VALUE"""),"111*****@st.thsh.tp.edu.tw")</f>
        <v>111*****@st.thsh.tp.edu.tw</v>
      </c>
      <c r="E99" s="17" t="str">
        <f>IFERROR(__xludf.DUMMYFUNCTION("""COMPUTED_VALUE"""),"臺北市私立再興高級中學附設國中部")</f>
        <v>臺北市私立再興高級中學附設國中部</v>
      </c>
      <c r="F99" s="14" t="str">
        <f>IFERROR(__xludf.DUMMYFUNCTION("""COMPUTED_VALUE"""),"七年級")</f>
        <v>七年級</v>
      </c>
      <c r="G99" s="14" t="str">
        <f>IFERROR(__xludf.DUMMYFUNCTION("""COMPUTED_VALUE"""),"●小禮物")</f>
        <v>●小禮物</v>
      </c>
      <c r="H99" s="8"/>
    </row>
    <row r="100">
      <c r="A100" s="12"/>
      <c r="B100" s="14">
        <f>IFERROR(__xludf.DUMMYFUNCTION("""COMPUTED_VALUE"""),1141115.0)</f>
        <v>1141115</v>
      </c>
      <c r="C100" s="14" t="str">
        <f>IFERROR(__xludf.DUMMYFUNCTION("""COMPUTED_VALUE"""),"洪稟硯")</f>
        <v>洪稟硯</v>
      </c>
      <c r="D100" s="16" t="str">
        <f>IFERROR(__xludf.DUMMYFUNCTION("""COMPUTED_VALUE"""),"111*****@st.thsh.tp.edu.tw")</f>
        <v>111*****@st.thsh.tp.edu.tw</v>
      </c>
      <c r="E100" s="17" t="str">
        <f>IFERROR(__xludf.DUMMYFUNCTION("""COMPUTED_VALUE"""),"臺北市私立再興高級中學附設國中部")</f>
        <v>臺北市私立再興高級中學附設國中部</v>
      </c>
      <c r="F100" s="14" t="str">
        <f>IFERROR(__xludf.DUMMYFUNCTION("""COMPUTED_VALUE"""),"七年級")</f>
        <v>七年級</v>
      </c>
      <c r="G100" s="14" t="str">
        <f>IFERROR(__xludf.DUMMYFUNCTION("""COMPUTED_VALUE"""),"●小禮物")</f>
        <v>●小禮物</v>
      </c>
      <c r="H100" s="8"/>
    </row>
    <row r="101">
      <c r="A101" s="12"/>
      <c r="B101" s="14">
        <f>IFERROR(__xludf.DUMMYFUNCTION("""COMPUTED_VALUE"""),1141083.0)</f>
        <v>1141083</v>
      </c>
      <c r="C101" s="14" t="str">
        <f>IFERROR(__xludf.DUMMYFUNCTION("""COMPUTED_VALUE"""),"高芷亘")</f>
        <v>高芷亘</v>
      </c>
      <c r="D101" s="16" t="str">
        <f>IFERROR(__xludf.DUMMYFUNCTION("""COMPUTED_VALUE"""),"111*****@st.thsh.tp.edu.tw")</f>
        <v>111*****@st.thsh.tp.edu.tw</v>
      </c>
      <c r="E101" s="17" t="str">
        <f>IFERROR(__xludf.DUMMYFUNCTION("""COMPUTED_VALUE"""),"臺北市私立再興高級中學附設國中部")</f>
        <v>臺北市私立再興高級中學附設國中部</v>
      </c>
      <c r="F101" s="14" t="str">
        <f>IFERROR(__xludf.DUMMYFUNCTION("""COMPUTED_VALUE"""),"七年級")</f>
        <v>七年級</v>
      </c>
      <c r="G101" s="14" t="str">
        <f>IFERROR(__xludf.DUMMYFUNCTION("""COMPUTED_VALUE"""),"●小禮物")</f>
        <v>●小禮物</v>
      </c>
      <c r="H101" s="8"/>
    </row>
    <row r="102">
      <c r="A102" s="12"/>
      <c r="B102" s="14">
        <f>IFERROR(__xludf.DUMMYFUNCTION("""COMPUTED_VALUE"""),1141014.0)</f>
        <v>1141014</v>
      </c>
      <c r="C102" s="14" t="str">
        <f>IFERROR(__xludf.DUMMYFUNCTION("""COMPUTED_VALUE"""),"連瑀辰")</f>
        <v>連瑀辰</v>
      </c>
      <c r="D102" s="16" t="str">
        <f>IFERROR(__xludf.DUMMYFUNCTION("""COMPUTED_VALUE"""),"111*****@st.thsh.tp.edu.tw")</f>
        <v>111*****@st.thsh.tp.edu.tw</v>
      </c>
      <c r="E102" s="17" t="str">
        <f>IFERROR(__xludf.DUMMYFUNCTION("""COMPUTED_VALUE"""),"臺北市私立再興高級中學附設國中部")</f>
        <v>臺北市私立再興高級中學附設國中部</v>
      </c>
      <c r="F102" s="14" t="str">
        <f>IFERROR(__xludf.DUMMYFUNCTION("""COMPUTED_VALUE"""),"七年級")</f>
        <v>七年級</v>
      </c>
      <c r="G102" s="14" t="str">
        <f>IFERROR(__xludf.DUMMYFUNCTION("""COMPUTED_VALUE"""),"●小禮物")</f>
        <v>●小禮物</v>
      </c>
      <c r="H102" s="8"/>
    </row>
    <row r="103">
      <c r="A103" s="12"/>
      <c r="B103" s="14">
        <f>IFERROR(__xludf.DUMMYFUNCTION("""COMPUTED_VALUE"""),1141082.0)</f>
        <v>1141082</v>
      </c>
      <c r="C103" s="14" t="str">
        <f>IFERROR(__xludf.DUMMYFUNCTION("""COMPUTED_VALUE"""),"陳俞希")</f>
        <v>陳俞希</v>
      </c>
      <c r="D103" s="16" t="str">
        <f>IFERROR(__xludf.DUMMYFUNCTION("""COMPUTED_VALUE"""),"111*****@st.thsh.tp.edu.tw")</f>
        <v>111*****@st.thsh.tp.edu.tw</v>
      </c>
      <c r="E103" s="17" t="str">
        <f>IFERROR(__xludf.DUMMYFUNCTION("""COMPUTED_VALUE"""),"臺北市私立再興高級中學附設國中部")</f>
        <v>臺北市私立再興高級中學附設國中部</v>
      </c>
      <c r="F103" s="14" t="str">
        <f>IFERROR(__xludf.DUMMYFUNCTION("""COMPUTED_VALUE"""),"七年級")</f>
        <v>七年級</v>
      </c>
      <c r="G103" s="14" t="str">
        <f>IFERROR(__xludf.DUMMYFUNCTION("""COMPUTED_VALUE"""),"●小禮物")</f>
        <v>●小禮物</v>
      </c>
      <c r="H103" s="8"/>
    </row>
    <row r="104">
      <c r="A104" s="12"/>
      <c r="B104" s="14">
        <f>IFERROR(__xludf.DUMMYFUNCTION("""COMPUTED_VALUE"""),1141008.0)</f>
        <v>1141008</v>
      </c>
      <c r="C104" s="14" t="str">
        <f>IFERROR(__xludf.DUMMYFUNCTION("""COMPUTED_VALUE"""),"廖紹惟")</f>
        <v>廖紹惟</v>
      </c>
      <c r="D104" s="16" t="str">
        <f>IFERROR(__xludf.DUMMYFUNCTION("""COMPUTED_VALUE"""),"111*****@st.thsh.tp.edu.tw")</f>
        <v>111*****@st.thsh.tp.edu.tw</v>
      </c>
      <c r="E104" s="17" t="str">
        <f>IFERROR(__xludf.DUMMYFUNCTION("""COMPUTED_VALUE"""),"臺北市私立再興高級中學附設國中部")</f>
        <v>臺北市私立再興高級中學附設國中部</v>
      </c>
      <c r="F104" s="14" t="str">
        <f>IFERROR(__xludf.DUMMYFUNCTION("""COMPUTED_VALUE"""),"七年級")</f>
        <v>七年級</v>
      </c>
      <c r="G104" s="14" t="str">
        <f>IFERROR(__xludf.DUMMYFUNCTION("""COMPUTED_VALUE"""),"●小禮物")</f>
        <v>●小禮物</v>
      </c>
      <c r="H104" s="8"/>
    </row>
    <row r="105">
      <c r="A105" s="12"/>
      <c r="B105" s="14">
        <f>IFERROR(__xludf.DUMMYFUNCTION("""COMPUTED_VALUE"""),1141130.0)</f>
        <v>1141130</v>
      </c>
      <c r="C105" s="14" t="str">
        <f>IFERROR(__xludf.DUMMYFUNCTION("""COMPUTED_VALUE"""),"劉昱承")</f>
        <v>劉昱承</v>
      </c>
      <c r="D105" s="16" t="str">
        <f>IFERROR(__xludf.DUMMYFUNCTION("""COMPUTED_VALUE"""),"111*****@st.thsh.tp.edu.tw")</f>
        <v>111*****@st.thsh.tp.edu.tw</v>
      </c>
      <c r="E105" s="17" t="str">
        <f>IFERROR(__xludf.DUMMYFUNCTION("""COMPUTED_VALUE"""),"臺北市私立再興高級中學附設國中部")</f>
        <v>臺北市私立再興高級中學附設國中部</v>
      </c>
      <c r="F105" s="14" t="str">
        <f>IFERROR(__xludf.DUMMYFUNCTION("""COMPUTED_VALUE"""),"七年級")</f>
        <v>七年級</v>
      </c>
      <c r="G105" s="14" t="str">
        <f>IFERROR(__xludf.DUMMYFUNCTION("""COMPUTED_VALUE"""),"●小禮物")</f>
        <v>●小禮物</v>
      </c>
      <c r="H105" s="8"/>
    </row>
    <row r="106">
      <c r="A106" s="12"/>
      <c r="B106" s="14">
        <f>IFERROR(__xludf.DUMMYFUNCTION("""COMPUTED_VALUE"""),1141221.0)</f>
        <v>1141221</v>
      </c>
      <c r="C106" s="14" t="str">
        <f>IFERROR(__xludf.DUMMYFUNCTION("""COMPUTED_VALUE"""),"石芸婕")</f>
        <v>石芸婕</v>
      </c>
      <c r="D106" s="16" t="str">
        <f>IFERROR(__xludf.DUMMYFUNCTION("""COMPUTED_VALUE"""),"111*****@st.thsh.tp.edu.tw")</f>
        <v>111*****@st.thsh.tp.edu.tw</v>
      </c>
      <c r="E106" s="17" t="str">
        <f>IFERROR(__xludf.DUMMYFUNCTION("""COMPUTED_VALUE"""),"臺北市私立再興高級中學附設國中部")</f>
        <v>臺北市私立再興高級中學附設國中部</v>
      </c>
      <c r="F106" s="14" t="str">
        <f>IFERROR(__xludf.DUMMYFUNCTION("""COMPUTED_VALUE"""),"七年級")</f>
        <v>七年級</v>
      </c>
      <c r="G106" s="14" t="str">
        <f>IFERROR(__xludf.DUMMYFUNCTION("""COMPUTED_VALUE"""),"獎狀")</f>
        <v>獎狀</v>
      </c>
      <c r="H106" s="8"/>
    </row>
    <row r="107">
      <c r="A107" s="12"/>
      <c r="B107" s="14">
        <f>IFERROR(__xludf.DUMMYFUNCTION("""COMPUTED_VALUE"""),1141459.0)</f>
        <v>1141459</v>
      </c>
      <c r="C107" s="14" t="str">
        <f>IFERROR(__xludf.DUMMYFUNCTION("""COMPUTED_VALUE"""),"何瑞博")</f>
        <v>何瑞博</v>
      </c>
      <c r="D107" s="16" t="str">
        <f>IFERROR(__xludf.DUMMYFUNCTION("""COMPUTED_VALUE"""),"111*****@st.thsh.tp.edu.tw")</f>
        <v>111*****@st.thsh.tp.edu.tw</v>
      </c>
      <c r="E107" s="17" t="str">
        <f>IFERROR(__xludf.DUMMYFUNCTION("""COMPUTED_VALUE"""),"臺北市私立再興高級中學附設國中部")</f>
        <v>臺北市私立再興高級中學附設國中部</v>
      </c>
      <c r="F107" s="14" t="str">
        <f>IFERROR(__xludf.DUMMYFUNCTION("""COMPUTED_VALUE"""),"七年級")</f>
        <v>七年級</v>
      </c>
      <c r="G107" s="14" t="str">
        <f>IFERROR(__xludf.DUMMYFUNCTION("""COMPUTED_VALUE"""),"獎狀")</f>
        <v>獎狀</v>
      </c>
      <c r="H107" s="8"/>
    </row>
    <row r="108">
      <c r="A108" s="12"/>
      <c r="B108" s="14">
        <f>IFERROR(__xludf.DUMMYFUNCTION("""COMPUTED_VALUE"""),1143619.0)</f>
        <v>1143619</v>
      </c>
      <c r="C108" s="14" t="str">
        <f>IFERROR(__xludf.DUMMYFUNCTION("""COMPUTED_VALUE"""),"吳昱葳")</f>
        <v>吳昱葳</v>
      </c>
      <c r="D108" s="16" t="str">
        <f>IFERROR(__xludf.DUMMYFUNCTION("""COMPUTED_VALUE"""),"111*****@st.thsh.tp.edu.tw")</f>
        <v>111*****@st.thsh.tp.edu.tw</v>
      </c>
      <c r="E108" s="17" t="str">
        <f>IFERROR(__xludf.DUMMYFUNCTION("""COMPUTED_VALUE"""),"臺北市私立再興高級中學附設國中部")</f>
        <v>臺北市私立再興高級中學附設國中部</v>
      </c>
      <c r="F108" s="14" t="str">
        <f>IFERROR(__xludf.DUMMYFUNCTION("""COMPUTED_VALUE"""),"七年級")</f>
        <v>七年級</v>
      </c>
      <c r="G108" s="14" t="str">
        <f>IFERROR(__xludf.DUMMYFUNCTION("""COMPUTED_VALUE"""),"獎狀")</f>
        <v>獎狀</v>
      </c>
      <c r="H108" s="8"/>
    </row>
    <row r="109">
      <c r="A109" s="12"/>
      <c r="B109" s="14">
        <f>IFERROR(__xludf.DUMMYFUNCTION("""COMPUTED_VALUE"""),1141211.0)</f>
        <v>1141211</v>
      </c>
      <c r="C109" s="14" t="str">
        <f>IFERROR(__xludf.DUMMYFUNCTION("""COMPUTED_VALUE"""),"李妍儀")</f>
        <v>李妍儀</v>
      </c>
      <c r="D109" s="16" t="str">
        <f>IFERROR(__xludf.DUMMYFUNCTION("""COMPUTED_VALUE"""),"111*****@st.thsh.tp.edu.tw")</f>
        <v>111*****@st.thsh.tp.edu.tw</v>
      </c>
      <c r="E109" s="17" t="str">
        <f>IFERROR(__xludf.DUMMYFUNCTION("""COMPUTED_VALUE"""),"臺北市私立再興高級中學附設國中部")</f>
        <v>臺北市私立再興高級中學附設國中部</v>
      </c>
      <c r="F109" s="14" t="str">
        <f>IFERROR(__xludf.DUMMYFUNCTION("""COMPUTED_VALUE"""),"七年級")</f>
        <v>七年級</v>
      </c>
      <c r="G109" s="14" t="str">
        <f>IFERROR(__xludf.DUMMYFUNCTION("""COMPUTED_VALUE"""),"獎狀")</f>
        <v>獎狀</v>
      </c>
      <c r="H109" s="8"/>
    </row>
    <row r="110">
      <c r="A110" s="12"/>
      <c r="B110" s="14">
        <f>IFERROR(__xludf.DUMMYFUNCTION("""COMPUTED_VALUE"""),1141134.0)</f>
        <v>1141134</v>
      </c>
      <c r="C110" s="14" t="str">
        <f>IFERROR(__xludf.DUMMYFUNCTION("""COMPUTED_VALUE"""),"陳恩莛")</f>
        <v>陳恩莛</v>
      </c>
      <c r="D110" s="16" t="str">
        <f>IFERROR(__xludf.DUMMYFUNCTION("""COMPUTED_VALUE"""),"111*****@st.thsh.tp.edu.tw")</f>
        <v>111*****@st.thsh.tp.edu.tw</v>
      </c>
      <c r="E110" s="17" t="str">
        <f>IFERROR(__xludf.DUMMYFUNCTION("""COMPUTED_VALUE"""),"臺北市私立再興高級中學附設國中部")</f>
        <v>臺北市私立再興高級中學附設國中部</v>
      </c>
      <c r="F110" s="14" t="str">
        <f>IFERROR(__xludf.DUMMYFUNCTION("""COMPUTED_VALUE"""),"七年級")</f>
        <v>七年級</v>
      </c>
      <c r="G110" s="14" t="str">
        <f>IFERROR(__xludf.DUMMYFUNCTION("""COMPUTED_VALUE"""),"獎狀")</f>
        <v>獎狀</v>
      </c>
      <c r="H110" s="8"/>
    </row>
    <row r="111">
      <c r="A111" s="12"/>
      <c r="B111" s="14">
        <f>IFERROR(__xludf.DUMMYFUNCTION("""COMPUTED_VALUE"""),1141132.0)</f>
        <v>1141132</v>
      </c>
      <c r="C111" s="14" t="str">
        <f>IFERROR(__xludf.DUMMYFUNCTION("""COMPUTED_VALUE"""),"廖勝睿")</f>
        <v>廖勝睿</v>
      </c>
      <c r="D111" s="16" t="str">
        <f>IFERROR(__xludf.DUMMYFUNCTION("""COMPUTED_VALUE"""),"111*****@st.thsh.tp.edu.tw")</f>
        <v>111*****@st.thsh.tp.edu.tw</v>
      </c>
      <c r="E111" s="17" t="str">
        <f>IFERROR(__xludf.DUMMYFUNCTION("""COMPUTED_VALUE"""),"臺北市私立再興高級中學附設國中部")</f>
        <v>臺北市私立再興高級中學附設國中部</v>
      </c>
      <c r="F111" s="14" t="str">
        <f>IFERROR(__xludf.DUMMYFUNCTION("""COMPUTED_VALUE"""),"七年級")</f>
        <v>七年級</v>
      </c>
      <c r="G111" s="14" t="str">
        <f>IFERROR(__xludf.DUMMYFUNCTION("""COMPUTED_VALUE"""),"獎狀")</f>
        <v>獎狀</v>
      </c>
      <c r="H111" s="8"/>
    </row>
    <row r="112">
      <c r="A112" s="12"/>
      <c r="B112" s="14">
        <f>IFERROR(__xludf.DUMMYFUNCTION("""COMPUTED_VALUE"""),1141054.0)</f>
        <v>1141054</v>
      </c>
      <c r="C112" s="14" t="str">
        <f>IFERROR(__xludf.DUMMYFUNCTION("""COMPUTED_VALUE"""),"盧奕安")</f>
        <v>盧奕安</v>
      </c>
      <c r="D112" s="16" t="str">
        <f>IFERROR(__xludf.DUMMYFUNCTION("""COMPUTED_VALUE"""),"111*****@st.thsh.tp.edu.tw")</f>
        <v>111*****@st.thsh.tp.edu.tw</v>
      </c>
      <c r="E112" s="17" t="str">
        <f>IFERROR(__xludf.DUMMYFUNCTION("""COMPUTED_VALUE"""),"臺北市私立再興高級中學附設國中部")</f>
        <v>臺北市私立再興高級中學附設國中部</v>
      </c>
      <c r="F112" s="14" t="str">
        <f>IFERROR(__xludf.DUMMYFUNCTION("""COMPUTED_VALUE"""),"七年級")</f>
        <v>七年級</v>
      </c>
      <c r="G112" s="14" t="str">
        <f>IFERROR(__xludf.DUMMYFUNCTION("""COMPUTED_VALUE"""),"獎狀")</f>
        <v>獎狀</v>
      </c>
      <c r="H112" s="8"/>
    </row>
    <row r="113">
      <c r="A113" s="12"/>
      <c r="B113" s="14">
        <f>IFERROR(__xludf.DUMMYFUNCTION("""COMPUTED_VALUE"""),770623.0)</f>
        <v>770623</v>
      </c>
      <c r="C113" s="14" t="str">
        <f>IFERROR(__xludf.DUMMYFUNCTION("""COMPUTED_VALUE"""),"李祈安")</f>
        <v>李祈安</v>
      </c>
      <c r="D113" s="16" t="str">
        <f>IFERROR(__xludf.DUMMYFUNCTION("""COMPUTED_VALUE"""),"110*****@st.thsh.tp.edu.tw")</f>
        <v>110*****@st.thsh.tp.edu.tw</v>
      </c>
      <c r="E113" s="17" t="str">
        <f>IFERROR(__xludf.DUMMYFUNCTION("""COMPUTED_VALUE"""),"臺北市私立再興高級中學附設國中部")</f>
        <v>臺北市私立再興高級中學附設國中部</v>
      </c>
      <c r="F113" s="14" t="str">
        <f>IFERROR(__xludf.DUMMYFUNCTION("""COMPUTED_VALUE"""),"八年級")</f>
        <v>八年級</v>
      </c>
      <c r="G113" s="14" t="str">
        <f>IFERROR(__xludf.DUMMYFUNCTION("""COMPUTED_VALUE"""),"獎狀")</f>
        <v>獎狀</v>
      </c>
      <c r="H113" s="8"/>
    </row>
    <row r="114">
      <c r="A114" s="12"/>
      <c r="B114" s="14">
        <f>IFERROR(__xludf.DUMMYFUNCTION("""COMPUTED_VALUE"""),770635.0)</f>
        <v>770635</v>
      </c>
      <c r="C114" s="14" t="str">
        <f>IFERROR(__xludf.DUMMYFUNCTION("""COMPUTED_VALUE"""),"王韻婷")</f>
        <v>王韻婷</v>
      </c>
      <c r="D114" s="16" t="str">
        <f>IFERROR(__xludf.DUMMYFUNCTION("""COMPUTED_VALUE"""),"110*****@st.thsh.tp.edu.tw")</f>
        <v>110*****@st.thsh.tp.edu.tw</v>
      </c>
      <c r="E114" s="17" t="str">
        <f>IFERROR(__xludf.DUMMYFUNCTION("""COMPUTED_VALUE"""),"臺北市私立再興高級中學附設國中部")</f>
        <v>臺北市私立再興高級中學附設國中部</v>
      </c>
      <c r="F114" s="14" t="str">
        <f>IFERROR(__xludf.DUMMYFUNCTION("""COMPUTED_VALUE"""),"八年級")</f>
        <v>八年級</v>
      </c>
      <c r="G114" s="14" t="str">
        <f>IFERROR(__xludf.DUMMYFUNCTION("""COMPUTED_VALUE"""),"獎狀")</f>
        <v>獎狀</v>
      </c>
      <c r="H114" s="8"/>
    </row>
    <row r="115">
      <c r="A115" s="12"/>
      <c r="B115" s="14">
        <f>IFERROR(__xludf.DUMMYFUNCTION("""COMPUTED_VALUE"""),770643.0)</f>
        <v>770643</v>
      </c>
      <c r="C115" s="14" t="str">
        <f>IFERROR(__xludf.DUMMYFUNCTION("""COMPUTED_VALUE"""),"吳昕恩")</f>
        <v>吳昕恩</v>
      </c>
      <c r="D115" s="16" t="str">
        <f>IFERROR(__xludf.DUMMYFUNCTION("""COMPUTED_VALUE"""),"110*****@st.thsh.tp.edu.tw")</f>
        <v>110*****@st.thsh.tp.edu.tw</v>
      </c>
      <c r="E115" s="17" t="str">
        <f>IFERROR(__xludf.DUMMYFUNCTION("""COMPUTED_VALUE"""),"臺北市私立再興高級中學附設國中部")</f>
        <v>臺北市私立再興高級中學附設國中部</v>
      </c>
      <c r="F115" s="14" t="str">
        <f>IFERROR(__xludf.DUMMYFUNCTION("""COMPUTED_VALUE"""),"八年級")</f>
        <v>八年級</v>
      </c>
      <c r="G115" s="14" t="str">
        <f>IFERROR(__xludf.DUMMYFUNCTION("""COMPUTED_VALUE"""),"●小禮物")</f>
        <v>●小禮物</v>
      </c>
      <c r="H115" s="8"/>
    </row>
    <row r="116">
      <c r="A116" s="12"/>
      <c r="B116" s="14">
        <f>IFERROR(__xludf.DUMMYFUNCTION("""COMPUTED_VALUE"""),770624.0)</f>
        <v>770624</v>
      </c>
      <c r="C116" s="14" t="str">
        <f>IFERROR(__xludf.DUMMYFUNCTION("""COMPUTED_VALUE"""),"林子薰")</f>
        <v>林子薰</v>
      </c>
      <c r="D116" s="16" t="str">
        <f>IFERROR(__xludf.DUMMYFUNCTION("""COMPUTED_VALUE"""),"110*****@st.thsh.tp.edu.tw")</f>
        <v>110*****@st.thsh.tp.edu.tw</v>
      </c>
      <c r="E116" s="17" t="str">
        <f>IFERROR(__xludf.DUMMYFUNCTION("""COMPUTED_VALUE"""),"臺北市私立再興高級中學附設國中部")</f>
        <v>臺北市私立再興高級中學附設國中部</v>
      </c>
      <c r="F116" s="14" t="str">
        <f>IFERROR(__xludf.DUMMYFUNCTION("""COMPUTED_VALUE"""),"八年級")</f>
        <v>八年級</v>
      </c>
      <c r="G116" s="14" t="str">
        <f>IFERROR(__xludf.DUMMYFUNCTION("""COMPUTED_VALUE"""),"●小禮物")</f>
        <v>●小禮物</v>
      </c>
      <c r="H116" s="8"/>
    </row>
    <row r="117">
      <c r="A117" s="12"/>
      <c r="B117" s="14">
        <f>IFERROR(__xludf.DUMMYFUNCTION("""COMPUTED_VALUE"""),770633.0)</f>
        <v>770633</v>
      </c>
      <c r="C117" s="14" t="str">
        <f>IFERROR(__xludf.DUMMYFUNCTION("""COMPUTED_VALUE"""),"洪筱雨")</f>
        <v>洪筱雨</v>
      </c>
      <c r="D117" s="16" t="str">
        <f>IFERROR(__xludf.DUMMYFUNCTION("""COMPUTED_VALUE"""),"110*****@st.thsh.tp.edu.tw")</f>
        <v>110*****@st.thsh.tp.edu.tw</v>
      </c>
      <c r="E117" s="17" t="str">
        <f>IFERROR(__xludf.DUMMYFUNCTION("""COMPUTED_VALUE"""),"臺北市私立再興高級中學附設國中部")</f>
        <v>臺北市私立再興高級中學附設國中部</v>
      </c>
      <c r="F117" s="14" t="str">
        <f>IFERROR(__xludf.DUMMYFUNCTION("""COMPUTED_VALUE"""),"八年級")</f>
        <v>八年級</v>
      </c>
      <c r="G117" s="14" t="str">
        <f>IFERROR(__xludf.DUMMYFUNCTION("""COMPUTED_VALUE"""),"●小禮物")</f>
        <v>●小禮物</v>
      </c>
      <c r="H117" s="8"/>
    </row>
    <row r="118">
      <c r="A118" s="12"/>
      <c r="B118" s="14">
        <f>IFERROR(__xludf.DUMMYFUNCTION("""COMPUTED_VALUE"""),770690.0)</f>
        <v>770690</v>
      </c>
      <c r="C118" s="14" t="str">
        <f>IFERROR(__xludf.DUMMYFUNCTION("""COMPUTED_VALUE"""),"湯家甯")</f>
        <v>湯家甯</v>
      </c>
      <c r="D118" s="16" t="str">
        <f>IFERROR(__xludf.DUMMYFUNCTION("""COMPUTED_VALUE"""),"110*****@st.thsh.tp.edu.tw")</f>
        <v>110*****@st.thsh.tp.edu.tw</v>
      </c>
      <c r="E118" s="17" t="str">
        <f>IFERROR(__xludf.DUMMYFUNCTION("""COMPUTED_VALUE"""),"臺北市私立再興高級中學附設國中部")</f>
        <v>臺北市私立再興高級中學附設國中部</v>
      </c>
      <c r="F118" s="14" t="str">
        <f>IFERROR(__xludf.DUMMYFUNCTION("""COMPUTED_VALUE"""),"八年級")</f>
        <v>八年級</v>
      </c>
      <c r="G118" s="14" t="str">
        <f>IFERROR(__xludf.DUMMYFUNCTION("""COMPUTED_VALUE"""),"●小禮物")</f>
        <v>●小禮物</v>
      </c>
      <c r="H118" s="8"/>
    </row>
    <row r="119">
      <c r="A119" s="12"/>
      <c r="B119" s="14">
        <f>IFERROR(__xludf.DUMMYFUNCTION("""COMPUTED_VALUE"""),770638.0)</f>
        <v>770638</v>
      </c>
      <c r="C119" s="14" t="str">
        <f>IFERROR(__xludf.DUMMYFUNCTION("""COMPUTED_VALUE"""),"張云馨")</f>
        <v>張云馨</v>
      </c>
      <c r="D119" s="16" t="str">
        <f>IFERROR(__xludf.DUMMYFUNCTION("""COMPUTED_VALUE"""),"110*****@st.thsh.tp.edu.tw")</f>
        <v>110*****@st.thsh.tp.edu.tw</v>
      </c>
      <c r="E119" s="17" t="str">
        <f>IFERROR(__xludf.DUMMYFUNCTION("""COMPUTED_VALUE"""),"臺北市私立再興高級中學附設國中部")</f>
        <v>臺北市私立再興高級中學附設國中部</v>
      </c>
      <c r="F119" s="14" t="str">
        <f>IFERROR(__xludf.DUMMYFUNCTION("""COMPUTED_VALUE"""),"八年級")</f>
        <v>八年級</v>
      </c>
      <c r="G119" s="14" t="str">
        <f>IFERROR(__xludf.DUMMYFUNCTION("""COMPUTED_VALUE"""),"★禮券$500")</f>
        <v>★禮券$500</v>
      </c>
      <c r="H119" s="8"/>
    </row>
    <row r="120">
      <c r="A120" s="12"/>
      <c r="B120" s="14">
        <f>IFERROR(__xludf.DUMMYFUNCTION("""COMPUTED_VALUE"""),770637.0)</f>
        <v>770637</v>
      </c>
      <c r="C120" s="14" t="str">
        <f>IFERROR(__xludf.DUMMYFUNCTION("""COMPUTED_VALUE"""),"李文瑀")</f>
        <v>李文瑀</v>
      </c>
      <c r="D120" s="16" t="str">
        <f>IFERROR(__xludf.DUMMYFUNCTION("""COMPUTED_VALUE"""),"110*****@st.thsh.tp.edu.tw")</f>
        <v>110*****@st.thsh.tp.edu.tw</v>
      </c>
      <c r="E120" s="17" t="str">
        <f>IFERROR(__xludf.DUMMYFUNCTION("""COMPUTED_VALUE"""),"臺北市私立再興高級中學附設國中部")</f>
        <v>臺北市私立再興高級中學附設國中部</v>
      </c>
      <c r="F120" s="14" t="str">
        <f>IFERROR(__xludf.DUMMYFUNCTION("""COMPUTED_VALUE"""),"八年級")</f>
        <v>八年級</v>
      </c>
      <c r="G120" s="14" t="str">
        <f>IFERROR(__xludf.DUMMYFUNCTION("""COMPUTED_VALUE"""),"獎狀")</f>
        <v>獎狀</v>
      </c>
      <c r="H120" s="8"/>
    </row>
    <row r="121">
      <c r="A121" s="12"/>
      <c r="B121" s="14">
        <f>IFERROR(__xludf.DUMMYFUNCTION("""COMPUTED_VALUE"""),770642.0)</f>
        <v>770642</v>
      </c>
      <c r="C121" s="14" t="str">
        <f>IFERROR(__xludf.DUMMYFUNCTION("""COMPUTED_VALUE"""),"封明辰")</f>
        <v>封明辰</v>
      </c>
      <c r="D121" s="16" t="str">
        <f>IFERROR(__xludf.DUMMYFUNCTION("""COMPUTED_VALUE"""),"110*****@st.thsh.tp.edu.tw")</f>
        <v>110*****@st.thsh.tp.edu.tw</v>
      </c>
      <c r="E121" s="17" t="str">
        <f>IFERROR(__xludf.DUMMYFUNCTION("""COMPUTED_VALUE"""),"臺北市私立再興高級中學附設國中部")</f>
        <v>臺北市私立再興高級中學附設國中部</v>
      </c>
      <c r="F121" s="14" t="str">
        <f>IFERROR(__xludf.DUMMYFUNCTION("""COMPUTED_VALUE"""),"八年級")</f>
        <v>八年級</v>
      </c>
      <c r="G121" s="14" t="str">
        <f>IFERROR(__xludf.DUMMYFUNCTION("""COMPUTED_VALUE"""),"獎狀")</f>
        <v>獎狀</v>
      </c>
      <c r="H121" s="8"/>
    </row>
    <row r="122">
      <c r="A122" s="12"/>
      <c r="B122" s="14">
        <f>IFERROR(__xludf.DUMMYFUNCTION("""COMPUTED_VALUE"""),519604.0)</f>
        <v>519604</v>
      </c>
      <c r="C122" s="14" t="str">
        <f>IFERROR(__xludf.DUMMYFUNCTION("""COMPUTED_VALUE"""),"黃宏恩")</f>
        <v>黃宏恩</v>
      </c>
      <c r="D122" s="16" t="str">
        <f>IFERROR(__xludf.DUMMYFUNCTION("""COMPUTED_VALUE"""),"109*****@st.thsh.tp.edu.tw")</f>
        <v>109*****@st.thsh.tp.edu.tw</v>
      </c>
      <c r="E122" s="17" t="str">
        <f>IFERROR(__xludf.DUMMYFUNCTION("""COMPUTED_VALUE"""),"臺北市私立再興高級中學附設國中部")</f>
        <v>臺北市私立再興高級中學附設國中部</v>
      </c>
      <c r="F122" s="14" t="str">
        <f>IFERROR(__xludf.DUMMYFUNCTION("""COMPUTED_VALUE"""),"九年級")</f>
        <v>九年級</v>
      </c>
      <c r="G122" s="14" t="str">
        <f>IFERROR(__xludf.DUMMYFUNCTION("""COMPUTED_VALUE"""),"獎狀")</f>
        <v>獎狀</v>
      </c>
      <c r="H122" s="8"/>
    </row>
    <row r="123">
      <c r="A123" s="12"/>
      <c r="B123" s="14">
        <f>IFERROR(__xludf.DUMMYFUNCTION("""COMPUTED_VALUE"""),541019.0)</f>
        <v>541019</v>
      </c>
      <c r="C123" s="14" t="str">
        <f>IFERROR(__xludf.DUMMYFUNCTION("""COMPUTED_VALUE"""),"李芷涵")</f>
        <v>李芷涵</v>
      </c>
      <c r="D123" s="16" t="str">
        <f>IFERROR(__xludf.DUMMYFUNCTION("""COMPUTED_VALUE"""),"109*****@st.thsh.tp.edu.tw")</f>
        <v>109*****@st.thsh.tp.edu.tw</v>
      </c>
      <c r="E123" s="17" t="str">
        <f>IFERROR(__xludf.DUMMYFUNCTION("""COMPUTED_VALUE"""),"臺北市私立再興高級中學附設國中部")</f>
        <v>臺北市私立再興高級中學附設國中部</v>
      </c>
      <c r="F123" s="14" t="str">
        <f>IFERROR(__xludf.DUMMYFUNCTION("""COMPUTED_VALUE"""),"九年級")</f>
        <v>九年級</v>
      </c>
      <c r="G123" s="14" t="str">
        <f>IFERROR(__xludf.DUMMYFUNCTION("""COMPUTED_VALUE"""),"獎狀")</f>
        <v>獎狀</v>
      </c>
      <c r="H123" s="8"/>
    </row>
    <row r="124">
      <c r="A124" s="12"/>
      <c r="B124" s="14">
        <f>IFERROR(__xludf.DUMMYFUNCTION("""COMPUTED_VALUE"""),543742.0)</f>
        <v>543742</v>
      </c>
      <c r="C124" s="14" t="str">
        <f>IFERROR(__xludf.DUMMYFUNCTION("""COMPUTED_VALUE"""),"鄭瑞宣")</f>
        <v>鄭瑞宣</v>
      </c>
      <c r="D124" s="16" t="str">
        <f>IFERROR(__xludf.DUMMYFUNCTION("""COMPUTED_VALUE"""),"109*****@st.thsh.tp.edu.tw")</f>
        <v>109*****@st.thsh.tp.edu.tw</v>
      </c>
      <c r="E124" s="17" t="str">
        <f>IFERROR(__xludf.DUMMYFUNCTION("""COMPUTED_VALUE"""),"臺北市私立再興高級中學附設國中部")</f>
        <v>臺北市私立再興高級中學附設國中部</v>
      </c>
      <c r="F124" s="14" t="str">
        <f>IFERROR(__xludf.DUMMYFUNCTION("""COMPUTED_VALUE"""),"九年級")</f>
        <v>九年級</v>
      </c>
      <c r="G124" s="14" t="str">
        <f>IFERROR(__xludf.DUMMYFUNCTION("""COMPUTED_VALUE"""),"獎狀")</f>
        <v>獎狀</v>
      </c>
      <c r="H124" s="8"/>
    </row>
    <row r="125">
      <c r="A125" s="12"/>
      <c r="B125" s="14">
        <f>IFERROR(__xludf.DUMMYFUNCTION("""COMPUTED_VALUE"""),1094497.0)</f>
        <v>1094497</v>
      </c>
      <c r="C125" s="14" t="str">
        <f>IFERROR(__xludf.DUMMYFUNCTION("""COMPUTED_VALUE"""),"林大為")</f>
        <v>林大為</v>
      </c>
      <c r="D125" s="16" t="str">
        <f>IFERROR(__xludf.DUMMYFUNCTION("""COMPUTED_VALUE"""),"Dit*****per22@gmail.com")</f>
        <v>Dit*****per22@gmail.com</v>
      </c>
      <c r="E125" s="17" t="str">
        <f>IFERROR(__xludf.DUMMYFUNCTION("""COMPUTED_VALUE"""),"國立政治大學附屬高級中學附設國中部")</f>
        <v>國立政治大學附屬高級中學附設國中部</v>
      </c>
      <c r="F125" s="14" t="str">
        <f>IFERROR(__xludf.DUMMYFUNCTION("""COMPUTED_VALUE"""),"七年級")</f>
        <v>七年級</v>
      </c>
      <c r="G125" s="14" t="str">
        <f>IFERROR(__xludf.DUMMYFUNCTION("""COMPUTED_VALUE"""),"●小禮物")</f>
        <v>●小禮物</v>
      </c>
      <c r="H125" s="8"/>
    </row>
    <row r="126">
      <c r="A126" s="12"/>
      <c r="B126" s="14">
        <f>IFERROR(__xludf.DUMMYFUNCTION("""COMPUTED_VALUE"""),432625.0)</f>
        <v>432625</v>
      </c>
      <c r="C126" s="14" t="str">
        <f>IFERROR(__xludf.DUMMYFUNCTION("""COMPUTED_VALUE"""),"周奕成")</f>
        <v>周奕成</v>
      </c>
      <c r="D126" s="16" t="str">
        <f>IFERROR(__xludf.DUMMYFUNCTION("""COMPUTED_VALUE"""),"yic*****c@outlook.com")</f>
        <v>yic*****c@outlook.com</v>
      </c>
      <c r="E126" s="17" t="str">
        <f>IFERROR(__xludf.DUMMYFUNCTION("""COMPUTED_VALUE"""),"臺北市立景美國民中學")</f>
        <v>臺北市立景美國民中學</v>
      </c>
      <c r="F126" s="14" t="str">
        <f>IFERROR(__xludf.DUMMYFUNCTION("""COMPUTED_VALUE"""),"七年級")</f>
        <v>七年級</v>
      </c>
      <c r="G126" s="14" t="str">
        <f>IFERROR(__xludf.DUMMYFUNCTION("""COMPUTED_VALUE"""),"獎狀")</f>
        <v>獎狀</v>
      </c>
      <c r="H126" s="8"/>
    </row>
    <row r="127">
      <c r="A127" s="12"/>
      <c r="B127" s="14">
        <f>IFERROR(__xludf.DUMMYFUNCTION("""COMPUTED_VALUE"""),941668.0)</f>
        <v>941668</v>
      </c>
      <c r="C127" s="14" t="str">
        <f>IFERROR(__xludf.DUMMYFUNCTION("""COMPUTED_VALUE"""),"王以雋")</f>
        <v>王以雋</v>
      </c>
      <c r="D127" s="16" t="str">
        <f>IFERROR(__xludf.DUMMYFUNCTION("""COMPUTED_VALUE"""),"ala*****200722@gmail.com")</f>
        <v>ala*****200722@gmail.com</v>
      </c>
      <c r="E127" s="17" t="str">
        <f>IFERROR(__xludf.DUMMYFUNCTION("""COMPUTED_VALUE"""),"臺北市立景興國民中學")</f>
        <v>臺北市立景興國民中學</v>
      </c>
      <c r="F127" s="14" t="str">
        <f>IFERROR(__xludf.DUMMYFUNCTION("""COMPUTED_VALUE"""),"八年級")</f>
        <v>八年級</v>
      </c>
      <c r="G127" s="14" t="str">
        <f>IFERROR(__xludf.DUMMYFUNCTION("""COMPUTED_VALUE"""),"獎狀")</f>
        <v>獎狀</v>
      </c>
      <c r="H127" s="8"/>
    </row>
    <row r="128">
      <c r="A128" s="12"/>
      <c r="B128" s="14">
        <f>IFERROR(__xludf.DUMMYFUNCTION("""COMPUTED_VALUE"""),427724.0)</f>
        <v>427724</v>
      </c>
      <c r="C128" s="14" t="str">
        <f>IFERROR(__xludf.DUMMYFUNCTION("""COMPUTED_VALUE"""),"劉羽澄")</f>
        <v>劉羽澄</v>
      </c>
      <c r="D128" s="16" t="str">
        <f>IFERROR(__xludf.DUMMYFUNCTION("""COMPUTED_VALUE"""),"sam*****.liu0509@gmail.com")</f>
        <v>sam*****.liu0509@gmail.com</v>
      </c>
      <c r="E128" s="17" t="str">
        <f>IFERROR(__xludf.DUMMYFUNCTION("""COMPUTED_VALUE"""),"臺北市立實踐國民中學")</f>
        <v>臺北市立實踐國民中學</v>
      </c>
      <c r="F128" s="14" t="str">
        <f>IFERROR(__xludf.DUMMYFUNCTION("""COMPUTED_VALUE"""),"七年級")</f>
        <v>七年級</v>
      </c>
      <c r="G128" s="14" t="str">
        <f>IFERROR(__xludf.DUMMYFUNCTION("""COMPUTED_VALUE"""),"獎狀")</f>
        <v>獎狀</v>
      </c>
      <c r="H128" s="8"/>
    </row>
    <row r="129">
      <c r="A129" s="12"/>
      <c r="B129" s="14">
        <f>IFERROR(__xludf.DUMMYFUNCTION("""COMPUTED_VALUE"""),1111254.0)</f>
        <v>1111254</v>
      </c>
      <c r="C129" s="14" t="str">
        <f>IFERROR(__xludf.DUMMYFUNCTION("""COMPUTED_VALUE"""),"廖鈞鴻")</f>
        <v>廖鈞鴻</v>
      </c>
      <c r="D129" s="16" t="str">
        <f>IFERROR(__xludf.DUMMYFUNCTION("""COMPUTED_VALUE"""),"tim*****@gmail.com")</f>
        <v>tim*****@gmail.com</v>
      </c>
      <c r="E129" s="17" t="str">
        <f>IFERROR(__xludf.DUMMYFUNCTION("""COMPUTED_VALUE"""),"臺北市立實踐國民中學")</f>
        <v>臺北市立實踐國民中學</v>
      </c>
      <c r="F129" s="14" t="str">
        <f>IFERROR(__xludf.DUMMYFUNCTION("""COMPUTED_VALUE"""),"七年級")</f>
        <v>七年級</v>
      </c>
      <c r="G129" s="14" t="str">
        <f>IFERROR(__xludf.DUMMYFUNCTION("""COMPUTED_VALUE"""),"●小禮物")</f>
        <v>●小禮物</v>
      </c>
      <c r="H129" s="8"/>
    </row>
    <row r="130">
      <c r="A130" s="12"/>
      <c r="B130" s="14">
        <f>IFERROR(__xludf.DUMMYFUNCTION("""COMPUTED_VALUE"""),964355.0)</f>
        <v>964355</v>
      </c>
      <c r="C130" s="14" t="str">
        <f>IFERROR(__xludf.DUMMYFUNCTION("""COMPUTED_VALUE"""),"高維廷")</f>
        <v>高維廷</v>
      </c>
      <c r="D130" s="16" t="str">
        <f>IFERROR(__xludf.DUMMYFUNCTION("""COMPUTED_VALUE"""),"109*****@wfsh.tp.edu.tw")</f>
        <v>109*****@wfsh.tp.edu.tw</v>
      </c>
      <c r="E130" s="17" t="str">
        <f>IFERROR(__xludf.DUMMYFUNCTION("""COMPUTED_VALUE"""),"臺北市立萬芳高級中學附設國中部")</f>
        <v>臺北市立萬芳高級中學附設國中部</v>
      </c>
      <c r="F130" s="14" t="str">
        <f>IFERROR(__xludf.DUMMYFUNCTION("""COMPUTED_VALUE"""),"九年級")</f>
        <v>九年級</v>
      </c>
      <c r="G130" s="14" t="str">
        <f>IFERROR(__xludf.DUMMYFUNCTION("""COMPUTED_VALUE"""),"獎狀")</f>
        <v>獎狀</v>
      </c>
      <c r="H130" s="8"/>
    </row>
    <row r="131">
      <c r="A131" s="12"/>
      <c r="B131" s="14">
        <f>IFERROR(__xludf.DUMMYFUNCTION("""COMPUTED_VALUE"""),1093326.0)</f>
        <v>1093326</v>
      </c>
      <c r="C131" s="14" t="str">
        <f>IFERROR(__xludf.DUMMYFUNCTION("""COMPUTED_VALUE"""),"林逸星")</f>
        <v>林逸星</v>
      </c>
      <c r="D131" s="16" t="str">
        <f>IFERROR(__xludf.DUMMYFUNCTION("""COMPUTED_VALUE"""),"sta*****90118@gmail.com")</f>
        <v>sta*****90118@gmail.com</v>
      </c>
      <c r="E131" s="17" t="str">
        <f>IFERROR(__xludf.DUMMYFUNCTION("""COMPUTED_VALUE"""),"基隆市立銘傳國民中學")</f>
        <v>基隆市立銘傳國民中學</v>
      </c>
      <c r="F131" s="14" t="str">
        <f>IFERROR(__xludf.DUMMYFUNCTION("""COMPUTED_VALUE"""),"七年級")</f>
        <v>七年級</v>
      </c>
      <c r="G131" s="14" t="str">
        <f>IFERROR(__xludf.DUMMYFUNCTION("""COMPUTED_VALUE"""),"獎狀")</f>
        <v>獎狀</v>
      </c>
      <c r="H131" s="8"/>
    </row>
    <row r="132">
      <c r="A132" s="12"/>
      <c r="B132" s="14">
        <f>IFERROR(__xludf.DUMMYFUNCTION("""COMPUTED_VALUE"""),161785.0)</f>
        <v>161785</v>
      </c>
      <c r="C132" s="14" t="str">
        <f>IFERROR(__xludf.DUMMYFUNCTION("""COMPUTED_VALUE"""),"吳佳璇")</f>
        <v>吳佳璇</v>
      </c>
      <c r="D132" s="16" t="str">
        <f>IFERROR(__xludf.DUMMYFUNCTION("""COMPUTED_VALUE"""),"joc*****utw1223@gmail.com")</f>
        <v>joc*****utw1223@gmail.com</v>
      </c>
      <c r="E132" s="17" t="str">
        <f>IFERROR(__xludf.DUMMYFUNCTION("""COMPUTED_VALUE"""),"基隆市立銘傳國民中學")</f>
        <v>基隆市立銘傳國民中學</v>
      </c>
      <c r="F132" s="14" t="str">
        <f>IFERROR(__xludf.DUMMYFUNCTION("""COMPUTED_VALUE"""),"八年級")</f>
        <v>八年級</v>
      </c>
      <c r="G132" s="14" t="str">
        <f>IFERROR(__xludf.DUMMYFUNCTION("""COMPUTED_VALUE"""),"●小禮物")</f>
        <v>●小禮物</v>
      </c>
      <c r="H132" s="8"/>
    </row>
    <row r="133">
      <c r="A133" s="12"/>
      <c r="B133" s="14">
        <f>IFERROR(__xludf.DUMMYFUNCTION("""COMPUTED_VALUE"""),421350.0)</f>
        <v>421350</v>
      </c>
      <c r="C133" s="14" t="str">
        <f>IFERROR(__xludf.DUMMYFUNCTION("""COMPUTED_VALUE"""),"李侑玹")</f>
        <v>李侑玹</v>
      </c>
      <c r="D133" s="16" t="str">
        <f>IFERROR(__xludf.DUMMYFUNCTION("""COMPUTED_VALUE"""),"sb4*****m.kl.edu.tw")</f>
        <v>sb4*****m.kl.edu.tw</v>
      </c>
      <c r="E133" s="17" t="str">
        <f>IFERROR(__xludf.DUMMYFUNCTION("""COMPUTED_VALUE"""),"基隆市立成功國民中學")</f>
        <v>基隆市立成功國民中學</v>
      </c>
      <c r="F133" s="14" t="str">
        <f>IFERROR(__xludf.DUMMYFUNCTION("""COMPUTED_VALUE"""),"八年級")</f>
        <v>八年級</v>
      </c>
      <c r="G133" s="14" t="str">
        <f>IFERROR(__xludf.DUMMYFUNCTION("""COMPUTED_VALUE"""),"●小禮物")</f>
        <v>●小禮物</v>
      </c>
      <c r="H133" s="8"/>
    </row>
    <row r="134">
      <c r="A134" s="12"/>
      <c r="B134" s="14">
        <f>IFERROR(__xludf.DUMMYFUNCTION("""COMPUTED_VALUE"""),849250.0)</f>
        <v>849250</v>
      </c>
      <c r="C134" s="14" t="str">
        <f>IFERROR(__xludf.DUMMYFUNCTION("""COMPUTED_VALUE"""),"林恩震")</f>
        <v>林恩震</v>
      </c>
      <c r="D134" s="16" t="str">
        <f>IFERROR(__xludf.DUMMYFUNCTION("""COMPUTED_VALUE"""),"sb4*****l@mail.edu.tw")</f>
        <v>sb4*****l@mail.edu.tw</v>
      </c>
      <c r="E134" s="17" t="str">
        <f>IFERROR(__xludf.DUMMYFUNCTION("""COMPUTED_VALUE"""),"基隆市立中正國民中學")</f>
        <v>基隆市立中正國民中學</v>
      </c>
      <c r="F134" s="14" t="str">
        <f>IFERROR(__xludf.DUMMYFUNCTION("""COMPUTED_VALUE"""),"七年級")</f>
        <v>七年級</v>
      </c>
      <c r="G134" s="14" t="str">
        <f>IFERROR(__xludf.DUMMYFUNCTION("""COMPUTED_VALUE"""),"獎狀")</f>
        <v>獎狀</v>
      </c>
      <c r="H134" s="8"/>
    </row>
    <row r="135">
      <c r="A135" s="12"/>
      <c r="B135" s="14">
        <f>IFERROR(__xludf.DUMMYFUNCTION("""COMPUTED_VALUE"""),627956.0)</f>
        <v>627956</v>
      </c>
      <c r="C135" s="14" t="str">
        <f>IFERROR(__xludf.DUMMYFUNCTION("""COMPUTED_VALUE"""),"陳重翰")</f>
        <v>陳重翰</v>
      </c>
      <c r="D135" s="16" t="str">
        <f>IFERROR(__xludf.DUMMYFUNCTION("""COMPUTED_VALUE"""),"sd1*****l@mail.edu.tw")</f>
        <v>sd1*****l@mail.edu.tw</v>
      </c>
      <c r="E135" s="17" t="str">
        <f>IFERROR(__xludf.DUMMYFUNCTION("""COMPUTED_VALUE"""),"基隆市立中正國民中學")</f>
        <v>基隆市立中正國民中學</v>
      </c>
      <c r="F135" s="14" t="str">
        <f>IFERROR(__xludf.DUMMYFUNCTION("""COMPUTED_VALUE"""),"九年級")</f>
        <v>九年級</v>
      </c>
      <c r="G135" s="14" t="str">
        <f>IFERROR(__xludf.DUMMYFUNCTION("""COMPUTED_VALUE"""),"●小禮物")</f>
        <v>●小禮物</v>
      </c>
      <c r="H135" s="8"/>
    </row>
    <row r="136">
      <c r="A136" s="12"/>
      <c r="B136" s="14">
        <f>IFERROR(__xludf.DUMMYFUNCTION("""COMPUTED_VALUE"""),1208562.0)</f>
        <v>1208562</v>
      </c>
      <c r="C136" s="14" t="str">
        <f>IFERROR(__xludf.DUMMYFUNCTION("""COMPUTED_VALUE"""),"楊岳錡")</f>
        <v>楊岳錡</v>
      </c>
      <c r="D136" s="16" t="str">
        <f>IFERROR(__xludf.DUMMYFUNCTION("""COMPUTED_VALUE"""),"101*****uite.essh.kl.edu.tw")</f>
        <v>101*****uite.essh.kl.edu.tw</v>
      </c>
      <c r="E136" s="17" t="str">
        <f>IFERROR(__xludf.DUMMYFUNCTION("""COMPUTED_VALUE"""),"二信學校財團法人基隆市二信高級中學附設國中部")</f>
        <v>二信學校財團法人基隆市二信高級中學附設國中部</v>
      </c>
      <c r="F136" s="14" t="str">
        <f>IFERROR(__xludf.DUMMYFUNCTION("""COMPUTED_VALUE"""),"七年級")</f>
        <v>七年級</v>
      </c>
      <c r="G136" s="14" t="str">
        <f>IFERROR(__xludf.DUMMYFUNCTION("""COMPUTED_VALUE"""),"獎狀")</f>
        <v>獎狀</v>
      </c>
      <c r="H136" s="8"/>
    </row>
    <row r="137">
      <c r="A137" s="12"/>
      <c r="B137" s="14">
        <f>IFERROR(__xludf.DUMMYFUNCTION("""COMPUTED_VALUE"""),811222.0)</f>
        <v>811222</v>
      </c>
      <c r="C137" s="14" t="str">
        <f>IFERROR(__xludf.DUMMYFUNCTION("""COMPUTED_VALUE"""),"簡子盈")</f>
        <v>簡子盈</v>
      </c>
      <c r="D137" s="16" t="str">
        <f>IFERROR(__xludf.DUMMYFUNCTION("""COMPUTED_VALUE"""),"000*****uite.essh.kl.edu.tw")</f>
        <v>000*****uite.essh.kl.edu.tw</v>
      </c>
      <c r="E137" s="17" t="str">
        <f>IFERROR(__xludf.DUMMYFUNCTION("""COMPUTED_VALUE"""),"二信學校財團法人基隆市二信高級中學附設國中部")</f>
        <v>二信學校財團法人基隆市二信高級中學附設國中部</v>
      </c>
      <c r="F137" s="14" t="str">
        <f>IFERROR(__xludf.DUMMYFUNCTION("""COMPUTED_VALUE"""),"八年級")</f>
        <v>八年級</v>
      </c>
      <c r="G137" s="14" t="str">
        <f>IFERROR(__xludf.DUMMYFUNCTION("""COMPUTED_VALUE"""),"獎狀")</f>
        <v>獎狀</v>
      </c>
      <c r="H137" s="8"/>
    </row>
    <row r="138">
      <c r="A138" s="12"/>
      <c r="B138" s="14">
        <f>IFERROR(__xludf.DUMMYFUNCTION("""COMPUTED_VALUE"""),811265.0)</f>
        <v>811265</v>
      </c>
      <c r="C138" s="14" t="str">
        <f>IFERROR(__xludf.DUMMYFUNCTION("""COMPUTED_VALUE"""),"謝欣珆")</f>
        <v>謝欣珆</v>
      </c>
      <c r="D138" s="16" t="str">
        <f>IFERROR(__xludf.DUMMYFUNCTION("""COMPUTED_VALUE"""),"000*****uite.essh.kl.edu.tw")</f>
        <v>000*****uite.essh.kl.edu.tw</v>
      </c>
      <c r="E138" s="17" t="str">
        <f>IFERROR(__xludf.DUMMYFUNCTION("""COMPUTED_VALUE"""),"二信學校財團法人基隆市二信高級中學附設國中部")</f>
        <v>二信學校財團法人基隆市二信高級中學附設國中部</v>
      </c>
      <c r="F138" s="14" t="str">
        <f>IFERROR(__xludf.DUMMYFUNCTION("""COMPUTED_VALUE"""),"八年級")</f>
        <v>八年級</v>
      </c>
      <c r="G138" s="14" t="str">
        <f>IFERROR(__xludf.DUMMYFUNCTION("""COMPUTED_VALUE"""),"獎狀")</f>
        <v>獎狀</v>
      </c>
      <c r="H138" s="8"/>
    </row>
    <row r="139">
      <c r="A139" s="12"/>
      <c r="B139" s="14">
        <f>IFERROR(__xludf.DUMMYFUNCTION("""COMPUTED_VALUE"""),1088648.0)</f>
        <v>1088648</v>
      </c>
      <c r="C139" s="14" t="str">
        <f>IFERROR(__xludf.DUMMYFUNCTION("""COMPUTED_VALUE"""),"黃有光")</f>
        <v>黃有光</v>
      </c>
      <c r="D139" s="16" t="str">
        <f>IFERROR(__xludf.DUMMYFUNCTION("""COMPUTED_VALUE"""),"003*****uite.essh.kl.edu.tw")</f>
        <v>003*****uite.essh.kl.edu.tw</v>
      </c>
      <c r="E139" s="17" t="str">
        <f>IFERROR(__xludf.DUMMYFUNCTION("""COMPUTED_VALUE"""),"二信學校財團法人基隆市二信高級中學附設國中部")</f>
        <v>二信學校財團法人基隆市二信高級中學附設國中部</v>
      </c>
      <c r="F139" s="14" t="str">
        <f>IFERROR(__xludf.DUMMYFUNCTION("""COMPUTED_VALUE"""),"八年級")</f>
        <v>八年級</v>
      </c>
      <c r="G139" s="14" t="str">
        <f>IFERROR(__xludf.DUMMYFUNCTION("""COMPUTED_VALUE"""),"●小禮物")</f>
        <v>●小禮物</v>
      </c>
      <c r="H139" s="8"/>
    </row>
    <row r="140">
      <c r="A140" s="18"/>
      <c r="B140" s="14">
        <f>IFERROR(__xludf.DUMMYFUNCTION("""COMPUTED_VALUE"""),1088653.0)</f>
        <v>1088653</v>
      </c>
      <c r="C140" s="14" t="str">
        <f>IFERROR(__xludf.DUMMYFUNCTION("""COMPUTED_VALUE"""),"闕梓庭")</f>
        <v>闕梓庭</v>
      </c>
      <c r="D140" s="16" t="str">
        <f>IFERROR(__xludf.DUMMYFUNCTION("""COMPUTED_VALUE"""),"sb4*****m.kl.edu.tw")</f>
        <v>sb4*****m.kl.edu.tw</v>
      </c>
      <c r="E140" s="17" t="str">
        <f>IFERROR(__xludf.DUMMYFUNCTION("""COMPUTED_VALUE"""),"二信學校財團法人基隆市二信高級中學附設國中部")</f>
        <v>二信學校財團法人基隆市二信高級中學附設國中部</v>
      </c>
      <c r="F140" s="14" t="str">
        <f>IFERROR(__xludf.DUMMYFUNCTION("""COMPUTED_VALUE"""),"八年級")</f>
        <v>八年級</v>
      </c>
      <c r="G140" s="14" t="str">
        <f>IFERROR(__xludf.DUMMYFUNCTION("""COMPUTED_VALUE"""),"●小禮物")</f>
        <v>●小禮物</v>
      </c>
      <c r="H140" s="8"/>
    </row>
    <row r="141">
      <c r="A141" s="18"/>
      <c r="B141" s="14">
        <f>IFERROR(__xludf.DUMMYFUNCTION("""COMPUTED_VALUE"""),944239.0)</f>
        <v>944239</v>
      </c>
      <c r="C141" s="14" t="str">
        <f>IFERROR(__xludf.DUMMYFUNCTION("""COMPUTED_VALUE"""),"陳思允")</f>
        <v>陳思允</v>
      </c>
      <c r="D141" s="16" t="str">
        <f>IFERROR(__xludf.DUMMYFUNCTION("""COMPUTED_VALUE"""),"000*****uite.essh.kl.edu.tw")</f>
        <v>000*****uite.essh.kl.edu.tw</v>
      </c>
      <c r="E141" s="17" t="str">
        <f>IFERROR(__xludf.DUMMYFUNCTION("""COMPUTED_VALUE"""),"二信學校財團法人基隆市二信高級中學附設國中部")</f>
        <v>二信學校財團法人基隆市二信高級中學附設國中部</v>
      </c>
      <c r="F141" s="14" t="str">
        <f>IFERROR(__xludf.DUMMYFUNCTION("""COMPUTED_VALUE"""),"八年級")</f>
        <v>八年級</v>
      </c>
      <c r="G141" s="14" t="str">
        <f>IFERROR(__xludf.DUMMYFUNCTION("""COMPUTED_VALUE"""),"●小禮物")</f>
        <v>●小禮物</v>
      </c>
      <c r="H141" s="8"/>
    </row>
    <row r="142">
      <c r="A142" s="18"/>
      <c r="B142" s="14">
        <f>IFERROR(__xludf.DUMMYFUNCTION("""COMPUTED_VALUE"""),936143.0)</f>
        <v>936143</v>
      </c>
      <c r="C142" s="14" t="str">
        <f>IFERROR(__xludf.DUMMYFUNCTION("""COMPUTED_VALUE"""),"唐湘芸")</f>
        <v>唐湘芸</v>
      </c>
      <c r="D142" s="16" t="str">
        <f>IFERROR(__xludf.DUMMYFUNCTION("""COMPUTED_VALUE"""),"tan*****angyun@gmail.com")</f>
        <v>tan*****angyun@gmail.com</v>
      </c>
      <c r="E142" s="17" t="str">
        <f>IFERROR(__xludf.DUMMYFUNCTION("""COMPUTED_VALUE"""),"二信學校財團法人基隆市二信高級中學附設國中部")</f>
        <v>二信學校財團法人基隆市二信高級中學附設國中部</v>
      </c>
      <c r="F142" s="14" t="str">
        <f>IFERROR(__xludf.DUMMYFUNCTION("""COMPUTED_VALUE"""),"八年級")</f>
        <v>八年級</v>
      </c>
      <c r="G142" s="14" t="str">
        <f>IFERROR(__xludf.DUMMYFUNCTION("""COMPUTED_VALUE"""),"獎狀")</f>
        <v>獎狀</v>
      </c>
      <c r="H142" s="8"/>
    </row>
    <row r="143">
      <c r="A143" s="18"/>
      <c r="B143" s="14">
        <f>IFERROR(__xludf.DUMMYFUNCTION("""COMPUTED_VALUE"""),1007696.0)</f>
        <v>1007696</v>
      </c>
      <c r="C143" s="14" t="str">
        <f>IFERROR(__xludf.DUMMYFUNCTION("""COMPUTED_VALUE"""),"李承學")</f>
        <v>李承學</v>
      </c>
      <c r="D143" s="16" t="str">
        <f>IFERROR(__xludf.DUMMYFUNCTION("""COMPUTED_VALUE"""),"903*****uite.essh.kl.edu.tw")</f>
        <v>903*****uite.essh.kl.edu.tw</v>
      </c>
      <c r="E143" s="17" t="str">
        <f>IFERROR(__xludf.DUMMYFUNCTION("""COMPUTED_VALUE"""),"二信學校財團法人基隆市二信高級中學附設國中部")</f>
        <v>二信學校財團法人基隆市二信高級中學附設國中部</v>
      </c>
      <c r="F143" s="14" t="str">
        <f>IFERROR(__xludf.DUMMYFUNCTION("""COMPUTED_VALUE"""),"九年級")</f>
        <v>九年級</v>
      </c>
      <c r="G143" s="14" t="str">
        <f>IFERROR(__xludf.DUMMYFUNCTION("""COMPUTED_VALUE"""),"●小禮物")</f>
        <v>●小禮物</v>
      </c>
      <c r="H143" s="8"/>
    </row>
    <row r="144">
      <c r="A144" s="18"/>
      <c r="B144" s="14">
        <f>IFERROR(__xludf.DUMMYFUNCTION("""COMPUTED_VALUE"""),1065763.0)</f>
        <v>1065763</v>
      </c>
      <c r="C144" s="14" t="str">
        <f>IFERROR(__xludf.DUMMYFUNCTION("""COMPUTED_VALUE"""),"賴孟君")</f>
        <v>賴孟君</v>
      </c>
      <c r="D144" s="16" t="str">
        <f>IFERROR(__xludf.DUMMYFUNCTION("""COMPUTED_VALUE"""),"ess*****12@gsuite.essh.kl.edu.tw")</f>
        <v>ess*****12@gsuite.essh.kl.edu.tw</v>
      </c>
      <c r="E144" s="17" t="str">
        <f>IFERROR(__xludf.DUMMYFUNCTION("""COMPUTED_VALUE"""),"二信學校財團法人基隆市二信高級中學附設國中部")</f>
        <v>二信學校財團法人基隆市二信高級中學附設國中部</v>
      </c>
      <c r="F144" s="14" t="str">
        <f>IFERROR(__xludf.DUMMYFUNCTION("""COMPUTED_VALUE"""),"九年級")</f>
        <v>九年級</v>
      </c>
      <c r="G144" s="14" t="str">
        <f>IFERROR(__xludf.DUMMYFUNCTION("""COMPUTED_VALUE"""),"獎狀")</f>
        <v>獎狀</v>
      </c>
      <c r="H144" s="8"/>
    </row>
    <row r="145">
      <c r="A145" s="18"/>
      <c r="B145" s="14">
        <f>IFERROR(__xludf.DUMMYFUNCTION("""COMPUTED_VALUE"""),959863.0)</f>
        <v>959863</v>
      </c>
      <c r="C145" s="14" t="str">
        <f>IFERROR(__xludf.DUMMYFUNCTION("""COMPUTED_VALUE"""),"張維壬")</f>
        <v>張維壬</v>
      </c>
      <c r="D145" s="16" t="str">
        <f>IFERROR(__xludf.DUMMYFUNCTION("""COMPUTED_VALUE"""),"904*****uite.essh.kl.edu.tw")</f>
        <v>904*****uite.essh.kl.edu.tw</v>
      </c>
      <c r="E145" s="17" t="str">
        <f>IFERROR(__xludf.DUMMYFUNCTION("""COMPUTED_VALUE"""),"二信學校財團法人基隆市二信高級中學附設國中部")</f>
        <v>二信學校財團法人基隆市二信高級中學附設國中部</v>
      </c>
      <c r="F145" s="14" t="str">
        <f>IFERROR(__xludf.DUMMYFUNCTION("""COMPUTED_VALUE"""),"九年級")</f>
        <v>九年級</v>
      </c>
      <c r="G145" s="14" t="str">
        <f>IFERROR(__xludf.DUMMYFUNCTION("""COMPUTED_VALUE"""),"●小禮物")</f>
        <v>●小禮物</v>
      </c>
      <c r="H145" s="8"/>
    </row>
    <row r="146">
      <c r="A146" s="18"/>
      <c r="B146" s="14">
        <f>IFERROR(__xludf.DUMMYFUNCTION("""COMPUTED_VALUE"""),1217616.0)</f>
        <v>1217616</v>
      </c>
      <c r="C146" s="14" t="str">
        <f>IFERROR(__xludf.DUMMYFUNCTION("""COMPUTED_VALUE"""),"李品萱")</f>
        <v>李品萱</v>
      </c>
      <c r="D146" s="16" t="str">
        <f>IFERROR(__xludf.DUMMYFUNCTION("""COMPUTED_VALUE"""),"902*****uite.essh.kl.edu.tw")</f>
        <v>902*****uite.essh.kl.edu.tw</v>
      </c>
      <c r="E146" s="17" t="str">
        <f>IFERROR(__xludf.DUMMYFUNCTION("""COMPUTED_VALUE"""),"二信學校財團法人基隆市二信高級中學附設國中部")</f>
        <v>二信學校財團法人基隆市二信高級中學附設國中部</v>
      </c>
      <c r="F146" s="14" t="str">
        <f>IFERROR(__xludf.DUMMYFUNCTION("""COMPUTED_VALUE"""),"九年級")</f>
        <v>九年級</v>
      </c>
      <c r="G146" s="14" t="str">
        <f>IFERROR(__xludf.DUMMYFUNCTION("""COMPUTED_VALUE"""),"●小禮物")</f>
        <v>●小禮物</v>
      </c>
      <c r="H146" s="8"/>
    </row>
    <row r="147">
      <c r="A147" s="18"/>
      <c r="B147" s="14">
        <f>IFERROR(__xludf.DUMMYFUNCTION("""COMPUTED_VALUE"""),1006146.0)</f>
        <v>1006146</v>
      </c>
      <c r="C147" s="14" t="str">
        <f>IFERROR(__xludf.DUMMYFUNCTION("""COMPUTED_VALUE"""),"卓嘉珍")</f>
        <v>卓嘉珍</v>
      </c>
      <c r="D147" s="16" t="str">
        <f>IFERROR(__xludf.DUMMYFUNCTION("""COMPUTED_VALUE"""),"902*****uite.essh.kl.edu.tw")</f>
        <v>902*****uite.essh.kl.edu.tw</v>
      </c>
      <c r="E147" s="17" t="str">
        <f>IFERROR(__xludf.DUMMYFUNCTION("""COMPUTED_VALUE"""),"二信學校財團法人基隆市二信高級中學附設國中部")</f>
        <v>二信學校財團法人基隆市二信高級中學附設國中部</v>
      </c>
      <c r="F147" s="14" t="str">
        <f>IFERROR(__xludf.DUMMYFUNCTION("""COMPUTED_VALUE"""),"九年級")</f>
        <v>九年級</v>
      </c>
      <c r="G147" s="14" t="str">
        <f>IFERROR(__xludf.DUMMYFUNCTION("""COMPUTED_VALUE"""),"●小禮物")</f>
        <v>●小禮物</v>
      </c>
      <c r="H147" s="8"/>
    </row>
    <row r="148">
      <c r="A148" s="18"/>
      <c r="B148" s="14">
        <f>IFERROR(__xludf.DUMMYFUNCTION("""COMPUTED_VALUE"""),1217229.0)</f>
        <v>1217229</v>
      </c>
      <c r="C148" s="14" t="str">
        <f>IFERROR(__xludf.DUMMYFUNCTION("""COMPUTED_VALUE"""),"張毓芸")</f>
        <v>張毓芸</v>
      </c>
      <c r="D148" s="16" t="str">
        <f>IFERROR(__xludf.DUMMYFUNCTION("""COMPUTED_VALUE"""),"902*****uite.essh.kl.edu.tw")</f>
        <v>902*****uite.essh.kl.edu.tw</v>
      </c>
      <c r="E148" s="17" t="str">
        <f>IFERROR(__xludf.DUMMYFUNCTION("""COMPUTED_VALUE"""),"二信學校財團法人基隆市二信高級中學附設國中部")</f>
        <v>二信學校財團法人基隆市二信高級中學附設國中部</v>
      </c>
      <c r="F148" s="14" t="str">
        <f>IFERROR(__xludf.DUMMYFUNCTION("""COMPUTED_VALUE"""),"九年級")</f>
        <v>九年級</v>
      </c>
      <c r="G148" s="14" t="str">
        <f>IFERROR(__xludf.DUMMYFUNCTION("""COMPUTED_VALUE"""),"●小禮物")</f>
        <v>●小禮物</v>
      </c>
      <c r="H148" s="8"/>
    </row>
    <row r="149">
      <c r="A149" s="18"/>
      <c r="B149" s="14">
        <f>IFERROR(__xludf.DUMMYFUNCTION("""COMPUTED_VALUE"""),1217223.0)</f>
        <v>1217223</v>
      </c>
      <c r="C149" s="14" t="str">
        <f>IFERROR(__xludf.DUMMYFUNCTION("""COMPUTED_VALUE"""),"簡語宸")</f>
        <v>簡語宸</v>
      </c>
      <c r="D149" s="16" t="str">
        <f>IFERROR(__xludf.DUMMYFUNCTION("""COMPUTED_VALUE"""),"yuc*****829@gmail.com")</f>
        <v>yuc*****829@gmail.com</v>
      </c>
      <c r="E149" s="17" t="str">
        <f>IFERROR(__xludf.DUMMYFUNCTION("""COMPUTED_VALUE"""),"二信學校財團法人基隆市二信高級中學附設國中部")</f>
        <v>二信學校財團法人基隆市二信高級中學附設國中部</v>
      </c>
      <c r="F149" s="14" t="str">
        <f>IFERROR(__xludf.DUMMYFUNCTION("""COMPUTED_VALUE"""),"九年級")</f>
        <v>九年級</v>
      </c>
      <c r="G149" s="14" t="str">
        <f>IFERROR(__xludf.DUMMYFUNCTION("""COMPUTED_VALUE"""),"●小禮物")</f>
        <v>●小禮物</v>
      </c>
      <c r="H149" s="8"/>
    </row>
    <row r="150">
      <c r="A150" s="18"/>
      <c r="B150" s="14">
        <f>IFERROR(__xludf.DUMMYFUNCTION("""COMPUTED_VALUE"""),1217683.0)</f>
        <v>1217683</v>
      </c>
      <c r="C150" s="14" t="str">
        <f>IFERROR(__xludf.DUMMYFUNCTION("""COMPUTED_VALUE"""),"羅菊")</f>
        <v>羅菊</v>
      </c>
      <c r="D150" s="16" t="str">
        <f>IFERROR(__xludf.DUMMYFUNCTION("""COMPUTED_VALUE"""),"903*****uite.essh.kl.edu.tw")</f>
        <v>903*****uite.essh.kl.edu.tw</v>
      </c>
      <c r="E150" s="17" t="str">
        <f>IFERROR(__xludf.DUMMYFUNCTION("""COMPUTED_VALUE"""),"二信學校財團法人基隆市二信高級中學附設國中部")</f>
        <v>二信學校財團法人基隆市二信高級中學附設國中部</v>
      </c>
      <c r="F150" s="14" t="str">
        <f>IFERROR(__xludf.DUMMYFUNCTION("""COMPUTED_VALUE"""),"九年級")</f>
        <v>九年級</v>
      </c>
      <c r="G150" s="14" t="str">
        <f>IFERROR(__xludf.DUMMYFUNCTION("""COMPUTED_VALUE"""),"●小禮物")</f>
        <v>●小禮物</v>
      </c>
      <c r="H150" s="8"/>
    </row>
    <row r="151">
      <c r="A151" s="18"/>
      <c r="B151" s="14">
        <f>IFERROR(__xludf.DUMMYFUNCTION("""COMPUTED_VALUE"""),1217406.0)</f>
        <v>1217406</v>
      </c>
      <c r="C151" s="14" t="str">
        <f>IFERROR(__xludf.DUMMYFUNCTION("""COMPUTED_VALUE"""),"王岳瞳")</f>
        <v>王岳瞳</v>
      </c>
      <c r="D151" s="16" t="str">
        <f>IFERROR(__xludf.DUMMYFUNCTION("""COMPUTED_VALUE"""),"902*****uite.essh.kl.edu.tw")</f>
        <v>902*****uite.essh.kl.edu.tw</v>
      </c>
      <c r="E151" s="17" t="str">
        <f>IFERROR(__xludf.DUMMYFUNCTION("""COMPUTED_VALUE"""),"二信學校財團法人基隆市二信高級中學附設國中部")</f>
        <v>二信學校財團法人基隆市二信高級中學附設國中部</v>
      </c>
      <c r="F151" s="14" t="str">
        <f>IFERROR(__xludf.DUMMYFUNCTION("""COMPUTED_VALUE"""),"九年級")</f>
        <v>九年級</v>
      </c>
      <c r="G151" s="14" t="str">
        <f>IFERROR(__xludf.DUMMYFUNCTION("""COMPUTED_VALUE"""),"★禮券$200")</f>
        <v>★禮券$200</v>
      </c>
      <c r="H151" s="8"/>
    </row>
    <row r="152">
      <c r="A152" s="18"/>
      <c r="B152" s="14">
        <f>IFERROR(__xludf.DUMMYFUNCTION("""COMPUTED_VALUE"""),128194.0)</f>
        <v>128194</v>
      </c>
      <c r="C152" s="14" t="str">
        <f>IFERROR(__xludf.DUMMYFUNCTION("""COMPUTED_VALUE"""),"林恩瑄")</f>
        <v>林恩瑄</v>
      </c>
      <c r="D152" s="16" t="str">
        <f>IFERROR(__xludf.DUMMYFUNCTION("""COMPUTED_VALUE"""),"lin*****n3@gmail.com")</f>
        <v>lin*****n3@gmail.com</v>
      </c>
      <c r="E152" s="17" t="str">
        <f>IFERROR(__xludf.DUMMYFUNCTION("""COMPUTED_VALUE"""),"二信學校財團法人基隆市二信高級中學附設國中部")</f>
        <v>二信學校財團法人基隆市二信高級中學附設國中部</v>
      </c>
      <c r="F152" s="14" t="str">
        <f>IFERROR(__xludf.DUMMYFUNCTION("""COMPUTED_VALUE"""),"九年級")</f>
        <v>九年級</v>
      </c>
      <c r="G152" s="14" t="str">
        <f>IFERROR(__xludf.DUMMYFUNCTION("""COMPUTED_VALUE"""),"★禮券$200")</f>
        <v>★禮券$200</v>
      </c>
      <c r="H152" s="8"/>
    </row>
    <row r="153">
      <c r="A153" s="18"/>
      <c r="B153" s="14">
        <f>IFERROR(__xludf.DUMMYFUNCTION("""COMPUTED_VALUE"""),1217246.0)</f>
        <v>1217246</v>
      </c>
      <c r="C153" s="14" t="str">
        <f>IFERROR(__xludf.DUMMYFUNCTION("""COMPUTED_VALUE"""),"陳彥妡")</f>
        <v>陳彥妡</v>
      </c>
      <c r="D153" s="16" t="str">
        <f>IFERROR(__xludf.DUMMYFUNCTION("""COMPUTED_VALUE"""),"902*****uite.essh.kl.edu.tw")</f>
        <v>902*****uite.essh.kl.edu.tw</v>
      </c>
      <c r="E153" s="17" t="str">
        <f>IFERROR(__xludf.DUMMYFUNCTION("""COMPUTED_VALUE"""),"二信學校財團法人基隆市二信高級中學附設國中部")</f>
        <v>二信學校財團法人基隆市二信高級中學附設國中部</v>
      </c>
      <c r="F153" s="14" t="str">
        <f>IFERROR(__xludf.DUMMYFUNCTION("""COMPUTED_VALUE"""),"九年級")</f>
        <v>九年級</v>
      </c>
      <c r="G153" s="14" t="str">
        <f>IFERROR(__xludf.DUMMYFUNCTION("""COMPUTED_VALUE"""),"★禮券$200")</f>
        <v>★禮券$200</v>
      </c>
      <c r="H153" s="8"/>
    </row>
    <row r="154">
      <c r="A154" s="18"/>
      <c r="B154" s="14">
        <f>IFERROR(__xludf.DUMMYFUNCTION("""COMPUTED_VALUE"""),586180.0)</f>
        <v>586180</v>
      </c>
      <c r="C154" s="14" t="str">
        <f>IFERROR(__xludf.DUMMYFUNCTION("""COMPUTED_VALUE"""),"黃靖媃")</f>
        <v>黃靖媃</v>
      </c>
      <c r="D154" s="16" t="str">
        <f>IFERROR(__xludf.DUMMYFUNCTION("""COMPUTED_VALUE"""),"chi*****0401@gmail.com")</f>
        <v>chi*****0401@gmail.com</v>
      </c>
      <c r="E154" s="17" t="str">
        <f>IFERROR(__xludf.DUMMYFUNCTION("""COMPUTED_VALUE"""),"二信學校財團法人基隆市二信高級中學附設國中部")</f>
        <v>二信學校財團法人基隆市二信高級中學附設國中部</v>
      </c>
      <c r="F154" s="14" t="str">
        <f>IFERROR(__xludf.DUMMYFUNCTION("""COMPUTED_VALUE"""),"九年級")</f>
        <v>九年級</v>
      </c>
      <c r="G154" s="14" t="str">
        <f>IFERROR(__xludf.DUMMYFUNCTION("""COMPUTED_VALUE"""),"★禮券$200")</f>
        <v>★禮券$200</v>
      </c>
      <c r="H154" s="8"/>
    </row>
    <row r="155">
      <c r="A155" s="18"/>
      <c r="B155" s="14">
        <f>IFERROR(__xludf.DUMMYFUNCTION("""COMPUTED_VALUE"""),964622.0)</f>
        <v>964622</v>
      </c>
      <c r="C155" s="14" t="str">
        <f>IFERROR(__xludf.DUMMYFUNCTION("""COMPUTED_VALUE"""),"李昀書")</f>
        <v>李昀書</v>
      </c>
      <c r="D155" s="16" t="str">
        <f>IFERROR(__xludf.DUMMYFUNCTION("""COMPUTED_VALUE"""),"902*****uite.essh.kl.edu.tw")</f>
        <v>902*****uite.essh.kl.edu.tw</v>
      </c>
      <c r="E155" s="17" t="str">
        <f>IFERROR(__xludf.DUMMYFUNCTION("""COMPUTED_VALUE"""),"二信學校財團法人基隆市二信高級中學附設國中部")</f>
        <v>二信學校財團法人基隆市二信高級中學附設國中部</v>
      </c>
      <c r="F155" s="14" t="str">
        <f>IFERROR(__xludf.DUMMYFUNCTION("""COMPUTED_VALUE"""),"九年級")</f>
        <v>九年級</v>
      </c>
      <c r="G155" s="14" t="str">
        <f>IFERROR(__xludf.DUMMYFUNCTION("""COMPUTED_VALUE"""),"獎狀")</f>
        <v>獎狀</v>
      </c>
      <c r="H155" s="8"/>
    </row>
    <row r="156">
      <c r="A156" s="18"/>
      <c r="B156" s="14">
        <f>IFERROR(__xludf.DUMMYFUNCTION("""COMPUTED_VALUE"""),589179.0)</f>
        <v>589179</v>
      </c>
      <c r="C156" s="14" t="str">
        <f>IFERROR(__xludf.DUMMYFUNCTION("""COMPUTED_VALUE"""),"林奕姿")</f>
        <v>林奕姿</v>
      </c>
      <c r="D156" s="16" t="str">
        <f>IFERROR(__xludf.DUMMYFUNCTION("""COMPUTED_VALUE"""),"ykk*****@gmail.com")</f>
        <v>ykk*****@gmail.com</v>
      </c>
      <c r="E156" s="17" t="str">
        <f>IFERROR(__xludf.DUMMYFUNCTION("""COMPUTED_VALUE"""),"二信學校財團法人基隆市二信高級中學附設國中部")</f>
        <v>二信學校財團法人基隆市二信高級中學附設國中部</v>
      </c>
      <c r="F156" s="14" t="str">
        <f>IFERROR(__xludf.DUMMYFUNCTION("""COMPUTED_VALUE"""),"九年級")</f>
        <v>九年級</v>
      </c>
      <c r="G156" s="14" t="str">
        <f>IFERROR(__xludf.DUMMYFUNCTION("""COMPUTED_VALUE"""),"獎狀")</f>
        <v>獎狀</v>
      </c>
      <c r="H156" s="8"/>
    </row>
    <row r="157">
      <c r="A157" s="18"/>
      <c r="B157" s="14">
        <f>IFERROR(__xludf.DUMMYFUNCTION("""COMPUTED_VALUE"""),930880.0)</f>
        <v>930880</v>
      </c>
      <c r="C157" s="14" t="str">
        <f>IFERROR(__xludf.DUMMYFUNCTION("""COMPUTED_VALUE"""),"張睿引")</f>
        <v>張睿引</v>
      </c>
      <c r="D157" s="16" t="str">
        <f>IFERROR(__xludf.DUMMYFUNCTION("""COMPUTED_VALUE"""),"900*****uite.essh.kl.edu.tw")</f>
        <v>900*****uite.essh.kl.edu.tw</v>
      </c>
      <c r="E157" s="17" t="str">
        <f>IFERROR(__xludf.DUMMYFUNCTION("""COMPUTED_VALUE"""),"二信學校財團法人基隆市二信高級中學附設國中部")</f>
        <v>二信學校財團法人基隆市二信高級中學附設國中部</v>
      </c>
      <c r="F157" s="14" t="str">
        <f>IFERROR(__xludf.DUMMYFUNCTION("""COMPUTED_VALUE"""),"九年級")</f>
        <v>九年級</v>
      </c>
      <c r="G157" s="14" t="str">
        <f>IFERROR(__xludf.DUMMYFUNCTION("""COMPUTED_VALUE"""),"●小禮物")</f>
        <v>●小禮物</v>
      </c>
      <c r="H157" s="8"/>
    </row>
    <row r="158">
      <c r="A158" s="18"/>
      <c r="B158" s="14">
        <f>IFERROR(__xludf.DUMMYFUNCTION("""COMPUTED_VALUE"""),1163381.0)</f>
        <v>1163381</v>
      </c>
      <c r="C158" s="14" t="str">
        <f>IFERROR(__xludf.DUMMYFUNCTION("""COMPUTED_VALUE"""),"蔡翔至")</f>
        <v>蔡翔至</v>
      </c>
      <c r="D158" s="16" t="str">
        <f>IFERROR(__xludf.DUMMYFUNCTION("""COMPUTED_VALUE"""),"111*****hsh.kl.edu.tw")</f>
        <v>111*****hsh.kl.edu.tw</v>
      </c>
      <c r="E158" s="17" t="str">
        <f>IFERROR(__xludf.DUMMYFUNCTION("""COMPUTED_VALUE"""),"輔仁大學學校財團法人基隆市輔大聖心高級中學附設國中部")</f>
        <v>輔仁大學學校財團法人基隆市輔大聖心高級中學附設國中部</v>
      </c>
      <c r="F158" s="14" t="str">
        <f>IFERROR(__xludf.DUMMYFUNCTION("""COMPUTED_VALUE"""),"七年級")</f>
        <v>七年級</v>
      </c>
      <c r="G158" s="14" t="str">
        <f>IFERROR(__xludf.DUMMYFUNCTION("""COMPUTED_VALUE"""),"●小禮物")</f>
        <v>●小禮物</v>
      </c>
      <c r="H158" s="8"/>
    </row>
    <row r="159">
      <c r="A159" s="18"/>
      <c r="B159" s="14">
        <f>IFERROR(__xludf.DUMMYFUNCTION("""COMPUTED_VALUE"""),1163387.0)</f>
        <v>1163387</v>
      </c>
      <c r="C159" s="14" t="str">
        <f>IFERROR(__xludf.DUMMYFUNCTION("""COMPUTED_VALUE"""),"吳承錦")</f>
        <v>吳承錦</v>
      </c>
      <c r="D159" s="16" t="str">
        <f>IFERROR(__xludf.DUMMYFUNCTION("""COMPUTED_VALUE"""),"111*****hsh.kl.edu.tw")</f>
        <v>111*****hsh.kl.edu.tw</v>
      </c>
      <c r="E159" s="17" t="str">
        <f>IFERROR(__xludf.DUMMYFUNCTION("""COMPUTED_VALUE"""),"輔仁大學學校財團法人基隆市輔大聖心高級中學附設國中部")</f>
        <v>輔仁大學學校財團法人基隆市輔大聖心高級中學附設國中部</v>
      </c>
      <c r="F159" s="14" t="str">
        <f>IFERROR(__xludf.DUMMYFUNCTION("""COMPUTED_VALUE"""),"七年級")</f>
        <v>七年級</v>
      </c>
      <c r="G159" s="14" t="str">
        <f>IFERROR(__xludf.DUMMYFUNCTION("""COMPUTED_VALUE"""),"獎狀")</f>
        <v>獎狀</v>
      </c>
      <c r="H159" s="8"/>
    </row>
    <row r="160">
      <c r="A160" s="18"/>
      <c r="B160" s="14">
        <f>IFERROR(__xludf.DUMMYFUNCTION("""COMPUTED_VALUE"""),1163371.0)</f>
        <v>1163371</v>
      </c>
      <c r="C160" s="14" t="str">
        <f>IFERROR(__xludf.DUMMYFUNCTION("""COMPUTED_VALUE"""),"陳心羽")</f>
        <v>陳心羽</v>
      </c>
      <c r="D160" s="16" t="str">
        <f>IFERROR(__xludf.DUMMYFUNCTION("""COMPUTED_VALUE"""),"111*****hsh.kl.edu.tw")</f>
        <v>111*****hsh.kl.edu.tw</v>
      </c>
      <c r="E160" s="17" t="str">
        <f>IFERROR(__xludf.DUMMYFUNCTION("""COMPUTED_VALUE"""),"輔仁大學學校財團法人基隆市輔大聖心高級中學附設國中部")</f>
        <v>輔仁大學學校財團法人基隆市輔大聖心高級中學附設國中部</v>
      </c>
      <c r="F160" s="14" t="str">
        <f>IFERROR(__xludf.DUMMYFUNCTION("""COMPUTED_VALUE"""),"七年級")</f>
        <v>七年級</v>
      </c>
      <c r="G160" s="14" t="str">
        <f>IFERROR(__xludf.DUMMYFUNCTION("""COMPUTED_VALUE"""),"●小禮物")</f>
        <v>●小禮物</v>
      </c>
      <c r="H160" s="8"/>
    </row>
    <row r="161">
      <c r="A161" s="18"/>
      <c r="B161" s="14">
        <f>IFERROR(__xludf.DUMMYFUNCTION("""COMPUTED_VALUE"""),1163379.0)</f>
        <v>1163379</v>
      </c>
      <c r="C161" s="14" t="str">
        <f>IFERROR(__xludf.DUMMYFUNCTION("""COMPUTED_VALUE"""),"蔡羽姸")</f>
        <v>蔡羽姸</v>
      </c>
      <c r="D161" s="16" t="str">
        <f>IFERROR(__xludf.DUMMYFUNCTION("""COMPUTED_VALUE"""),"111*****hsh.kl.edu.tw")</f>
        <v>111*****hsh.kl.edu.tw</v>
      </c>
      <c r="E161" s="17" t="str">
        <f>IFERROR(__xludf.DUMMYFUNCTION("""COMPUTED_VALUE"""),"輔仁大學學校財團法人基隆市輔大聖心高級中學附設國中部")</f>
        <v>輔仁大學學校財團法人基隆市輔大聖心高級中學附設國中部</v>
      </c>
      <c r="F161" s="14" t="str">
        <f>IFERROR(__xludf.DUMMYFUNCTION("""COMPUTED_VALUE"""),"七年級")</f>
        <v>七年級</v>
      </c>
      <c r="G161" s="14" t="str">
        <f>IFERROR(__xludf.DUMMYFUNCTION("""COMPUTED_VALUE"""),"●小禮物")</f>
        <v>●小禮物</v>
      </c>
      <c r="H161" s="8"/>
    </row>
    <row r="162">
      <c r="A162" s="18"/>
      <c r="B162" s="14">
        <f>IFERROR(__xludf.DUMMYFUNCTION("""COMPUTED_VALUE"""),1163403.0)</f>
        <v>1163403</v>
      </c>
      <c r="C162" s="14" t="str">
        <f>IFERROR(__xludf.DUMMYFUNCTION("""COMPUTED_VALUE"""),"林懿振")</f>
        <v>林懿振</v>
      </c>
      <c r="D162" s="16" t="str">
        <f>IFERROR(__xludf.DUMMYFUNCTION("""COMPUTED_VALUE"""),"111*****hsh.kl.edu.tw")</f>
        <v>111*****hsh.kl.edu.tw</v>
      </c>
      <c r="E162" s="17" t="str">
        <f>IFERROR(__xludf.DUMMYFUNCTION("""COMPUTED_VALUE"""),"輔仁大學學校財團法人基隆市輔大聖心高級中學附設國中部")</f>
        <v>輔仁大學學校財團法人基隆市輔大聖心高級中學附設國中部</v>
      </c>
      <c r="F162" s="14" t="str">
        <f>IFERROR(__xludf.DUMMYFUNCTION("""COMPUTED_VALUE"""),"七年級")</f>
        <v>七年級</v>
      </c>
      <c r="G162" s="14" t="str">
        <f>IFERROR(__xludf.DUMMYFUNCTION("""COMPUTED_VALUE"""),"●小禮物")</f>
        <v>●小禮物</v>
      </c>
      <c r="H162" s="8"/>
    </row>
    <row r="163">
      <c r="A163" s="18"/>
      <c r="B163" s="14">
        <f>IFERROR(__xludf.DUMMYFUNCTION("""COMPUTED_VALUE"""),353257.0)</f>
        <v>353257</v>
      </c>
      <c r="C163" s="14" t="str">
        <f>IFERROR(__xludf.DUMMYFUNCTION("""COMPUTED_VALUE"""),"黃桂真")</f>
        <v>黃桂真</v>
      </c>
      <c r="D163" s="16" t="str">
        <f>IFERROR(__xludf.DUMMYFUNCTION("""COMPUTED_VALUE"""),"sc4*****m.kl.edu.tw")</f>
        <v>sc4*****m.kl.edu.tw</v>
      </c>
      <c r="E163" s="17" t="str">
        <f>IFERROR(__xludf.DUMMYFUNCTION("""COMPUTED_VALUE"""),"輔仁大學學校財團法人基隆市輔大聖心高級中學附設國中部")</f>
        <v>輔仁大學學校財團法人基隆市輔大聖心高級中學附設國中部</v>
      </c>
      <c r="F163" s="14" t="str">
        <f>IFERROR(__xludf.DUMMYFUNCTION("""COMPUTED_VALUE"""),"八年級")</f>
        <v>八年級</v>
      </c>
      <c r="G163" s="14" t="str">
        <f>IFERROR(__xludf.DUMMYFUNCTION("""COMPUTED_VALUE"""),"獎狀")</f>
        <v>獎狀</v>
      </c>
      <c r="H163" s="8"/>
    </row>
    <row r="164">
      <c r="A164" s="18"/>
      <c r="B164" s="14">
        <f>IFERROR(__xludf.DUMMYFUNCTION("""COMPUTED_VALUE"""),353244.0)</f>
        <v>353244</v>
      </c>
      <c r="C164" s="14" t="str">
        <f>IFERROR(__xludf.DUMMYFUNCTION("""COMPUTED_VALUE"""),"郭芳妤")</f>
        <v>郭芳妤</v>
      </c>
      <c r="D164" s="16" t="str">
        <f>IFERROR(__xludf.DUMMYFUNCTION("""COMPUTED_VALUE"""),"sb3*****m.kl.edu.tw")</f>
        <v>sb3*****m.kl.edu.tw</v>
      </c>
      <c r="E164" s="17" t="str">
        <f>IFERROR(__xludf.DUMMYFUNCTION("""COMPUTED_VALUE"""),"輔仁大學學校財團法人基隆市輔大聖心高級中學附設國中部")</f>
        <v>輔仁大學學校財團法人基隆市輔大聖心高級中學附設國中部</v>
      </c>
      <c r="F164" s="14" t="str">
        <f>IFERROR(__xludf.DUMMYFUNCTION("""COMPUTED_VALUE"""),"九年級")</f>
        <v>九年級</v>
      </c>
      <c r="G164" s="14" t="str">
        <f>IFERROR(__xludf.DUMMYFUNCTION("""COMPUTED_VALUE"""),"●小禮物")</f>
        <v>●小禮物</v>
      </c>
      <c r="H164" s="8"/>
    </row>
    <row r="165">
      <c r="A165" s="18"/>
      <c r="B165" s="14">
        <f>IFERROR(__xludf.DUMMYFUNCTION("""COMPUTED_VALUE"""),545471.0)</f>
        <v>545471</v>
      </c>
      <c r="C165" s="14" t="str">
        <f>IFERROR(__xludf.DUMMYFUNCTION("""COMPUTED_VALUE"""),"周子翔")</f>
        <v>周子翔</v>
      </c>
      <c r="D165" s="16" t="str">
        <f>IFERROR(__xludf.DUMMYFUNCTION("""COMPUTED_VALUE"""),"fmy*****0@gmail.com")</f>
        <v>fmy*****0@gmail.com</v>
      </c>
      <c r="E165" s="17" t="str">
        <f>IFERROR(__xludf.DUMMYFUNCTION("""COMPUTED_VALUE"""),"輔仁大學學校財團法人基隆市輔大聖心高級中學附設國中部")</f>
        <v>輔仁大學學校財團法人基隆市輔大聖心高級中學附設國中部</v>
      </c>
      <c r="F165" s="14" t="str">
        <f>IFERROR(__xludf.DUMMYFUNCTION("""COMPUTED_VALUE"""),"九年級")</f>
        <v>九年級</v>
      </c>
      <c r="G165" s="14" t="str">
        <f>IFERROR(__xludf.DUMMYFUNCTION("""COMPUTED_VALUE"""),"★禮券$500")</f>
        <v>★禮券$500</v>
      </c>
      <c r="H165" s="8"/>
    </row>
    <row r="166">
      <c r="A166" s="18"/>
      <c r="B166" s="14">
        <f>IFERROR(__xludf.DUMMYFUNCTION("""COMPUTED_VALUE"""),545517.0)</f>
        <v>545517</v>
      </c>
      <c r="C166" s="14" t="str">
        <f>IFERROR(__xludf.DUMMYFUNCTION("""COMPUTED_VALUE"""),"駱品樺")</f>
        <v>駱品樺</v>
      </c>
      <c r="D166" s="16" t="str">
        <f>IFERROR(__xludf.DUMMYFUNCTION("""COMPUTED_VALUE"""),"pin*****o@gmail.com")</f>
        <v>pin*****o@gmail.com</v>
      </c>
      <c r="E166" s="17" t="str">
        <f>IFERROR(__xludf.DUMMYFUNCTION("""COMPUTED_VALUE"""),"輔仁大學學校財團法人基隆市輔大聖心高級中學附設國中部")</f>
        <v>輔仁大學學校財團法人基隆市輔大聖心高級中學附設國中部</v>
      </c>
      <c r="F166" s="14" t="str">
        <f>IFERROR(__xludf.DUMMYFUNCTION("""COMPUTED_VALUE"""),"九年級")</f>
        <v>九年級</v>
      </c>
      <c r="G166" s="14" t="str">
        <f>IFERROR(__xludf.DUMMYFUNCTION("""COMPUTED_VALUE"""),"獎狀")</f>
        <v>獎狀</v>
      </c>
      <c r="H166" s="8"/>
    </row>
    <row r="167">
      <c r="A167" s="18"/>
      <c r="B167" s="14">
        <f>IFERROR(__xludf.DUMMYFUNCTION("""COMPUTED_VALUE"""),587783.0)</f>
        <v>587783</v>
      </c>
      <c r="C167" s="14" t="str">
        <f>IFERROR(__xludf.DUMMYFUNCTION("""COMPUTED_VALUE"""),"王睿均")</f>
        <v>王睿均</v>
      </c>
      <c r="D167" s="16" t="str">
        <f>IFERROR(__xludf.DUMMYFUNCTION("""COMPUTED_VALUE"""),"jim*****3@gmail.com")</f>
        <v>jim*****3@gmail.com</v>
      </c>
      <c r="E167" s="17" t="str">
        <f>IFERROR(__xludf.DUMMYFUNCTION("""COMPUTED_VALUE"""),"輔仁大學學校財團法人基隆市輔大聖心高級中學附設國中部")</f>
        <v>輔仁大學學校財團法人基隆市輔大聖心高級中學附設國中部</v>
      </c>
      <c r="F167" s="14" t="str">
        <f>IFERROR(__xludf.DUMMYFUNCTION("""COMPUTED_VALUE"""),"九年級")</f>
        <v>九年級</v>
      </c>
      <c r="G167" s="14" t="str">
        <f>IFERROR(__xludf.DUMMYFUNCTION("""COMPUTED_VALUE"""),"●小禮物")</f>
        <v>●小禮物</v>
      </c>
      <c r="H167" s="8"/>
    </row>
    <row r="168">
      <c r="A168" s="18"/>
      <c r="B168" s="14">
        <f>IFERROR(__xludf.DUMMYFUNCTION("""COMPUTED_VALUE"""),593367.0)</f>
        <v>593367</v>
      </c>
      <c r="C168" s="14" t="str">
        <f>IFERROR(__xludf.DUMMYFUNCTION("""COMPUTED_VALUE"""),"王語竹")</f>
        <v>王語竹</v>
      </c>
      <c r="D168" s="16" t="str">
        <f>IFERROR(__xludf.DUMMYFUNCTION("""COMPUTED_VALUE"""),"jil*****1228@gmail.com")</f>
        <v>jil*****1228@gmail.com</v>
      </c>
      <c r="E168" s="17" t="str">
        <f>IFERROR(__xludf.DUMMYFUNCTION("""COMPUTED_VALUE"""),"輔仁大學學校財團法人基隆市輔大聖心高級中學附設國中部")</f>
        <v>輔仁大學學校財團法人基隆市輔大聖心高級中學附設國中部</v>
      </c>
      <c r="F168" s="14" t="str">
        <f>IFERROR(__xludf.DUMMYFUNCTION("""COMPUTED_VALUE"""),"九年級")</f>
        <v>九年級</v>
      </c>
      <c r="G168" s="14" t="str">
        <f>IFERROR(__xludf.DUMMYFUNCTION("""COMPUTED_VALUE"""),"●小禮物")</f>
        <v>●小禮物</v>
      </c>
      <c r="H168" s="8"/>
    </row>
    <row r="169">
      <c r="A169" s="18"/>
      <c r="B169" s="14">
        <f>IFERROR(__xludf.DUMMYFUNCTION("""COMPUTED_VALUE"""),551617.0)</f>
        <v>551617</v>
      </c>
      <c r="C169" s="14" t="str">
        <f>IFERROR(__xludf.DUMMYFUNCTION("""COMPUTED_VALUE"""),"吳其諺")</f>
        <v>吳其諺</v>
      </c>
      <c r="D169" s="16" t="str">
        <f>IFERROR(__xludf.DUMMYFUNCTION("""COMPUTED_VALUE"""),"ter*****qijiyan0325@gmail.com")</f>
        <v>ter*****qijiyan0325@gmail.com</v>
      </c>
      <c r="E169" s="17" t="str">
        <f>IFERROR(__xludf.DUMMYFUNCTION("""COMPUTED_VALUE"""),"輔仁大學學校財團法人基隆市輔大聖心高級中學附設國中部")</f>
        <v>輔仁大學學校財團法人基隆市輔大聖心高級中學附設國中部</v>
      </c>
      <c r="F169" s="14" t="str">
        <f>IFERROR(__xludf.DUMMYFUNCTION("""COMPUTED_VALUE"""),"九年級")</f>
        <v>九年級</v>
      </c>
      <c r="G169" s="14" t="str">
        <f>IFERROR(__xludf.DUMMYFUNCTION("""COMPUTED_VALUE"""),"●小禮物")</f>
        <v>●小禮物</v>
      </c>
      <c r="H169" s="8"/>
    </row>
    <row r="170">
      <c r="A170" s="18"/>
      <c r="B170" s="14">
        <f>IFERROR(__xludf.DUMMYFUNCTION("""COMPUTED_VALUE"""),545475.0)</f>
        <v>545475</v>
      </c>
      <c r="C170" s="14" t="str">
        <f>IFERROR(__xludf.DUMMYFUNCTION("""COMPUTED_VALUE"""),"呂宸萱")</f>
        <v>呂宸萱</v>
      </c>
      <c r="D170" s="16" t="str">
        <f>IFERROR(__xludf.DUMMYFUNCTION("""COMPUTED_VALUE"""),"ju9*****@gmail.com")</f>
        <v>ju9*****@gmail.com</v>
      </c>
      <c r="E170" s="17" t="str">
        <f>IFERROR(__xludf.DUMMYFUNCTION("""COMPUTED_VALUE"""),"輔仁大學學校財團法人基隆市輔大聖心高級中學附設國中部")</f>
        <v>輔仁大學學校財團法人基隆市輔大聖心高級中學附設國中部</v>
      </c>
      <c r="F170" s="14" t="str">
        <f>IFERROR(__xludf.DUMMYFUNCTION("""COMPUTED_VALUE"""),"九年級")</f>
        <v>九年級</v>
      </c>
      <c r="G170" s="14" t="str">
        <f>IFERROR(__xludf.DUMMYFUNCTION("""COMPUTED_VALUE"""),"●小禮物")</f>
        <v>●小禮物</v>
      </c>
      <c r="H170" s="8"/>
    </row>
    <row r="171">
      <c r="A171" s="18"/>
      <c r="B171" s="14">
        <f>IFERROR(__xludf.DUMMYFUNCTION("""COMPUTED_VALUE"""),545518.0)</f>
        <v>545518</v>
      </c>
      <c r="C171" s="14" t="str">
        <f>IFERROR(__xludf.DUMMYFUNCTION("""COMPUTED_VALUE"""),"李玉麟")</f>
        <v>李玉麟</v>
      </c>
      <c r="D171" s="16" t="str">
        <f>IFERROR(__xludf.DUMMYFUNCTION("""COMPUTED_VALUE"""),"ele*****@gmail.com")</f>
        <v>ele*****@gmail.com</v>
      </c>
      <c r="E171" s="17" t="str">
        <f>IFERROR(__xludf.DUMMYFUNCTION("""COMPUTED_VALUE"""),"輔仁大學學校財團法人基隆市輔大聖心高級中學附設國中部")</f>
        <v>輔仁大學學校財團法人基隆市輔大聖心高級中學附設國中部</v>
      </c>
      <c r="F171" s="14" t="str">
        <f>IFERROR(__xludf.DUMMYFUNCTION("""COMPUTED_VALUE"""),"九年級")</f>
        <v>九年級</v>
      </c>
      <c r="G171" s="14" t="str">
        <f>IFERROR(__xludf.DUMMYFUNCTION("""COMPUTED_VALUE"""),"●小禮物")</f>
        <v>●小禮物</v>
      </c>
      <c r="H171" s="8"/>
    </row>
    <row r="172">
      <c r="A172" s="18"/>
      <c r="B172" s="14">
        <f>IFERROR(__xludf.DUMMYFUNCTION("""COMPUTED_VALUE"""),1129496.0)</f>
        <v>1129496</v>
      </c>
      <c r="C172" s="14" t="str">
        <f>IFERROR(__xludf.DUMMYFUNCTION("""COMPUTED_VALUE"""),"劉育瑋")</f>
        <v>劉育瑋</v>
      </c>
      <c r="D172" s="16" t="str">
        <f>IFERROR(__xludf.DUMMYFUNCTION("""COMPUTED_VALUE"""),"109*****hsh.kl.edu.tw")</f>
        <v>109*****hsh.kl.edu.tw</v>
      </c>
      <c r="E172" s="17" t="str">
        <f>IFERROR(__xludf.DUMMYFUNCTION("""COMPUTED_VALUE"""),"輔仁大學學校財團法人基隆市輔大聖心高級中學附設國中部")</f>
        <v>輔仁大學學校財團法人基隆市輔大聖心高級中學附設國中部</v>
      </c>
      <c r="F172" s="14" t="str">
        <f>IFERROR(__xludf.DUMMYFUNCTION("""COMPUTED_VALUE"""),"九年級")</f>
        <v>九年級</v>
      </c>
      <c r="G172" s="14" t="str">
        <f>IFERROR(__xludf.DUMMYFUNCTION("""COMPUTED_VALUE"""),"●小禮物")</f>
        <v>●小禮物</v>
      </c>
      <c r="H172" s="8"/>
    </row>
    <row r="173">
      <c r="A173" s="18"/>
      <c r="B173" s="14">
        <f>IFERROR(__xludf.DUMMYFUNCTION("""COMPUTED_VALUE"""),1209081.0)</f>
        <v>1209081</v>
      </c>
      <c r="C173" s="14" t="str">
        <f>IFERROR(__xludf.DUMMYFUNCTION("""COMPUTED_VALUE"""),"潘品嘉")</f>
        <v>潘品嘉</v>
      </c>
      <c r="D173" s="16" t="str">
        <f>IFERROR(__xludf.DUMMYFUNCTION("""COMPUTED_VALUE"""),"rex*****346@gmail.com")</f>
        <v>rex*****346@gmail.com</v>
      </c>
      <c r="E173" s="17" t="str">
        <f>IFERROR(__xludf.DUMMYFUNCTION("""COMPUTED_VALUE"""),"輔仁大學學校財團法人基隆市輔大聖心高級中學附設國中部")</f>
        <v>輔仁大學學校財團法人基隆市輔大聖心高級中學附設國中部</v>
      </c>
      <c r="F173" s="14" t="str">
        <f>IFERROR(__xludf.DUMMYFUNCTION("""COMPUTED_VALUE"""),"九年級")</f>
        <v>九年級</v>
      </c>
      <c r="G173" s="14" t="str">
        <f>IFERROR(__xludf.DUMMYFUNCTION("""COMPUTED_VALUE"""),"●小禮物")</f>
        <v>●小禮物</v>
      </c>
      <c r="H173" s="8"/>
    </row>
    <row r="174">
      <c r="A174" s="18"/>
      <c r="B174" s="14">
        <f>IFERROR(__xludf.DUMMYFUNCTION("""COMPUTED_VALUE"""),542631.0)</f>
        <v>542631</v>
      </c>
      <c r="C174" s="14" t="str">
        <f>IFERROR(__xludf.DUMMYFUNCTION("""COMPUTED_VALUE"""),"鄭亞昀")</f>
        <v>鄭亞昀</v>
      </c>
      <c r="D174" s="16" t="str">
        <f>IFERROR(__xludf.DUMMYFUNCTION("""COMPUTED_VALUE"""),"zoe*****glala@gmail.com")</f>
        <v>zoe*****glala@gmail.com</v>
      </c>
      <c r="E174" s="17" t="str">
        <f>IFERROR(__xludf.DUMMYFUNCTION("""COMPUTED_VALUE"""),"輔仁大學學校財團法人基隆市輔大聖心高級中學附設國中部")</f>
        <v>輔仁大學學校財團法人基隆市輔大聖心高級中學附設國中部</v>
      </c>
      <c r="F174" s="14" t="str">
        <f>IFERROR(__xludf.DUMMYFUNCTION("""COMPUTED_VALUE"""),"九年級")</f>
        <v>九年級</v>
      </c>
      <c r="G174" s="14" t="str">
        <f>IFERROR(__xludf.DUMMYFUNCTION("""COMPUTED_VALUE"""),"●小禮物")</f>
        <v>●小禮物</v>
      </c>
      <c r="H174" s="8"/>
    </row>
    <row r="175">
      <c r="A175" s="18"/>
      <c r="B175" s="14">
        <f>IFERROR(__xludf.DUMMYFUNCTION("""COMPUTED_VALUE"""),551829.0)</f>
        <v>551829</v>
      </c>
      <c r="C175" s="14" t="str">
        <f>IFERROR(__xludf.DUMMYFUNCTION("""COMPUTED_VALUE"""),"羅子絜")</f>
        <v>羅子絜</v>
      </c>
      <c r="D175" s="16" t="str">
        <f>IFERROR(__xludf.DUMMYFUNCTION("""COMPUTED_VALUE"""),"jes*****o1120@gmail.com")</f>
        <v>jes*****o1120@gmail.com</v>
      </c>
      <c r="E175" s="17" t="str">
        <f>IFERROR(__xludf.DUMMYFUNCTION("""COMPUTED_VALUE"""),"輔仁大學學校財團法人基隆市輔大聖心高級中學附設國中部")</f>
        <v>輔仁大學學校財團法人基隆市輔大聖心高級中學附設國中部</v>
      </c>
      <c r="F175" s="14" t="str">
        <f>IFERROR(__xludf.DUMMYFUNCTION("""COMPUTED_VALUE"""),"九年級")</f>
        <v>九年級</v>
      </c>
      <c r="G175" s="14" t="str">
        <f>IFERROR(__xludf.DUMMYFUNCTION("""COMPUTED_VALUE"""),"●小禮物")</f>
        <v>●小禮物</v>
      </c>
      <c r="H175" s="8"/>
    </row>
    <row r="176">
      <c r="A176" s="18"/>
      <c r="B176" s="14">
        <f>IFERROR(__xludf.DUMMYFUNCTION("""COMPUTED_VALUE"""),445456.0)</f>
        <v>445456</v>
      </c>
      <c r="C176" s="14" t="str">
        <f>IFERROR(__xludf.DUMMYFUNCTION("""COMPUTED_VALUE"""),"呂翊瑄")</f>
        <v>呂翊瑄</v>
      </c>
      <c r="D176" s="16" t="str">
        <f>IFERROR(__xludf.DUMMYFUNCTION("""COMPUTED_VALUE"""),"luy*****16281314@gmail.com")</f>
        <v>luy*****16281314@gmail.com</v>
      </c>
      <c r="E176" s="17" t="str">
        <f>IFERROR(__xludf.DUMMYFUNCTION("""COMPUTED_VALUE"""),"輔仁大學學校財團法人基隆市輔大聖心高級中學附設國中部")</f>
        <v>輔仁大學學校財團法人基隆市輔大聖心高級中學附設國中部</v>
      </c>
      <c r="F176" s="14" t="str">
        <f>IFERROR(__xludf.DUMMYFUNCTION("""COMPUTED_VALUE"""),"九年級")</f>
        <v>九年級</v>
      </c>
      <c r="G176" s="14" t="str">
        <f>IFERROR(__xludf.DUMMYFUNCTION("""COMPUTED_VALUE"""),"★禮券$200")</f>
        <v>★禮券$200</v>
      </c>
      <c r="H176" s="8"/>
    </row>
    <row r="177">
      <c r="A177" s="18"/>
      <c r="B177" s="14">
        <f>IFERROR(__xludf.DUMMYFUNCTION("""COMPUTED_VALUE"""),545472.0)</f>
        <v>545472</v>
      </c>
      <c r="C177" s="14" t="str">
        <f>IFERROR(__xludf.DUMMYFUNCTION("""COMPUTED_VALUE"""),"王彤恩")</f>
        <v>王彤恩</v>
      </c>
      <c r="D177" s="16" t="str">
        <f>IFERROR(__xludf.DUMMYFUNCTION("""COMPUTED_VALUE"""),"san*****0210@gmail.com")</f>
        <v>san*****0210@gmail.com</v>
      </c>
      <c r="E177" s="17" t="str">
        <f>IFERROR(__xludf.DUMMYFUNCTION("""COMPUTED_VALUE"""),"輔仁大學學校財團法人基隆市輔大聖心高級中學附設國中部")</f>
        <v>輔仁大學學校財團法人基隆市輔大聖心高級中學附設國中部</v>
      </c>
      <c r="F177" s="14" t="str">
        <f>IFERROR(__xludf.DUMMYFUNCTION("""COMPUTED_VALUE"""),"九年級")</f>
        <v>九年級</v>
      </c>
      <c r="G177" s="14" t="str">
        <f>IFERROR(__xludf.DUMMYFUNCTION("""COMPUTED_VALUE"""),"獎狀")</f>
        <v>獎狀</v>
      </c>
      <c r="H177" s="8"/>
    </row>
    <row r="178">
      <c r="A178" s="18"/>
      <c r="B178" s="14">
        <f>IFERROR(__xludf.DUMMYFUNCTION("""COMPUTED_VALUE"""),676616.0)</f>
        <v>676616</v>
      </c>
      <c r="C178" s="14" t="str">
        <f>IFERROR(__xludf.DUMMYFUNCTION("""COMPUTED_VALUE"""),"李孔丘")</f>
        <v>李孔丘</v>
      </c>
      <c r="D178" s="16" t="str">
        <f>IFERROR(__xludf.DUMMYFUNCTION("""COMPUTED_VALUE"""),"jj.*****y948755@gmail.com")</f>
        <v>jj.*****y948755@gmail.com</v>
      </c>
      <c r="E178" s="17" t="str">
        <f>IFERROR(__xludf.DUMMYFUNCTION("""COMPUTED_VALUE"""),"輔仁大學學校財團法人基隆市輔大聖心高級中學附設國中部")</f>
        <v>輔仁大學學校財團法人基隆市輔大聖心高級中學附設國中部</v>
      </c>
      <c r="F178" s="14" t="str">
        <f>IFERROR(__xludf.DUMMYFUNCTION("""COMPUTED_VALUE"""),"九年級")</f>
        <v>九年級</v>
      </c>
      <c r="G178" s="14" t="str">
        <f>IFERROR(__xludf.DUMMYFUNCTION("""COMPUTED_VALUE"""),"獎狀")</f>
        <v>獎狀</v>
      </c>
      <c r="H178" s="8"/>
    </row>
    <row r="179">
      <c r="A179" s="18"/>
      <c r="B179" s="14">
        <f>IFERROR(__xludf.DUMMYFUNCTION("""COMPUTED_VALUE"""),101253.0)</f>
        <v>101253</v>
      </c>
      <c r="C179" s="14" t="str">
        <f>IFERROR(__xludf.DUMMYFUNCTION("""COMPUTED_VALUE"""),"李孟潼")</f>
        <v>李孟潼</v>
      </c>
      <c r="D179" s="16" t="str">
        <f>IFERROR(__xludf.DUMMYFUNCTION("""COMPUTED_VALUE"""),"ani*****026@gmail.com")</f>
        <v>ani*****026@gmail.com</v>
      </c>
      <c r="E179" s="17" t="str">
        <f>IFERROR(__xludf.DUMMYFUNCTION("""COMPUTED_VALUE"""),"輔仁大學學校財團法人基隆市輔大聖心高級中學附設國中部")</f>
        <v>輔仁大學學校財團法人基隆市輔大聖心高級中學附設國中部</v>
      </c>
      <c r="F179" s="14" t="str">
        <f>IFERROR(__xludf.DUMMYFUNCTION("""COMPUTED_VALUE"""),"九年級")</f>
        <v>九年級</v>
      </c>
      <c r="G179" s="14" t="str">
        <f>IFERROR(__xludf.DUMMYFUNCTION("""COMPUTED_VALUE"""),"獎狀")</f>
        <v>獎狀</v>
      </c>
      <c r="H179" s="8"/>
    </row>
    <row r="180">
      <c r="A180" s="18"/>
      <c r="B180" s="14">
        <f>IFERROR(__xludf.DUMMYFUNCTION("""COMPUTED_VALUE"""),545493.0)</f>
        <v>545493</v>
      </c>
      <c r="C180" s="14" t="str">
        <f>IFERROR(__xludf.DUMMYFUNCTION("""COMPUTED_VALUE"""),"汪致佑")</f>
        <v>汪致佑</v>
      </c>
      <c r="D180" s="16" t="str">
        <f>IFERROR(__xludf.DUMMYFUNCTION("""COMPUTED_VALUE"""),"sb1*****l@mail.edu.tw")</f>
        <v>sb1*****l@mail.edu.tw</v>
      </c>
      <c r="E180" s="17" t="str">
        <f>IFERROR(__xludf.DUMMYFUNCTION("""COMPUTED_VALUE"""),"輔仁大學學校財團法人基隆市輔大聖心高級中學附設國中部")</f>
        <v>輔仁大學學校財團法人基隆市輔大聖心高級中學附設國中部</v>
      </c>
      <c r="F180" s="14" t="str">
        <f>IFERROR(__xludf.DUMMYFUNCTION("""COMPUTED_VALUE"""),"九年級")</f>
        <v>九年級</v>
      </c>
      <c r="G180" s="14" t="str">
        <f>IFERROR(__xludf.DUMMYFUNCTION("""COMPUTED_VALUE"""),"獎狀")</f>
        <v>獎狀</v>
      </c>
      <c r="H180" s="8"/>
    </row>
    <row r="181">
      <c r="A181" s="18"/>
      <c r="B181" s="14">
        <f>IFERROR(__xludf.DUMMYFUNCTION("""COMPUTED_VALUE"""),542374.0)</f>
        <v>542374</v>
      </c>
      <c r="C181" s="14" t="str">
        <f>IFERROR(__xludf.DUMMYFUNCTION("""COMPUTED_VALUE"""),"周昱貞")</f>
        <v>周昱貞</v>
      </c>
      <c r="D181" s="16" t="str">
        <f>IFERROR(__xludf.DUMMYFUNCTION("""COMPUTED_VALUE"""),"jan*****iday618@gmail.com")</f>
        <v>jan*****iday618@gmail.com</v>
      </c>
      <c r="E181" s="17" t="str">
        <f>IFERROR(__xludf.DUMMYFUNCTION("""COMPUTED_VALUE"""),"輔仁大學學校財團法人基隆市輔大聖心高級中學附設國中部")</f>
        <v>輔仁大學學校財團法人基隆市輔大聖心高級中學附設國中部</v>
      </c>
      <c r="F181" s="14" t="str">
        <f>IFERROR(__xludf.DUMMYFUNCTION("""COMPUTED_VALUE"""),"九年級")</f>
        <v>九年級</v>
      </c>
      <c r="G181" s="14" t="str">
        <f>IFERROR(__xludf.DUMMYFUNCTION("""COMPUTED_VALUE"""),"獎狀")</f>
        <v>獎狀</v>
      </c>
      <c r="H181" s="8"/>
    </row>
    <row r="182">
      <c r="A182" s="18"/>
      <c r="B182" s="14">
        <f>IFERROR(__xludf.DUMMYFUNCTION("""COMPUTED_VALUE"""),552233.0)</f>
        <v>552233</v>
      </c>
      <c r="C182" s="14" t="str">
        <f>IFERROR(__xludf.DUMMYFUNCTION("""COMPUTED_VALUE"""),"林君宇")</f>
        <v>林君宇</v>
      </c>
      <c r="D182" s="16" t="str">
        <f>IFERROR(__xludf.DUMMYFUNCTION("""COMPUTED_VALUE"""),"32l*****23@gmail.com")</f>
        <v>32l*****23@gmail.com</v>
      </c>
      <c r="E182" s="17" t="str">
        <f>IFERROR(__xludf.DUMMYFUNCTION("""COMPUTED_VALUE"""),"輔仁大學學校財團法人基隆市輔大聖心高級中學附設國中部")</f>
        <v>輔仁大學學校財團法人基隆市輔大聖心高級中學附設國中部</v>
      </c>
      <c r="F182" s="14" t="str">
        <f>IFERROR(__xludf.DUMMYFUNCTION("""COMPUTED_VALUE"""),"九年級")</f>
        <v>九年級</v>
      </c>
      <c r="G182" s="14" t="str">
        <f>IFERROR(__xludf.DUMMYFUNCTION("""COMPUTED_VALUE"""),"獎狀")</f>
        <v>獎狀</v>
      </c>
      <c r="H182" s="8"/>
    </row>
    <row r="183">
      <c r="A183" s="18"/>
      <c r="B183" s="14">
        <f>IFERROR(__xludf.DUMMYFUNCTION("""COMPUTED_VALUE"""),345574.0)</f>
        <v>345574</v>
      </c>
      <c r="C183" s="14" t="str">
        <f>IFERROR(__xludf.DUMMYFUNCTION("""COMPUTED_VALUE"""),"林浩瑞")</f>
        <v>林浩瑞</v>
      </c>
      <c r="D183" s="16" t="str">
        <f>IFERROR(__xludf.DUMMYFUNCTION("""COMPUTED_VALUE"""),"sd0*****l@mail.edu.tw")</f>
        <v>sd0*****l@mail.edu.tw</v>
      </c>
      <c r="E183" s="17" t="str">
        <f>IFERROR(__xludf.DUMMYFUNCTION("""COMPUTED_VALUE"""),"輔仁大學學校財團法人基隆市輔大聖心高級中學附設國中部")</f>
        <v>輔仁大學學校財團法人基隆市輔大聖心高級中學附設國中部</v>
      </c>
      <c r="F183" s="14" t="str">
        <f>IFERROR(__xludf.DUMMYFUNCTION("""COMPUTED_VALUE"""),"九年級")</f>
        <v>九年級</v>
      </c>
      <c r="G183" s="14" t="str">
        <f>IFERROR(__xludf.DUMMYFUNCTION("""COMPUTED_VALUE"""),"獎狀")</f>
        <v>獎狀</v>
      </c>
      <c r="H183" s="8"/>
    </row>
    <row r="184">
      <c r="A184" s="18"/>
      <c r="B184" s="14">
        <f>IFERROR(__xludf.DUMMYFUNCTION("""COMPUTED_VALUE"""),542684.0)</f>
        <v>542684</v>
      </c>
      <c r="C184" s="14" t="str">
        <f>IFERROR(__xludf.DUMMYFUNCTION("""COMPUTED_VALUE"""),"劉真")</f>
        <v>劉真</v>
      </c>
      <c r="D184" s="16" t="str">
        <f>IFERROR(__xludf.DUMMYFUNCTION("""COMPUTED_VALUE"""),"a09*****812@gmail.com")</f>
        <v>a09*****812@gmail.com</v>
      </c>
      <c r="E184" s="17" t="str">
        <f>IFERROR(__xludf.DUMMYFUNCTION("""COMPUTED_VALUE"""),"輔仁大學學校財團法人基隆市輔大聖心高級中學附設國中部")</f>
        <v>輔仁大學學校財團法人基隆市輔大聖心高級中學附設國中部</v>
      </c>
      <c r="F184" s="14" t="str">
        <f>IFERROR(__xludf.DUMMYFUNCTION("""COMPUTED_VALUE"""),"九年級")</f>
        <v>九年級</v>
      </c>
      <c r="G184" s="14" t="str">
        <f>IFERROR(__xludf.DUMMYFUNCTION("""COMPUTED_VALUE"""),"獎狀")</f>
        <v>獎狀</v>
      </c>
      <c r="H184" s="8"/>
    </row>
    <row r="185">
      <c r="A185" s="18"/>
      <c r="B185" s="14">
        <f>IFERROR(__xludf.DUMMYFUNCTION("""COMPUTED_VALUE"""),557319.0)</f>
        <v>557319</v>
      </c>
      <c r="C185" s="14" t="str">
        <f>IFERROR(__xludf.DUMMYFUNCTION("""COMPUTED_VALUE"""),"蔡婉庭")</f>
        <v>蔡婉庭</v>
      </c>
      <c r="D185" s="16" t="str">
        <f>IFERROR(__xludf.DUMMYFUNCTION("""COMPUTED_VALUE"""),"tsa*****@gmail.com")</f>
        <v>tsa*****@gmail.com</v>
      </c>
      <c r="E185" s="17" t="str">
        <f>IFERROR(__xludf.DUMMYFUNCTION("""COMPUTED_VALUE"""),"輔仁大學學校財團法人基隆市輔大聖心高級中學附設國中部")</f>
        <v>輔仁大學學校財團法人基隆市輔大聖心高級中學附設國中部</v>
      </c>
      <c r="F185" s="14" t="str">
        <f>IFERROR(__xludf.DUMMYFUNCTION("""COMPUTED_VALUE"""),"九年級")</f>
        <v>九年級</v>
      </c>
      <c r="G185" s="14" t="str">
        <f>IFERROR(__xludf.DUMMYFUNCTION("""COMPUTED_VALUE"""),"獎狀")</f>
        <v>獎狀</v>
      </c>
      <c r="H185" s="8"/>
    </row>
    <row r="186">
      <c r="A186" s="18"/>
      <c r="B186" s="14">
        <f>IFERROR(__xludf.DUMMYFUNCTION("""COMPUTED_VALUE"""),545490.0)</f>
        <v>545490</v>
      </c>
      <c r="C186" s="14" t="str">
        <f>IFERROR(__xludf.DUMMYFUNCTION("""COMPUTED_VALUE"""),"謝文凱")</f>
        <v>謝文凱</v>
      </c>
      <c r="D186" s="16" t="str">
        <f>IFERROR(__xludf.DUMMYFUNCTION("""COMPUTED_VALUE"""),"wen*****e921@gmail.com")</f>
        <v>wen*****e921@gmail.com</v>
      </c>
      <c r="E186" s="17" t="str">
        <f>IFERROR(__xludf.DUMMYFUNCTION("""COMPUTED_VALUE"""),"輔仁大學學校財團法人基隆市輔大聖心高級中學附設國中部")</f>
        <v>輔仁大學學校財團法人基隆市輔大聖心高級中學附設國中部</v>
      </c>
      <c r="F186" s="14" t="str">
        <f>IFERROR(__xludf.DUMMYFUNCTION("""COMPUTED_VALUE"""),"九年級")</f>
        <v>九年級</v>
      </c>
      <c r="G186" s="14" t="str">
        <f>IFERROR(__xludf.DUMMYFUNCTION("""COMPUTED_VALUE"""),"●小禮物")</f>
        <v>●小禮物</v>
      </c>
      <c r="H186" s="8"/>
    </row>
    <row r="187">
      <c r="A187" s="18"/>
      <c r="B187" s="14">
        <f>IFERROR(__xludf.DUMMYFUNCTION("""COMPUTED_VALUE"""),545473.0)</f>
        <v>545473</v>
      </c>
      <c r="C187" s="14" t="str">
        <f>IFERROR(__xludf.DUMMYFUNCTION("""COMPUTED_VALUE"""),"王雯媗")</f>
        <v>王雯媗</v>
      </c>
      <c r="D187" s="16" t="str">
        <f>IFERROR(__xludf.DUMMYFUNCTION("""COMPUTED_VALUE"""),"030*****la@gmail.com")</f>
        <v>030*****la@gmail.com</v>
      </c>
      <c r="E187" s="17" t="str">
        <f>IFERROR(__xludf.DUMMYFUNCTION("""COMPUTED_VALUE"""),"輔仁大學學校財團法人基隆市輔大聖心高級中學附設國中部")</f>
        <v>輔仁大學學校財團法人基隆市輔大聖心高級中學附設國中部</v>
      </c>
      <c r="F187" s="14" t="str">
        <f>IFERROR(__xludf.DUMMYFUNCTION("""COMPUTED_VALUE"""),"九年級")</f>
        <v>九年級</v>
      </c>
      <c r="G187" s="14" t="str">
        <f>IFERROR(__xludf.DUMMYFUNCTION("""COMPUTED_VALUE"""),"獎狀")</f>
        <v>獎狀</v>
      </c>
      <c r="H187" s="8"/>
    </row>
    <row r="188">
      <c r="A188" s="18"/>
      <c r="B188" s="14">
        <f>IFERROR(__xludf.DUMMYFUNCTION("""COMPUTED_VALUE"""),554143.0)</f>
        <v>554143</v>
      </c>
      <c r="C188" s="14" t="str">
        <f>IFERROR(__xludf.DUMMYFUNCTION("""COMPUTED_VALUE"""),"林品亨")</f>
        <v>林品亨</v>
      </c>
      <c r="D188" s="16" t="str">
        <f>IFERROR(__xludf.DUMMYFUNCTION("""COMPUTED_VALUE"""),"leo*****18@gmail.com")</f>
        <v>leo*****18@gmail.com</v>
      </c>
      <c r="E188" s="17" t="str">
        <f>IFERROR(__xludf.DUMMYFUNCTION("""COMPUTED_VALUE"""),"輔仁大學學校財團法人基隆市輔大聖心高級中學附設國中部")</f>
        <v>輔仁大學學校財團法人基隆市輔大聖心高級中學附設國中部</v>
      </c>
      <c r="F188" s="14" t="str">
        <f>IFERROR(__xludf.DUMMYFUNCTION("""COMPUTED_VALUE"""),"九年級")</f>
        <v>九年級</v>
      </c>
      <c r="G188" s="14" t="str">
        <f>IFERROR(__xludf.DUMMYFUNCTION("""COMPUTED_VALUE"""),"獎狀")</f>
        <v>獎狀</v>
      </c>
      <c r="H188" s="8"/>
    </row>
    <row r="189">
      <c r="A189" s="18"/>
      <c r="B189" s="14">
        <f>IFERROR(__xludf.DUMMYFUNCTION("""COMPUTED_VALUE"""),545513.0)</f>
        <v>545513</v>
      </c>
      <c r="C189" s="14" t="str">
        <f>IFERROR(__xludf.DUMMYFUNCTION("""COMPUTED_VALUE"""),"王又萱")</f>
        <v>王又萱</v>
      </c>
      <c r="D189" s="16" t="str">
        <f>IFERROR(__xludf.DUMMYFUNCTION("""COMPUTED_VALUE"""),"a67*****@gmail.com")</f>
        <v>a67*****@gmail.com</v>
      </c>
      <c r="E189" s="17" t="str">
        <f>IFERROR(__xludf.DUMMYFUNCTION("""COMPUTED_VALUE"""),"輔仁大學學校財團法人基隆市輔大聖心高級中學附設國中部")</f>
        <v>輔仁大學學校財團法人基隆市輔大聖心高級中學附設國中部</v>
      </c>
      <c r="F189" s="14" t="str">
        <f>IFERROR(__xludf.DUMMYFUNCTION("""COMPUTED_VALUE"""),"九年級")</f>
        <v>九年級</v>
      </c>
      <c r="G189" s="14" t="str">
        <f>IFERROR(__xludf.DUMMYFUNCTION("""COMPUTED_VALUE"""),"●小禮物")</f>
        <v>●小禮物</v>
      </c>
      <c r="H189" s="8"/>
    </row>
    <row r="190">
      <c r="A190" s="18"/>
      <c r="B190" s="14">
        <f>IFERROR(__xludf.DUMMYFUNCTION("""COMPUTED_VALUE"""),937853.0)</f>
        <v>937853</v>
      </c>
      <c r="C190" s="14" t="str">
        <f>IFERROR(__xludf.DUMMYFUNCTION("""COMPUTED_VALUE"""),"江宜蓓")</f>
        <v>江宜蓓</v>
      </c>
      <c r="D190" s="16" t="str">
        <f>IFERROR(__xludf.DUMMYFUNCTION("""COMPUTED_VALUE"""),"pen*****1007@gmail.com")</f>
        <v>pen*****1007@gmail.com</v>
      </c>
      <c r="E190" s="17" t="str">
        <f>IFERROR(__xludf.DUMMYFUNCTION("""COMPUTED_VALUE"""),"輔仁大學學校財團法人基隆市輔大聖心高級中學附設國中部")</f>
        <v>輔仁大學學校財團法人基隆市輔大聖心高級中學附設國中部</v>
      </c>
      <c r="F190" s="14" t="str">
        <f>IFERROR(__xludf.DUMMYFUNCTION("""COMPUTED_VALUE"""),"九年級")</f>
        <v>九年級</v>
      </c>
      <c r="G190" s="14" t="str">
        <f>IFERROR(__xludf.DUMMYFUNCTION("""COMPUTED_VALUE"""),"●小禮物")</f>
        <v>●小禮物</v>
      </c>
      <c r="H190" s="8"/>
    </row>
    <row r="191">
      <c r="A191" s="18"/>
      <c r="B191" s="14">
        <f>IFERROR(__xludf.DUMMYFUNCTION("""COMPUTED_VALUE"""),545766.0)</f>
        <v>545766</v>
      </c>
      <c r="C191" s="14" t="str">
        <f>IFERROR(__xludf.DUMMYFUNCTION("""COMPUTED_VALUE"""),"林妍希")</f>
        <v>林妍希</v>
      </c>
      <c r="D191" s="16" t="str">
        <f>IFERROR(__xludf.DUMMYFUNCTION("""COMPUTED_VALUE"""),"lin*****0613@gmail.com")</f>
        <v>lin*****0613@gmail.com</v>
      </c>
      <c r="E191" s="17" t="str">
        <f>IFERROR(__xludf.DUMMYFUNCTION("""COMPUTED_VALUE"""),"輔仁大學學校財團法人基隆市輔大聖心高級中學附設國中部")</f>
        <v>輔仁大學學校財團法人基隆市輔大聖心高級中學附設國中部</v>
      </c>
      <c r="F191" s="14" t="str">
        <f>IFERROR(__xludf.DUMMYFUNCTION("""COMPUTED_VALUE"""),"九年級")</f>
        <v>九年級</v>
      </c>
      <c r="G191" s="14" t="str">
        <f>IFERROR(__xludf.DUMMYFUNCTION("""COMPUTED_VALUE"""),"●小禮物")</f>
        <v>●小禮物</v>
      </c>
      <c r="H191" s="8"/>
    </row>
    <row r="192">
      <c r="A192" s="18"/>
      <c r="B192" s="14">
        <f>IFERROR(__xludf.DUMMYFUNCTION("""COMPUTED_VALUE"""),549242.0)</f>
        <v>549242</v>
      </c>
      <c r="C192" s="14" t="str">
        <f>IFERROR(__xludf.DUMMYFUNCTION("""COMPUTED_VALUE"""),"游千澍")</f>
        <v>游千澍</v>
      </c>
      <c r="D192" s="16" t="str">
        <f>IFERROR(__xludf.DUMMYFUNCTION("""COMPUTED_VALUE"""),"tre*****09@gmail.com")</f>
        <v>tre*****09@gmail.com</v>
      </c>
      <c r="E192" s="17" t="str">
        <f>IFERROR(__xludf.DUMMYFUNCTION("""COMPUTED_VALUE"""),"輔仁大學學校財團法人基隆市輔大聖心高級中學附設國中部")</f>
        <v>輔仁大學學校財團法人基隆市輔大聖心高級中學附設國中部</v>
      </c>
      <c r="F192" s="14" t="str">
        <f>IFERROR(__xludf.DUMMYFUNCTION("""COMPUTED_VALUE"""),"九年級")</f>
        <v>九年級</v>
      </c>
      <c r="G192" s="14" t="str">
        <f>IFERROR(__xludf.DUMMYFUNCTION("""COMPUTED_VALUE"""),"●小禮物")</f>
        <v>●小禮物</v>
      </c>
      <c r="H192" s="8"/>
    </row>
    <row r="193">
      <c r="A193" s="18"/>
      <c r="B193" s="14">
        <f>IFERROR(__xludf.DUMMYFUNCTION("""COMPUTED_VALUE"""),551344.0)</f>
        <v>551344</v>
      </c>
      <c r="C193" s="14" t="str">
        <f>IFERROR(__xludf.DUMMYFUNCTION("""COMPUTED_VALUE"""),"唐至揚")</f>
        <v>唐至揚</v>
      </c>
      <c r="D193" s="16" t="str">
        <f>IFERROR(__xludf.DUMMYFUNCTION("""COMPUTED_VALUE"""),"zta*****@gmail.com")</f>
        <v>zta*****@gmail.com</v>
      </c>
      <c r="E193" s="17" t="str">
        <f>IFERROR(__xludf.DUMMYFUNCTION("""COMPUTED_VALUE"""),"輔仁大學學校財團法人基隆市輔大聖心高級中學附設國中部")</f>
        <v>輔仁大學學校財團法人基隆市輔大聖心高級中學附設國中部</v>
      </c>
      <c r="F193" s="14" t="str">
        <f>IFERROR(__xludf.DUMMYFUNCTION("""COMPUTED_VALUE"""),"九年級")</f>
        <v>九年級</v>
      </c>
      <c r="G193" s="14" t="str">
        <f>IFERROR(__xludf.DUMMYFUNCTION("""COMPUTED_VALUE"""),"獎狀")</f>
        <v>獎狀</v>
      </c>
      <c r="H193" s="8"/>
    </row>
    <row r="194">
      <c r="A194" s="18"/>
      <c r="B194" s="14">
        <f>IFERROR(__xludf.DUMMYFUNCTION("""COMPUTED_VALUE"""),545988.0)</f>
        <v>545988</v>
      </c>
      <c r="C194" s="14" t="str">
        <f>IFERROR(__xludf.DUMMYFUNCTION("""COMPUTED_VALUE"""),"孫沁誼")</f>
        <v>孫沁誼</v>
      </c>
      <c r="D194" s="16" t="str">
        <f>IFERROR(__xludf.DUMMYFUNCTION("""COMPUTED_VALUE"""),"che*****080507@gmail.com")</f>
        <v>che*****080507@gmail.com</v>
      </c>
      <c r="E194" s="17" t="str">
        <f>IFERROR(__xludf.DUMMYFUNCTION("""COMPUTED_VALUE"""),"輔仁大學學校財團法人基隆市輔大聖心高級中學附設國中部")</f>
        <v>輔仁大學學校財團法人基隆市輔大聖心高級中學附設國中部</v>
      </c>
      <c r="F194" s="14" t="str">
        <f>IFERROR(__xludf.DUMMYFUNCTION("""COMPUTED_VALUE"""),"九年級")</f>
        <v>九年級</v>
      </c>
      <c r="G194" s="14" t="str">
        <f>IFERROR(__xludf.DUMMYFUNCTION("""COMPUTED_VALUE"""),"獎狀")</f>
        <v>獎狀</v>
      </c>
      <c r="H194" s="8"/>
    </row>
    <row r="195">
      <c r="A195" s="18"/>
      <c r="B195" s="14">
        <f>IFERROR(__xludf.DUMMYFUNCTION("""COMPUTED_VALUE"""),542438.0)</f>
        <v>542438</v>
      </c>
      <c r="C195" s="14" t="str">
        <f>IFERROR(__xludf.DUMMYFUNCTION("""COMPUTED_VALUE"""),"魏妤宸")</f>
        <v>魏妤宸</v>
      </c>
      <c r="D195" s="16" t="str">
        <f>IFERROR(__xludf.DUMMYFUNCTION("""COMPUTED_VALUE"""),"mar*****ei0223@gmail.com")</f>
        <v>mar*****ei0223@gmail.com</v>
      </c>
      <c r="E195" s="17" t="str">
        <f>IFERROR(__xludf.DUMMYFUNCTION("""COMPUTED_VALUE"""),"輔仁大學學校財團法人基隆市輔大聖心高級中學附設國中部")</f>
        <v>輔仁大學學校財團法人基隆市輔大聖心高級中學附設國中部</v>
      </c>
      <c r="F195" s="14" t="str">
        <f>IFERROR(__xludf.DUMMYFUNCTION("""COMPUTED_VALUE"""),"九年級")</f>
        <v>九年級</v>
      </c>
      <c r="G195" s="14" t="str">
        <f>IFERROR(__xludf.DUMMYFUNCTION("""COMPUTED_VALUE"""),"獎狀")</f>
        <v>獎狀</v>
      </c>
      <c r="H195" s="8"/>
    </row>
    <row r="196">
      <c r="A196" s="18"/>
      <c r="B196" s="14">
        <f>IFERROR(__xludf.DUMMYFUNCTION("""COMPUTED_VALUE"""),1149605.0)</f>
        <v>1149605</v>
      </c>
      <c r="C196" s="14" t="str">
        <f>IFERROR(__xludf.DUMMYFUNCTION("""COMPUTED_VALUE"""),"張晉芳")</f>
        <v>張晉芳</v>
      </c>
      <c r="D196" s="16" t="str">
        <f>IFERROR(__xludf.DUMMYFUNCTION("""COMPUTED_VALUE"""),"111*****aljh.kl.edu.tw")</f>
        <v>111*****aljh.kl.edu.tw</v>
      </c>
      <c r="E196" s="17" t="str">
        <f>IFERROR(__xludf.DUMMYFUNCTION("""COMPUTED_VALUE"""),"基隆市立安樂高級中學附設國中部")</f>
        <v>基隆市立安樂高級中學附設國中部</v>
      </c>
      <c r="F196" s="14" t="str">
        <f>IFERROR(__xludf.DUMMYFUNCTION("""COMPUTED_VALUE"""),"七年級")</f>
        <v>七年級</v>
      </c>
      <c r="G196" s="14" t="str">
        <f>IFERROR(__xludf.DUMMYFUNCTION("""COMPUTED_VALUE"""),"獎狀")</f>
        <v>獎狀</v>
      </c>
      <c r="H196" s="8"/>
    </row>
    <row r="197">
      <c r="A197" s="18"/>
      <c r="B197" s="14">
        <f>IFERROR(__xludf.DUMMYFUNCTION("""COMPUTED_VALUE"""),1213759.0)</f>
        <v>1213759</v>
      </c>
      <c r="C197" s="14" t="str">
        <f>IFERROR(__xludf.DUMMYFUNCTION("""COMPUTED_VALUE"""),"林怡君")</f>
        <v>林怡君</v>
      </c>
      <c r="D197" s="16" t="str">
        <f>IFERROR(__xludf.DUMMYFUNCTION("""COMPUTED_VALUE"""),"se8*****m.kl.edu.tw")</f>
        <v>se8*****m.kl.edu.tw</v>
      </c>
      <c r="E197" s="17" t="str">
        <f>IFERROR(__xludf.DUMMYFUNCTION("""COMPUTED_VALUE"""),"基隆市立武崙國民中學")</f>
        <v>基隆市立武崙國民中學</v>
      </c>
      <c r="F197" s="14" t="str">
        <f>IFERROR(__xludf.DUMMYFUNCTION("""COMPUTED_VALUE"""),"七年級")</f>
        <v>七年級</v>
      </c>
      <c r="G197" s="14" t="str">
        <f>IFERROR(__xludf.DUMMYFUNCTION("""COMPUTED_VALUE"""),"●小禮物")</f>
        <v>●小禮物</v>
      </c>
      <c r="H197" s="8"/>
    </row>
    <row r="198">
      <c r="A198" s="18"/>
      <c r="B198" s="14">
        <f>IFERROR(__xludf.DUMMYFUNCTION("""COMPUTED_VALUE"""),225485.0)</f>
        <v>225485</v>
      </c>
      <c r="C198" s="14" t="str">
        <f>IFERROR(__xludf.DUMMYFUNCTION("""COMPUTED_VALUE"""),"李智皓")</f>
        <v>李智皓</v>
      </c>
      <c r="D198" s="16" t="str">
        <f>IFERROR(__xludf.DUMMYFUNCTION("""COMPUTED_VALUE"""),"sd5*****ail.edu.tw")</f>
        <v>sd5*****ail.edu.tw</v>
      </c>
      <c r="E198" s="17" t="str">
        <f>IFERROR(__xludf.DUMMYFUNCTION("""COMPUTED_VALUE"""),"基隆市立武崙國民中學")</f>
        <v>基隆市立武崙國民中學</v>
      </c>
      <c r="F198" s="14" t="str">
        <f>IFERROR(__xludf.DUMMYFUNCTION("""COMPUTED_VALUE"""),"八年級")</f>
        <v>八年級</v>
      </c>
      <c r="G198" s="14" t="str">
        <f>IFERROR(__xludf.DUMMYFUNCTION("""COMPUTED_VALUE"""),"獎狀")</f>
        <v>獎狀</v>
      </c>
      <c r="H198" s="8"/>
    </row>
    <row r="199">
      <c r="A199" s="18"/>
      <c r="B199" s="14">
        <f>IFERROR(__xludf.DUMMYFUNCTION("""COMPUTED_VALUE"""),429350.0)</f>
        <v>429350</v>
      </c>
      <c r="C199" s="14" t="str">
        <f>IFERROR(__xludf.DUMMYFUNCTION("""COMPUTED_VALUE"""),"郭品妤")</f>
        <v>郭品妤</v>
      </c>
      <c r="D199" s="16" t="str">
        <f>IFERROR(__xludf.DUMMYFUNCTION("""COMPUTED_VALUE"""),"win*****052008@gmail.com")</f>
        <v>win*****052008@gmail.com</v>
      </c>
      <c r="E199" s="17" t="str">
        <f>IFERROR(__xludf.DUMMYFUNCTION("""COMPUTED_VALUE"""),"連江縣立中正國民中小學國中部")</f>
        <v>連江縣立中正國民中小學國中部</v>
      </c>
      <c r="F199" s="14" t="str">
        <f>IFERROR(__xludf.DUMMYFUNCTION("""COMPUTED_VALUE"""),"九年級")</f>
        <v>九年級</v>
      </c>
      <c r="G199" s="14" t="str">
        <f>IFERROR(__xludf.DUMMYFUNCTION("""COMPUTED_VALUE"""),"●小禮物")</f>
        <v>●小禮物</v>
      </c>
      <c r="H199" s="8"/>
    </row>
    <row r="200">
      <c r="A200" s="18"/>
      <c r="B200" s="14">
        <f>IFERROR(__xludf.DUMMYFUNCTION("""COMPUTED_VALUE"""),1116794.0)</f>
        <v>1116794</v>
      </c>
      <c r="C200" s="14" t="str">
        <f>IFERROR(__xludf.DUMMYFUNCTION("""COMPUTED_VALUE"""),"王宜茹")</f>
        <v>王宜茹</v>
      </c>
      <c r="D200" s="16" t="str">
        <f>IFERROR(__xludf.DUMMYFUNCTION("""COMPUTED_VALUE"""),"st5*****mail.edu.tw")</f>
        <v>st5*****mail.edu.tw</v>
      </c>
      <c r="E200" s="17" t="str">
        <f>IFERROR(__xludf.DUMMYFUNCTION("""COMPUTED_VALUE"""),"新北市立溪崑國民中學")</f>
        <v>新北市立溪崑國民中學</v>
      </c>
      <c r="F200" s="14" t="str">
        <f>IFERROR(__xludf.DUMMYFUNCTION("""COMPUTED_VALUE"""),"八年級")</f>
        <v>八年級</v>
      </c>
      <c r="G200" s="14" t="str">
        <f>IFERROR(__xludf.DUMMYFUNCTION("""COMPUTED_VALUE"""),"獎狀")</f>
        <v>獎狀</v>
      </c>
      <c r="H200" s="8"/>
    </row>
    <row r="201">
      <c r="A201" s="18"/>
      <c r="B201" s="14">
        <f>IFERROR(__xludf.DUMMYFUNCTION("""COMPUTED_VALUE"""),64018.0)</f>
        <v>64018</v>
      </c>
      <c r="C201" s="14" t="str">
        <f>IFERROR(__xludf.DUMMYFUNCTION("""COMPUTED_VALUE"""),"林品丞")</f>
        <v>林品丞</v>
      </c>
      <c r="D201" s="16" t="str">
        <f>IFERROR(__xludf.DUMMYFUNCTION("""COMPUTED_VALUE"""),"ivy*****0@gmail.com")</f>
        <v>ivy*****0@gmail.com</v>
      </c>
      <c r="E201" s="17" t="str">
        <f>IFERROR(__xludf.DUMMYFUNCTION("""COMPUTED_VALUE"""),"新北市立溪崑國民中學")</f>
        <v>新北市立溪崑國民中學</v>
      </c>
      <c r="F201" s="14" t="str">
        <f>IFERROR(__xludf.DUMMYFUNCTION("""COMPUTED_VALUE"""),"八年級")</f>
        <v>八年級</v>
      </c>
      <c r="G201" s="14" t="str">
        <f>IFERROR(__xludf.DUMMYFUNCTION("""COMPUTED_VALUE"""),"●小禮物")</f>
        <v>●小禮物</v>
      </c>
      <c r="H201" s="8"/>
    </row>
    <row r="202">
      <c r="A202" s="18"/>
      <c r="B202" s="14">
        <f>IFERROR(__xludf.DUMMYFUNCTION("""COMPUTED_VALUE"""),88034.0)</f>
        <v>88034</v>
      </c>
      <c r="C202" s="14" t="str">
        <f>IFERROR(__xludf.DUMMYFUNCTION("""COMPUTED_VALUE"""),"項海")</f>
        <v>項海</v>
      </c>
      <c r="D202" s="16" t="str">
        <f>IFERROR(__xludf.DUMMYFUNCTION("""COMPUTED_VALUE"""),"xav*****iang@gmail.com")</f>
        <v>xav*****iang@gmail.com</v>
      </c>
      <c r="E202" s="17" t="str">
        <f>IFERROR(__xludf.DUMMYFUNCTION("""COMPUTED_VALUE"""),"新北市立溪崑國民中學")</f>
        <v>新北市立溪崑國民中學</v>
      </c>
      <c r="F202" s="14" t="str">
        <f>IFERROR(__xludf.DUMMYFUNCTION("""COMPUTED_VALUE"""),"九年級")</f>
        <v>九年級</v>
      </c>
      <c r="G202" s="14" t="str">
        <f>IFERROR(__xludf.DUMMYFUNCTION("""COMPUTED_VALUE"""),"●小禮物")</f>
        <v>●小禮物</v>
      </c>
      <c r="H202" s="8"/>
    </row>
    <row r="203">
      <c r="A203" s="18"/>
      <c r="B203" s="14">
        <f>IFERROR(__xludf.DUMMYFUNCTION("""COMPUTED_VALUE"""),1015796.0)</f>
        <v>1015796</v>
      </c>
      <c r="C203" s="14" t="str">
        <f>IFERROR(__xludf.DUMMYFUNCTION("""COMPUTED_VALUE"""),"陳沛筠")</f>
        <v>陳沛筠</v>
      </c>
      <c r="D203" s="16" t="str">
        <f>IFERROR(__xludf.DUMMYFUNCTION("""COMPUTED_VALUE"""),"s95*****mail.ckjhs.ntpc.edu.tw")</f>
        <v>s95*****mail.ckjhs.ntpc.edu.tw</v>
      </c>
      <c r="E203" s="17" t="str">
        <f>IFERROR(__xludf.DUMMYFUNCTION("""COMPUTED_VALUE"""),"新北市立溪崑國民中學")</f>
        <v>新北市立溪崑國民中學</v>
      </c>
      <c r="F203" s="14" t="str">
        <f>IFERROR(__xludf.DUMMYFUNCTION("""COMPUTED_VALUE"""),"九年級")</f>
        <v>九年級</v>
      </c>
      <c r="G203" s="14" t="str">
        <f>IFERROR(__xludf.DUMMYFUNCTION("""COMPUTED_VALUE"""),"●小禮物")</f>
        <v>●小禮物</v>
      </c>
      <c r="H203" s="8"/>
    </row>
    <row r="204">
      <c r="A204" s="18"/>
      <c r="B204" s="14">
        <f>IFERROR(__xludf.DUMMYFUNCTION("""COMPUTED_VALUE"""),608301.0)</f>
        <v>608301</v>
      </c>
      <c r="C204" s="14" t="str">
        <f>IFERROR(__xludf.DUMMYFUNCTION("""COMPUTED_VALUE"""),"林宜蓁")</f>
        <v>林宜蓁</v>
      </c>
      <c r="D204" s="16" t="str">
        <f>IFERROR(__xludf.DUMMYFUNCTION("""COMPUTED_VALUE"""),"hap*****lin0203@gmail.com")</f>
        <v>hap*****lin0203@gmail.com</v>
      </c>
      <c r="E204" s="17" t="str">
        <f>IFERROR(__xludf.DUMMYFUNCTION("""COMPUTED_VALUE"""),"天主教光仁學校財團法人新北市光仁高級中學附設國中部")</f>
        <v>天主教光仁學校財團法人新北市光仁高級中學附設國中部</v>
      </c>
      <c r="F204" s="14" t="str">
        <f>IFERROR(__xludf.DUMMYFUNCTION("""COMPUTED_VALUE"""),"九年級")</f>
        <v>九年級</v>
      </c>
      <c r="G204" s="14" t="str">
        <f>IFERROR(__xludf.DUMMYFUNCTION("""COMPUTED_VALUE"""),"★禮券$500")</f>
        <v>★禮券$500</v>
      </c>
      <c r="H204" s="8"/>
    </row>
    <row r="205">
      <c r="A205" s="18"/>
      <c r="B205" s="14">
        <f>IFERROR(__xludf.DUMMYFUNCTION("""COMPUTED_VALUE"""),1120671.0)</f>
        <v>1120671</v>
      </c>
      <c r="C205" s="14" t="str">
        <f>IFERROR(__xludf.DUMMYFUNCTION("""COMPUTED_VALUE"""),"朱昱晴")</f>
        <v>朱昱晴</v>
      </c>
      <c r="D205" s="16" t="str">
        <f>IFERROR(__xludf.DUMMYFUNCTION("""COMPUTED_VALUE"""),"wdp*****47@apps.ntpc.edu.tw")</f>
        <v>wdp*****47@apps.ntpc.edu.tw</v>
      </c>
      <c r="E205" s="17" t="str">
        <f>IFERROR(__xludf.DUMMYFUNCTION("""COMPUTED_VALUE"""),"新北市立板橋國民中學")</f>
        <v>新北市立板橋國民中學</v>
      </c>
      <c r="F205" s="14" t="str">
        <f>IFERROR(__xludf.DUMMYFUNCTION("""COMPUTED_VALUE"""),"八年級")</f>
        <v>八年級</v>
      </c>
      <c r="G205" s="14" t="str">
        <f>IFERROR(__xludf.DUMMYFUNCTION("""COMPUTED_VALUE"""),"●小禮物")</f>
        <v>●小禮物</v>
      </c>
      <c r="H205" s="8"/>
    </row>
    <row r="206">
      <c r="A206" s="18"/>
      <c r="B206" s="14">
        <f>IFERROR(__xludf.DUMMYFUNCTION("""COMPUTED_VALUE"""),278615.0)</f>
        <v>278615</v>
      </c>
      <c r="C206" s="14" t="str">
        <f>IFERROR(__xludf.DUMMYFUNCTION("""COMPUTED_VALUE"""),"游雅媜")</f>
        <v>游雅媜</v>
      </c>
      <c r="D206" s="16" t="str">
        <f>IFERROR(__xludf.DUMMYFUNCTION("""COMPUTED_VALUE"""),"s04*****ntpc@mail.edu.tw")</f>
        <v>s04*****ntpc@mail.edu.tw</v>
      </c>
      <c r="E206" s="17" t="str">
        <f>IFERROR(__xludf.DUMMYFUNCTION("""COMPUTED_VALUE"""),"新北市立江翠國民中學")</f>
        <v>新北市立江翠國民中學</v>
      </c>
      <c r="F206" s="14" t="str">
        <f>IFERROR(__xludf.DUMMYFUNCTION("""COMPUTED_VALUE"""),"八年級")</f>
        <v>八年級</v>
      </c>
      <c r="G206" s="14" t="str">
        <f>IFERROR(__xludf.DUMMYFUNCTION("""COMPUTED_VALUE"""),"●小禮物")</f>
        <v>●小禮物</v>
      </c>
      <c r="H206" s="8"/>
    </row>
    <row r="207">
      <c r="A207" s="18"/>
      <c r="B207" s="14">
        <f>IFERROR(__xludf.DUMMYFUNCTION("""COMPUTED_VALUE"""),1199034.0)</f>
        <v>1199034</v>
      </c>
      <c r="C207" s="14" t="str">
        <f>IFERROR(__xludf.DUMMYFUNCTION("""COMPUTED_VALUE"""),"胡哲菖")</f>
        <v>胡哲菖</v>
      </c>
      <c r="D207" s="16" t="str">
        <f>IFERROR(__xludf.DUMMYFUNCTION("""COMPUTED_VALUE"""),"f10*****apps.ntpc.edu.tw")</f>
        <v>f10*****apps.ntpc.edu.tw</v>
      </c>
      <c r="E207" s="17" t="str">
        <f>IFERROR(__xludf.DUMMYFUNCTION("""COMPUTED_VALUE"""),"新北市立新埔國民中學")</f>
        <v>新北市立新埔國民中學</v>
      </c>
      <c r="F207" s="14" t="str">
        <f>IFERROR(__xludf.DUMMYFUNCTION("""COMPUTED_VALUE"""),"八年級")</f>
        <v>八年級</v>
      </c>
      <c r="G207" s="14" t="str">
        <f>IFERROR(__xludf.DUMMYFUNCTION("""COMPUTED_VALUE"""),"★禮券$500")</f>
        <v>★禮券$500</v>
      </c>
      <c r="H207" s="8"/>
    </row>
    <row r="208">
      <c r="A208" s="18"/>
      <c r="B208" s="14">
        <f>IFERROR(__xludf.DUMMYFUNCTION("""COMPUTED_VALUE"""),735646.0)</f>
        <v>735646</v>
      </c>
      <c r="C208" s="14" t="str">
        <f>IFERROR(__xludf.DUMMYFUNCTION("""COMPUTED_VALUE"""),"林丞婕")</f>
        <v>林丞婕</v>
      </c>
      <c r="D208" s="16" t="str">
        <f>IFERROR(__xludf.DUMMYFUNCTION("""COMPUTED_VALUE"""),"hsp*****5@gmail.com")</f>
        <v>hsp*****5@gmail.com</v>
      </c>
      <c r="E208" s="17" t="str">
        <f>IFERROR(__xludf.DUMMYFUNCTION("""COMPUTED_VALUE"""),"新北市立海山高級中學附設國中部")</f>
        <v>新北市立海山高級中學附設國中部</v>
      </c>
      <c r="F208" s="14" t="str">
        <f>IFERROR(__xludf.DUMMYFUNCTION("""COMPUTED_VALUE"""),"七年級")</f>
        <v>七年級</v>
      </c>
      <c r="G208" s="14" t="str">
        <f>IFERROR(__xludf.DUMMYFUNCTION("""COMPUTED_VALUE"""),"獎狀")</f>
        <v>獎狀</v>
      </c>
      <c r="H208" s="8"/>
    </row>
    <row r="209">
      <c r="A209" s="18"/>
      <c r="B209" s="14">
        <f>IFERROR(__xludf.DUMMYFUNCTION("""COMPUTED_VALUE"""),861449.0)</f>
        <v>861449</v>
      </c>
      <c r="C209" s="14" t="str">
        <f>IFERROR(__xludf.DUMMYFUNCTION("""COMPUTED_VALUE"""),"呂思橙")</f>
        <v>呂思橙</v>
      </c>
      <c r="D209" s="16" t="str">
        <f>IFERROR(__xludf.DUMMYFUNCTION("""COMPUTED_VALUE"""),"mel*****98@mail.edu.tw")</f>
        <v>mel*****98@mail.edu.tw</v>
      </c>
      <c r="E209" s="17" t="str">
        <f>IFERROR(__xludf.DUMMYFUNCTION("""COMPUTED_VALUE"""),"新北市立秀峰高級中學附設國中部")</f>
        <v>新北市立秀峰高級中學附設國中部</v>
      </c>
      <c r="F209" s="14" t="str">
        <f>IFERROR(__xludf.DUMMYFUNCTION("""COMPUTED_VALUE"""),"八年級")</f>
        <v>八年級</v>
      </c>
      <c r="G209" s="14" t="str">
        <f>IFERROR(__xludf.DUMMYFUNCTION("""COMPUTED_VALUE"""),"獎狀")</f>
        <v>獎狀</v>
      </c>
      <c r="H209" s="8"/>
    </row>
    <row r="210">
      <c r="A210" s="18"/>
      <c r="B210" s="14">
        <f>IFERROR(__xludf.DUMMYFUNCTION("""COMPUTED_VALUE"""),112141.0)</f>
        <v>112141</v>
      </c>
      <c r="C210" s="14" t="str">
        <f>IFERROR(__xludf.DUMMYFUNCTION("""COMPUTED_VALUE"""),"梁羽宸")</f>
        <v>梁羽宸</v>
      </c>
      <c r="D210" s="16" t="str">
        <f>IFERROR(__xludf.DUMMYFUNCTION("""COMPUTED_VALUE"""),"s10*****apps.ntpc.edu.tw")</f>
        <v>s10*****apps.ntpc.edu.tw</v>
      </c>
      <c r="E210" s="17" t="str">
        <f>IFERROR(__xludf.DUMMYFUNCTION("""COMPUTED_VALUE"""),"新北市立秀峰高級中學附設國中部")</f>
        <v>新北市立秀峰高級中學附設國中部</v>
      </c>
      <c r="F210" s="14" t="str">
        <f>IFERROR(__xludf.DUMMYFUNCTION("""COMPUTED_VALUE"""),"八年級")</f>
        <v>八年級</v>
      </c>
      <c r="G210" s="14" t="str">
        <f>IFERROR(__xludf.DUMMYFUNCTION("""COMPUTED_VALUE"""),"獎狀")</f>
        <v>獎狀</v>
      </c>
      <c r="H210" s="8"/>
    </row>
    <row r="211">
      <c r="A211" s="18"/>
      <c r="B211" s="14">
        <f>IFERROR(__xludf.DUMMYFUNCTION("""COMPUTED_VALUE"""),936253.0)</f>
        <v>936253</v>
      </c>
      <c r="C211" s="14" t="str">
        <f>IFERROR(__xludf.DUMMYFUNCTION("""COMPUTED_VALUE"""),"吳兆崴")</f>
        <v>吳兆崴</v>
      </c>
      <c r="D211" s="16" t="str">
        <f>IFERROR(__xludf.DUMMYFUNCTION("""COMPUTED_VALUE"""),"fra*****8@apps.ntpc.edu.tw")</f>
        <v>fra*****8@apps.ntpc.edu.tw</v>
      </c>
      <c r="E211" s="17" t="str">
        <f>IFERROR(__xludf.DUMMYFUNCTION("""COMPUTED_VALUE"""),"新北市立秀峰高級中學附設國中部")</f>
        <v>新北市立秀峰高級中學附設國中部</v>
      </c>
      <c r="F211" s="14" t="str">
        <f>IFERROR(__xludf.DUMMYFUNCTION("""COMPUTED_VALUE"""),"九年級")</f>
        <v>九年級</v>
      </c>
      <c r="G211" s="14" t="str">
        <f>IFERROR(__xludf.DUMMYFUNCTION("""COMPUTED_VALUE"""),"獎狀")</f>
        <v>獎狀</v>
      </c>
      <c r="H211" s="8"/>
    </row>
    <row r="212">
      <c r="A212" s="18"/>
      <c r="B212" s="14">
        <f>IFERROR(__xludf.DUMMYFUNCTION("""COMPUTED_VALUE"""),1163356.0)</f>
        <v>1163356</v>
      </c>
      <c r="C212" s="14" t="str">
        <f>IFERROR(__xludf.DUMMYFUNCTION("""COMPUTED_VALUE"""),"翁定榆")</f>
        <v>翁定榆</v>
      </c>
      <c r="D212" s="16" t="str">
        <f>IFERROR(__xludf.DUMMYFUNCTION("""COMPUTED_VALUE"""),"roc*****44.ntpc@mail.edu.tw")</f>
        <v>roc*****44.ntpc@mail.edu.tw</v>
      </c>
      <c r="E212" s="17" t="str">
        <f>IFERROR(__xludf.DUMMYFUNCTION("""COMPUTED_VALUE"""),"新北市立文山國民中學")</f>
        <v>新北市立文山國民中學</v>
      </c>
      <c r="F212" s="14" t="str">
        <f>IFERROR(__xludf.DUMMYFUNCTION("""COMPUTED_VALUE"""),"七年級")</f>
        <v>七年級</v>
      </c>
      <c r="G212" s="14" t="str">
        <f>IFERROR(__xludf.DUMMYFUNCTION("""COMPUTED_VALUE"""),"獎狀")</f>
        <v>獎狀</v>
      </c>
      <c r="H212" s="8"/>
    </row>
    <row r="213">
      <c r="A213" s="18"/>
      <c r="B213" s="14">
        <f>IFERROR(__xludf.DUMMYFUNCTION("""COMPUTED_VALUE"""),677647.0)</f>
        <v>677647</v>
      </c>
      <c r="C213" s="14" t="str">
        <f>IFERROR(__xludf.DUMMYFUNCTION("""COMPUTED_VALUE"""),"周昀臻")</f>
        <v>周昀臻</v>
      </c>
      <c r="D213" s="16" t="str">
        <f>IFERROR(__xludf.DUMMYFUNCTION("""COMPUTED_VALUE"""),"j42*****pc@mail.edu.tw")</f>
        <v>j42*****pc@mail.edu.tw</v>
      </c>
      <c r="E213" s="17" t="str">
        <f>IFERROR(__xludf.DUMMYFUNCTION("""COMPUTED_VALUE"""),"新北市立文山國民中學")</f>
        <v>新北市立文山國民中學</v>
      </c>
      <c r="F213" s="14" t="str">
        <f>IFERROR(__xludf.DUMMYFUNCTION("""COMPUTED_VALUE"""),"七年級")</f>
        <v>七年級</v>
      </c>
      <c r="G213" s="14" t="str">
        <f>IFERROR(__xludf.DUMMYFUNCTION("""COMPUTED_VALUE"""),"獎狀")</f>
        <v>獎狀</v>
      </c>
      <c r="H213" s="8"/>
    </row>
    <row r="214">
      <c r="A214" s="18"/>
      <c r="B214" s="14">
        <f>IFERROR(__xludf.DUMMYFUNCTION("""COMPUTED_VALUE"""),802062.0)</f>
        <v>802062</v>
      </c>
      <c r="C214" s="14" t="str">
        <f>IFERROR(__xludf.DUMMYFUNCTION("""COMPUTED_VALUE"""),"吳詩云")</f>
        <v>吳詩云</v>
      </c>
      <c r="D214" s="16" t="str">
        <f>IFERROR(__xludf.DUMMYFUNCTION("""COMPUTED_VALUE"""),"xde*****66.ntpc@mail.edu.tw")</f>
        <v>xde*****66.ntpc@mail.edu.tw</v>
      </c>
      <c r="E214" s="17" t="str">
        <f>IFERROR(__xludf.DUMMYFUNCTION("""COMPUTED_VALUE"""),"新北市立文山國民中學")</f>
        <v>新北市立文山國民中學</v>
      </c>
      <c r="F214" s="14" t="str">
        <f>IFERROR(__xludf.DUMMYFUNCTION("""COMPUTED_VALUE"""),"七年級")</f>
        <v>七年級</v>
      </c>
      <c r="G214" s="14" t="str">
        <f>IFERROR(__xludf.DUMMYFUNCTION("""COMPUTED_VALUE"""),"獎狀")</f>
        <v>獎狀</v>
      </c>
      <c r="H214" s="8"/>
    </row>
    <row r="215">
      <c r="A215" s="18"/>
      <c r="B215" s="14">
        <f>IFERROR(__xludf.DUMMYFUNCTION("""COMPUTED_VALUE"""),320163.0)</f>
        <v>320163</v>
      </c>
      <c r="C215" s="14" t="str">
        <f>IFERROR(__xludf.DUMMYFUNCTION("""COMPUTED_VALUE"""),"王新焱")</f>
        <v>王新焱</v>
      </c>
      <c r="D215" s="16" t="str">
        <f>IFERROR(__xludf.DUMMYFUNCTION("""COMPUTED_VALUE"""),"xde*****25.ntpc@mail.edu.tw")</f>
        <v>xde*****25.ntpc@mail.edu.tw</v>
      </c>
      <c r="E215" s="17" t="str">
        <f>IFERROR(__xludf.DUMMYFUNCTION("""COMPUTED_VALUE"""),"新北市立文山國民中學")</f>
        <v>新北市立文山國民中學</v>
      </c>
      <c r="F215" s="14" t="str">
        <f>IFERROR(__xludf.DUMMYFUNCTION("""COMPUTED_VALUE"""),"七年級")</f>
        <v>七年級</v>
      </c>
      <c r="G215" s="14" t="str">
        <f>IFERROR(__xludf.DUMMYFUNCTION("""COMPUTED_VALUE"""),"●小禮物")</f>
        <v>●小禮物</v>
      </c>
      <c r="H215" s="8"/>
    </row>
    <row r="216">
      <c r="A216" s="18"/>
      <c r="B216" s="14">
        <f>IFERROR(__xludf.DUMMYFUNCTION("""COMPUTED_VALUE"""),1163117.0)</f>
        <v>1163117</v>
      </c>
      <c r="C216" s="14" t="str">
        <f>IFERROR(__xludf.DUMMYFUNCTION("""COMPUTED_VALUE"""),"范雅晰")</f>
        <v>范雅晰</v>
      </c>
      <c r="D216" s="16" t="str">
        <f>IFERROR(__xludf.DUMMYFUNCTION("""COMPUTED_VALUE"""),"cin*****402.ntpc@mail.edu.tw")</f>
        <v>cin*****402.ntpc@mail.edu.tw</v>
      </c>
      <c r="E216" s="17" t="str">
        <f>IFERROR(__xludf.DUMMYFUNCTION("""COMPUTED_VALUE"""),"新北市立文山國民中學")</f>
        <v>新北市立文山國民中學</v>
      </c>
      <c r="F216" s="14" t="str">
        <f>IFERROR(__xludf.DUMMYFUNCTION("""COMPUTED_VALUE"""),"七年級")</f>
        <v>七年級</v>
      </c>
      <c r="G216" s="14" t="str">
        <f>IFERROR(__xludf.DUMMYFUNCTION("""COMPUTED_VALUE"""),"●小禮物")</f>
        <v>●小禮物</v>
      </c>
      <c r="H216" s="8"/>
    </row>
    <row r="217">
      <c r="A217" s="18"/>
      <c r="B217" s="14">
        <f>IFERROR(__xludf.DUMMYFUNCTION("""COMPUTED_VALUE"""),563530.0)</f>
        <v>563530</v>
      </c>
      <c r="C217" s="14" t="str">
        <f>IFERROR(__xludf.DUMMYFUNCTION("""COMPUTED_VALUE"""),"鄭竣文")</f>
        <v>鄭竣文</v>
      </c>
      <c r="D217" s="16" t="str">
        <f>IFERROR(__xludf.DUMMYFUNCTION("""COMPUTED_VALUE"""),"jav*****pc@mail.edu.tw")</f>
        <v>jav*****pc@mail.edu.tw</v>
      </c>
      <c r="E217" s="17" t="str">
        <f>IFERROR(__xludf.DUMMYFUNCTION("""COMPUTED_VALUE"""),"新北市立文山國民中學")</f>
        <v>新北市立文山國民中學</v>
      </c>
      <c r="F217" s="14" t="str">
        <f>IFERROR(__xludf.DUMMYFUNCTION("""COMPUTED_VALUE"""),"七年級")</f>
        <v>七年級</v>
      </c>
      <c r="G217" s="14" t="str">
        <f>IFERROR(__xludf.DUMMYFUNCTION("""COMPUTED_VALUE"""),"●小禮物")</f>
        <v>●小禮物</v>
      </c>
      <c r="H217" s="8"/>
    </row>
    <row r="218">
      <c r="A218" s="18"/>
      <c r="B218" s="14">
        <f>IFERROR(__xludf.DUMMYFUNCTION("""COMPUTED_VALUE"""),1163120.0)</f>
        <v>1163120</v>
      </c>
      <c r="C218" s="14" t="str">
        <f>IFERROR(__xludf.DUMMYFUNCTION("""COMPUTED_VALUE"""),"彭筱晏")</f>
        <v>彭筱晏</v>
      </c>
      <c r="D218" s="16" t="str">
        <f>IFERROR(__xludf.DUMMYFUNCTION("""COMPUTED_VALUE"""),"emm*****20.ntpc@mail.edu.tw")</f>
        <v>emm*****20.ntpc@mail.edu.tw</v>
      </c>
      <c r="E218" s="17" t="str">
        <f>IFERROR(__xludf.DUMMYFUNCTION("""COMPUTED_VALUE"""),"新北市立文山國民中學")</f>
        <v>新北市立文山國民中學</v>
      </c>
      <c r="F218" s="14" t="str">
        <f>IFERROR(__xludf.DUMMYFUNCTION("""COMPUTED_VALUE"""),"七年級")</f>
        <v>七年級</v>
      </c>
      <c r="G218" s="14" t="str">
        <f>IFERROR(__xludf.DUMMYFUNCTION("""COMPUTED_VALUE"""),"●小禮物")</f>
        <v>●小禮物</v>
      </c>
      <c r="H218" s="8"/>
    </row>
    <row r="219">
      <c r="A219" s="18"/>
      <c r="B219" s="14">
        <f>IFERROR(__xludf.DUMMYFUNCTION("""COMPUTED_VALUE"""),404394.0)</f>
        <v>404394</v>
      </c>
      <c r="C219" s="14" t="str">
        <f>IFERROR(__xludf.DUMMYFUNCTION("""COMPUTED_VALUE"""),"王于城")</f>
        <v>王于城</v>
      </c>
      <c r="D219" s="16" t="str">
        <f>IFERROR(__xludf.DUMMYFUNCTION("""COMPUTED_VALUE"""),"f09*****580.ntpc@mail.edu.tw")</f>
        <v>f09*****580.ntpc@mail.edu.tw</v>
      </c>
      <c r="E219" s="17" t="str">
        <f>IFERROR(__xludf.DUMMYFUNCTION("""COMPUTED_VALUE"""),"新北市立文山國民中學")</f>
        <v>新北市立文山國民中學</v>
      </c>
      <c r="F219" s="14" t="str">
        <f>IFERROR(__xludf.DUMMYFUNCTION("""COMPUTED_VALUE"""),"七年級")</f>
        <v>七年級</v>
      </c>
      <c r="G219" s="14" t="str">
        <f>IFERROR(__xludf.DUMMYFUNCTION("""COMPUTED_VALUE"""),"●小禮物")</f>
        <v>●小禮物</v>
      </c>
      <c r="H219" s="8"/>
    </row>
    <row r="220">
      <c r="A220" s="18"/>
      <c r="B220" s="14">
        <f>IFERROR(__xludf.DUMMYFUNCTION("""COMPUTED_VALUE"""),802063.0)</f>
        <v>802063</v>
      </c>
      <c r="C220" s="14" t="str">
        <f>IFERROR(__xludf.DUMMYFUNCTION("""COMPUTED_VALUE"""),"周依均")</f>
        <v>周依均</v>
      </c>
      <c r="D220" s="16" t="str">
        <f>IFERROR(__xludf.DUMMYFUNCTION("""COMPUTED_VALUE"""),"xde*****68.ntpc@mail.edu.tw")</f>
        <v>xde*****68.ntpc@mail.edu.tw</v>
      </c>
      <c r="E220" s="17" t="str">
        <f>IFERROR(__xludf.DUMMYFUNCTION("""COMPUTED_VALUE"""),"新北市立文山國民中學")</f>
        <v>新北市立文山國民中學</v>
      </c>
      <c r="F220" s="14" t="str">
        <f>IFERROR(__xludf.DUMMYFUNCTION("""COMPUTED_VALUE"""),"七年級")</f>
        <v>七年級</v>
      </c>
      <c r="G220" s="14" t="str">
        <f>IFERROR(__xludf.DUMMYFUNCTION("""COMPUTED_VALUE"""),"●小禮物")</f>
        <v>●小禮物</v>
      </c>
      <c r="H220" s="8"/>
    </row>
    <row r="221">
      <c r="A221" s="18"/>
      <c r="B221" s="14">
        <f>IFERROR(__xludf.DUMMYFUNCTION("""COMPUTED_VALUE"""),320228.0)</f>
        <v>320228</v>
      </c>
      <c r="C221" s="14" t="str">
        <f>IFERROR(__xludf.DUMMYFUNCTION("""COMPUTED_VALUE"""),"高恩昕")</f>
        <v>高恩昕</v>
      </c>
      <c r="D221" s="16" t="str">
        <f>IFERROR(__xludf.DUMMYFUNCTION("""COMPUTED_VALUE"""),"xde*****63.ntpc@mail.edu.tw")</f>
        <v>xde*****63.ntpc@mail.edu.tw</v>
      </c>
      <c r="E221" s="17" t="str">
        <f>IFERROR(__xludf.DUMMYFUNCTION("""COMPUTED_VALUE"""),"新北市立文山國民中學")</f>
        <v>新北市立文山國民中學</v>
      </c>
      <c r="F221" s="14" t="str">
        <f>IFERROR(__xludf.DUMMYFUNCTION("""COMPUTED_VALUE"""),"七年級")</f>
        <v>七年級</v>
      </c>
      <c r="G221" s="14" t="str">
        <f>IFERROR(__xludf.DUMMYFUNCTION("""COMPUTED_VALUE"""),"●小禮物")</f>
        <v>●小禮物</v>
      </c>
      <c r="H221" s="8"/>
    </row>
    <row r="222">
      <c r="A222" s="18"/>
      <c r="B222" s="14">
        <f>IFERROR(__xludf.DUMMYFUNCTION("""COMPUTED_VALUE"""),1163170.0)</f>
        <v>1163170</v>
      </c>
      <c r="C222" s="14" t="str">
        <f>IFERROR(__xludf.DUMMYFUNCTION("""COMPUTED_VALUE"""),"陳韋彤")</f>
        <v>陳韋彤</v>
      </c>
      <c r="D222" s="16" t="str">
        <f>IFERROR(__xludf.DUMMYFUNCTION("""COMPUTED_VALUE"""),"lin*****0.ntpc@mail.edu.tw")</f>
        <v>lin*****0.ntpc@mail.edu.tw</v>
      </c>
      <c r="E222" s="17" t="str">
        <f>IFERROR(__xludf.DUMMYFUNCTION("""COMPUTED_VALUE"""),"新北市立文山國民中學")</f>
        <v>新北市立文山國民中學</v>
      </c>
      <c r="F222" s="14" t="str">
        <f>IFERROR(__xludf.DUMMYFUNCTION("""COMPUTED_VALUE"""),"七年級")</f>
        <v>七年級</v>
      </c>
      <c r="G222" s="14" t="str">
        <f>IFERROR(__xludf.DUMMYFUNCTION("""COMPUTED_VALUE"""),"●小禮物")</f>
        <v>●小禮物</v>
      </c>
      <c r="H222" s="8"/>
    </row>
    <row r="223">
      <c r="A223" s="18"/>
      <c r="B223" s="14">
        <f>IFERROR(__xludf.DUMMYFUNCTION("""COMPUTED_VALUE"""),803385.0)</f>
        <v>803385</v>
      </c>
      <c r="C223" s="14" t="str">
        <f>IFERROR(__xludf.DUMMYFUNCTION("""COMPUTED_VALUE"""),"鄭仟琪")</f>
        <v>鄭仟琪</v>
      </c>
      <c r="D223" s="16" t="str">
        <f>IFERROR(__xludf.DUMMYFUNCTION("""COMPUTED_VALUE"""),"xde*****64.ntpc@mail.edu.tw")</f>
        <v>xde*****64.ntpc@mail.edu.tw</v>
      </c>
      <c r="E223" s="17" t="str">
        <f>IFERROR(__xludf.DUMMYFUNCTION("""COMPUTED_VALUE"""),"新北市立文山國民中學")</f>
        <v>新北市立文山國民中學</v>
      </c>
      <c r="F223" s="14" t="str">
        <f>IFERROR(__xludf.DUMMYFUNCTION("""COMPUTED_VALUE"""),"七年級")</f>
        <v>七年級</v>
      </c>
      <c r="G223" s="14" t="str">
        <f>IFERROR(__xludf.DUMMYFUNCTION("""COMPUTED_VALUE"""),"●小禮物")</f>
        <v>●小禮物</v>
      </c>
      <c r="H223" s="8"/>
    </row>
    <row r="224">
      <c r="A224" s="18"/>
      <c r="B224" s="14">
        <f>IFERROR(__xludf.DUMMYFUNCTION("""COMPUTED_VALUE"""),1163124.0)</f>
        <v>1163124</v>
      </c>
      <c r="C224" s="14" t="str">
        <f>IFERROR(__xludf.DUMMYFUNCTION("""COMPUTED_VALUE"""),"王維萱")</f>
        <v>王維萱</v>
      </c>
      <c r="D224" s="16" t="str">
        <f>IFERROR(__xludf.DUMMYFUNCTION("""COMPUTED_VALUE"""),"mar*****07.ntpc@mail.edu.tw")</f>
        <v>mar*****07.ntpc@mail.edu.tw</v>
      </c>
      <c r="E224" s="17" t="str">
        <f>IFERROR(__xludf.DUMMYFUNCTION("""COMPUTED_VALUE"""),"新北市立文山國民中學")</f>
        <v>新北市立文山國民中學</v>
      </c>
      <c r="F224" s="14" t="str">
        <f>IFERROR(__xludf.DUMMYFUNCTION("""COMPUTED_VALUE"""),"七年級")</f>
        <v>七年級</v>
      </c>
      <c r="G224" s="14" t="str">
        <f>IFERROR(__xludf.DUMMYFUNCTION("""COMPUTED_VALUE"""),"獎狀")</f>
        <v>獎狀</v>
      </c>
      <c r="H224" s="8"/>
    </row>
    <row r="225">
      <c r="A225" s="18"/>
      <c r="B225" s="14">
        <f>IFERROR(__xludf.DUMMYFUNCTION("""COMPUTED_VALUE"""),677678.0)</f>
        <v>677678</v>
      </c>
      <c r="C225" s="14" t="str">
        <f>IFERROR(__xludf.DUMMYFUNCTION("""COMPUTED_VALUE"""),"吳宥庭")</f>
        <v>吳宥庭</v>
      </c>
      <c r="D225" s="16" t="str">
        <f>IFERROR(__xludf.DUMMYFUNCTION("""COMPUTED_VALUE"""),"tim*****ntpc@mail.edu.tw")</f>
        <v>tim*****ntpc@mail.edu.tw</v>
      </c>
      <c r="E225" s="17" t="str">
        <f>IFERROR(__xludf.DUMMYFUNCTION("""COMPUTED_VALUE"""),"新北市立文山國民中學")</f>
        <v>新北市立文山國民中學</v>
      </c>
      <c r="F225" s="14" t="str">
        <f>IFERROR(__xludf.DUMMYFUNCTION("""COMPUTED_VALUE"""),"七年級")</f>
        <v>七年級</v>
      </c>
      <c r="G225" s="14" t="str">
        <f>IFERROR(__xludf.DUMMYFUNCTION("""COMPUTED_VALUE"""),"獎狀")</f>
        <v>獎狀</v>
      </c>
      <c r="H225" s="8"/>
    </row>
    <row r="226">
      <c r="A226" s="18"/>
      <c r="B226" s="14">
        <f>IFERROR(__xludf.DUMMYFUNCTION("""COMPUTED_VALUE"""),404381.0)</f>
        <v>404381</v>
      </c>
      <c r="C226" s="14" t="str">
        <f>IFERROR(__xludf.DUMMYFUNCTION("""COMPUTED_VALUE"""),"李昀諺")</f>
        <v>李昀諺</v>
      </c>
      <c r="D226" s="16" t="str">
        <f>IFERROR(__xludf.DUMMYFUNCTION("""COMPUTED_VALUE"""),"yun*****23.ntpc@mail.edu.tw")</f>
        <v>yun*****23.ntpc@mail.edu.tw</v>
      </c>
      <c r="E226" s="17" t="str">
        <f>IFERROR(__xludf.DUMMYFUNCTION("""COMPUTED_VALUE"""),"新北市立文山國民中學")</f>
        <v>新北市立文山國民中學</v>
      </c>
      <c r="F226" s="14" t="str">
        <f>IFERROR(__xludf.DUMMYFUNCTION("""COMPUTED_VALUE"""),"七年級")</f>
        <v>七年級</v>
      </c>
      <c r="G226" s="14" t="str">
        <f>IFERROR(__xludf.DUMMYFUNCTION("""COMPUTED_VALUE"""),"獎狀")</f>
        <v>獎狀</v>
      </c>
      <c r="H226" s="8"/>
    </row>
    <row r="227">
      <c r="A227" s="18"/>
      <c r="B227" s="14">
        <f>IFERROR(__xludf.DUMMYFUNCTION("""COMPUTED_VALUE"""),1083462.0)</f>
        <v>1083462</v>
      </c>
      <c r="C227" s="14" t="str">
        <f>IFERROR(__xludf.DUMMYFUNCTION("""COMPUTED_VALUE"""),"林軒")</f>
        <v>林軒</v>
      </c>
      <c r="D227" s="16" t="str">
        <f>IFERROR(__xludf.DUMMYFUNCTION("""COMPUTED_VALUE"""),"leo*****1.ntpc@mail.edu.tw")</f>
        <v>leo*****1.ntpc@mail.edu.tw</v>
      </c>
      <c r="E227" s="17" t="str">
        <f>IFERROR(__xludf.DUMMYFUNCTION("""COMPUTED_VALUE"""),"新北市立文山國民中學")</f>
        <v>新北市立文山國民中學</v>
      </c>
      <c r="F227" s="14" t="str">
        <f>IFERROR(__xludf.DUMMYFUNCTION("""COMPUTED_VALUE"""),"七年級")</f>
        <v>七年級</v>
      </c>
      <c r="G227" s="14" t="str">
        <f>IFERROR(__xludf.DUMMYFUNCTION("""COMPUTED_VALUE"""),"獎狀")</f>
        <v>獎狀</v>
      </c>
      <c r="H227" s="8"/>
    </row>
    <row r="228">
      <c r="A228" s="18"/>
      <c r="B228" s="14">
        <f>IFERROR(__xludf.DUMMYFUNCTION("""COMPUTED_VALUE"""),1163175.0)</f>
        <v>1163175</v>
      </c>
      <c r="C228" s="14" t="str">
        <f>IFERROR(__xludf.DUMMYFUNCTION("""COMPUTED_VALUE"""),"藍浩恩")</f>
        <v>藍浩恩</v>
      </c>
      <c r="D228" s="16" t="str">
        <f>IFERROR(__xludf.DUMMYFUNCTION("""COMPUTED_VALUE"""),"ct1*****.ntpc@mail.edu.tw")</f>
        <v>ct1*****.ntpc@mail.edu.tw</v>
      </c>
      <c r="E228" s="17" t="str">
        <f>IFERROR(__xludf.DUMMYFUNCTION("""COMPUTED_VALUE"""),"新北市立文山國民中學")</f>
        <v>新北市立文山國民中學</v>
      </c>
      <c r="F228" s="14" t="str">
        <f>IFERROR(__xludf.DUMMYFUNCTION("""COMPUTED_VALUE"""),"七年級")</f>
        <v>七年級</v>
      </c>
      <c r="G228" s="14" t="str">
        <f>IFERROR(__xludf.DUMMYFUNCTION("""COMPUTED_VALUE"""),"獎狀")</f>
        <v>獎狀</v>
      </c>
      <c r="H228" s="8"/>
    </row>
    <row r="229">
      <c r="A229" s="18"/>
      <c r="B229" s="14">
        <f>IFERROR(__xludf.DUMMYFUNCTION("""COMPUTED_VALUE"""),1163275.0)</f>
        <v>1163275</v>
      </c>
      <c r="C229" s="14" t="str">
        <f>IFERROR(__xludf.DUMMYFUNCTION("""COMPUTED_VALUE"""),"蘇心怡")</f>
        <v>蘇心怡</v>
      </c>
      <c r="D229" s="16" t="str">
        <f>IFERROR(__xludf.DUMMYFUNCTION("""COMPUTED_VALUE"""),"ct1*****.ntpc@mail.edu.tw")</f>
        <v>ct1*****.ntpc@mail.edu.tw</v>
      </c>
      <c r="E229" s="17" t="str">
        <f>IFERROR(__xludf.DUMMYFUNCTION("""COMPUTED_VALUE"""),"新北市立文山國民中學")</f>
        <v>新北市立文山國民中學</v>
      </c>
      <c r="F229" s="14" t="str">
        <f>IFERROR(__xludf.DUMMYFUNCTION("""COMPUTED_VALUE"""),"七年級")</f>
        <v>七年級</v>
      </c>
      <c r="G229" s="14" t="str">
        <f>IFERROR(__xludf.DUMMYFUNCTION("""COMPUTED_VALUE"""),"獎狀")</f>
        <v>獎狀</v>
      </c>
      <c r="H229" s="8"/>
    </row>
    <row r="230">
      <c r="A230" s="18"/>
      <c r="B230" s="14">
        <f>IFERROR(__xludf.DUMMYFUNCTION("""COMPUTED_VALUE"""),587612.0)</f>
        <v>587612</v>
      </c>
      <c r="C230" s="14" t="str">
        <f>IFERROR(__xludf.DUMMYFUNCTION("""COMPUTED_VALUE"""),"秦楷芯")</f>
        <v>秦楷芯</v>
      </c>
      <c r="D230" s="16" t="str">
        <f>IFERROR(__xludf.DUMMYFUNCTION("""COMPUTED_VALUE"""),"cat*****.ntpc@mail.edu.tw")</f>
        <v>cat*****.ntpc@mail.edu.tw</v>
      </c>
      <c r="E230" s="17" t="str">
        <f>IFERROR(__xludf.DUMMYFUNCTION("""COMPUTED_VALUE"""),"新北市立文山國民中學")</f>
        <v>新北市立文山國民中學</v>
      </c>
      <c r="F230" s="14" t="str">
        <f>IFERROR(__xludf.DUMMYFUNCTION("""COMPUTED_VALUE"""),"七年級")</f>
        <v>七年級</v>
      </c>
      <c r="G230" s="14" t="str">
        <f>IFERROR(__xludf.DUMMYFUNCTION("""COMPUTED_VALUE"""),"●小禮物")</f>
        <v>●小禮物</v>
      </c>
      <c r="H230" s="8"/>
    </row>
    <row r="231">
      <c r="A231" s="18"/>
      <c r="B231" s="14">
        <f>IFERROR(__xludf.DUMMYFUNCTION("""COMPUTED_VALUE"""),804019.0)</f>
        <v>804019</v>
      </c>
      <c r="C231" s="14" t="str">
        <f>IFERROR(__xludf.DUMMYFUNCTION("""COMPUTED_VALUE"""),"羅傑")</f>
        <v>羅傑</v>
      </c>
      <c r="D231" s="16" t="str">
        <f>IFERROR(__xludf.DUMMYFUNCTION("""COMPUTED_VALUE"""),"rog*****213.ntpc@mail.edu.tw")</f>
        <v>rog*****213.ntpc@mail.edu.tw</v>
      </c>
      <c r="E231" s="17" t="str">
        <f>IFERROR(__xludf.DUMMYFUNCTION("""COMPUTED_VALUE"""),"新北市立文山國民中學")</f>
        <v>新北市立文山國民中學</v>
      </c>
      <c r="F231" s="14" t="str">
        <f>IFERROR(__xludf.DUMMYFUNCTION("""COMPUTED_VALUE"""),"七年級")</f>
        <v>七年級</v>
      </c>
      <c r="G231" s="14" t="str">
        <f>IFERROR(__xludf.DUMMYFUNCTION("""COMPUTED_VALUE"""),"●小禮物")</f>
        <v>●小禮物</v>
      </c>
      <c r="H231" s="8"/>
    </row>
    <row r="232">
      <c r="A232" s="18"/>
      <c r="B232" s="14">
        <f>IFERROR(__xludf.DUMMYFUNCTION("""COMPUTED_VALUE"""),400322.0)</f>
        <v>400322</v>
      </c>
      <c r="C232" s="14" t="str">
        <f>IFERROR(__xludf.DUMMYFUNCTION("""COMPUTED_VALUE"""),"劉俞辰")</f>
        <v>劉俞辰</v>
      </c>
      <c r="D232" s="16" t="str">
        <f>IFERROR(__xludf.DUMMYFUNCTION("""COMPUTED_VALUE"""),"xde*****50.ntpc@mail.edu.tw")</f>
        <v>xde*****50.ntpc@mail.edu.tw</v>
      </c>
      <c r="E232" s="17" t="str">
        <f>IFERROR(__xludf.DUMMYFUNCTION("""COMPUTED_VALUE"""),"新北市立文山國民中學")</f>
        <v>新北市立文山國民中學</v>
      </c>
      <c r="F232" s="14" t="str">
        <f>IFERROR(__xludf.DUMMYFUNCTION("""COMPUTED_VALUE"""),"七年級")</f>
        <v>七年級</v>
      </c>
      <c r="G232" s="14" t="str">
        <f>IFERROR(__xludf.DUMMYFUNCTION("""COMPUTED_VALUE"""),"獎狀")</f>
        <v>獎狀</v>
      </c>
      <c r="H232" s="8"/>
    </row>
    <row r="233">
      <c r="A233" s="18"/>
      <c r="B233" s="14">
        <f>IFERROR(__xludf.DUMMYFUNCTION("""COMPUTED_VALUE"""),1163357.0)</f>
        <v>1163357</v>
      </c>
      <c r="C233" s="14" t="str">
        <f>IFERROR(__xludf.DUMMYFUNCTION("""COMPUTED_VALUE"""),"王芃雅")</f>
        <v>王芃雅</v>
      </c>
      <c r="D233" s="16" t="str">
        <f>IFERROR(__xludf.DUMMYFUNCTION("""COMPUTED_VALUE"""),"oli*****06.ntpc@mail.edu.tw")</f>
        <v>oli*****06.ntpc@mail.edu.tw</v>
      </c>
      <c r="E233" s="17" t="str">
        <f>IFERROR(__xludf.DUMMYFUNCTION("""COMPUTED_VALUE"""),"新北市立文山國民中學")</f>
        <v>新北市立文山國民中學</v>
      </c>
      <c r="F233" s="14" t="str">
        <f>IFERROR(__xludf.DUMMYFUNCTION("""COMPUTED_VALUE"""),"七年級")</f>
        <v>七年級</v>
      </c>
      <c r="G233" s="14" t="str">
        <f>IFERROR(__xludf.DUMMYFUNCTION("""COMPUTED_VALUE"""),"●小禮物")</f>
        <v>●小禮物</v>
      </c>
      <c r="H233" s="8"/>
    </row>
    <row r="234">
      <c r="A234" s="18"/>
      <c r="B234" s="14">
        <f>IFERROR(__xludf.DUMMYFUNCTION("""COMPUTED_VALUE"""),1163347.0)</f>
        <v>1163347</v>
      </c>
      <c r="C234" s="14" t="str">
        <f>IFERROR(__xludf.DUMMYFUNCTION("""COMPUTED_VALUE"""),"王涵恩")</f>
        <v>王涵恩</v>
      </c>
      <c r="D234" s="16" t="str">
        <f>IFERROR(__xludf.DUMMYFUNCTION("""COMPUTED_VALUE"""),"an5*****tpc@mail.edu.tw")</f>
        <v>an5*****tpc@mail.edu.tw</v>
      </c>
      <c r="E234" s="17" t="str">
        <f>IFERROR(__xludf.DUMMYFUNCTION("""COMPUTED_VALUE"""),"新北市立文山國民中學")</f>
        <v>新北市立文山國民中學</v>
      </c>
      <c r="F234" s="14" t="str">
        <f>IFERROR(__xludf.DUMMYFUNCTION("""COMPUTED_VALUE"""),"七年級")</f>
        <v>七年級</v>
      </c>
      <c r="G234" s="14" t="str">
        <f>IFERROR(__xludf.DUMMYFUNCTION("""COMPUTED_VALUE"""),"●小禮物")</f>
        <v>●小禮物</v>
      </c>
      <c r="H234" s="8"/>
    </row>
    <row r="235">
      <c r="A235" s="18"/>
      <c r="B235" s="14">
        <f>IFERROR(__xludf.DUMMYFUNCTION("""COMPUTED_VALUE"""),1163389.0)</f>
        <v>1163389</v>
      </c>
      <c r="C235" s="14" t="str">
        <f>IFERROR(__xludf.DUMMYFUNCTION("""COMPUTED_VALUE"""),"田文心")</f>
        <v>田文心</v>
      </c>
      <c r="D235" s="16" t="str">
        <f>IFERROR(__xludf.DUMMYFUNCTION("""COMPUTED_VALUE"""),"ak1*****18@apps.ntpc.edu.tw")</f>
        <v>ak1*****18@apps.ntpc.edu.tw</v>
      </c>
      <c r="E235" s="17" t="str">
        <f>IFERROR(__xludf.DUMMYFUNCTION("""COMPUTED_VALUE"""),"新北市立文山國民中學")</f>
        <v>新北市立文山國民中學</v>
      </c>
      <c r="F235" s="14" t="str">
        <f>IFERROR(__xludf.DUMMYFUNCTION("""COMPUTED_VALUE"""),"七年級")</f>
        <v>七年級</v>
      </c>
      <c r="G235" s="14" t="str">
        <f>IFERROR(__xludf.DUMMYFUNCTION("""COMPUTED_VALUE"""),"●小禮物")</f>
        <v>●小禮物</v>
      </c>
      <c r="H235" s="8"/>
    </row>
    <row r="236">
      <c r="A236" s="18"/>
      <c r="B236" s="14">
        <f>IFERROR(__xludf.DUMMYFUNCTION("""COMPUTED_VALUE"""),1169456.0)</f>
        <v>1169456</v>
      </c>
      <c r="C236" s="14" t="str">
        <f>IFERROR(__xludf.DUMMYFUNCTION("""COMPUTED_VALUE"""),"朱語謙")</f>
        <v>朱語謙</v>
      </c>
      <c r="D236" s="16" t="str">
        <f>IFERROR(__xludf.DUMMYFUNCTION("""COMPUTED_VALUE"""),"ct1*****.ntpc@mail.edu.tw")</f>
        <v>ct1*****.ntpc@mail.edu.tw</v>
      </c>
      <c r="E236" s="17" t="str">
        <f>IFERROR(__xludf.DUMMYFUNCTION("""COMPUTED_VALUE"""),"新北市立文山國民中學")</f>
        <v>新北市立文山國民中學</v>
      </c>
      <c r="F236" s="14" t="str">
        <f>IFERROR(__xludf.DUMMYFUNCTION("""COMPUTED_VALUE"""),"七年級")</f>
        <v>七年級</v>
      </c>
      <c r="G236" s="14" t="str">
        <f>IFERROR(__xludf.DUMMYFUNCTION("""COMPUTED_VALUE"""),"●小禮物")</f>
        <v>●小禮物</v>
      </c>
      <c r="H236" s="8"/>
    </row>
    <row r="237">
      <c r="A237" s="18"/>
      <c r="B237" s="14">
        <f>IFERROR(__xludf.DUMMYFUNCTION("""COMPUTED_VALUE"""),668840.0)</f>
        <v>668840</v>
      </c>
      <c r="C237" s="14" t="str">
        <f>IFERROR(__xludf.DUMMYFUNCTION("""COMPUTED_VALUE"""),"林宥榕")</f>
        <v>林宥榕</v>
      </c>
      <c r="D237" s="16" t="str">
        <f>IFERROR(__xludf.DUMMYFUNCTION("""COMPUTED_VALUE"""),"s10*****chtes.ntpc.edu.tw")</f>
        <v>s10*****chtes.ntpc.edu.tw</v>
      </c>
      <c r="E237" s="17" t="str">
        <f>IFERROR(__xludf.DUMMYFUNCTION("""COMPUTED_VALUE"""),"新北市立文山國民中學")</f>
        <v>新北市立文山國民中學</v>
      </c>
      <c r="F237" s="14" t="str">
        <f>IFERROR(__xludf.DUMMYFUNCTION("""COMPUTED_VALUE"""),"七年級")</f>
        <v>七年級</v>
      </c>
      <c r="G237" s="14" t="str">
        <f>IFERROR(__xludf.DUMMYFUNCTION("""COMPUTED_VALUE"""),"●小禮物")</f>
        <v>●小禮物</v>
      </c>
      <c r="H237" s="8"/>
    </row>
    <row r="238">
      <c r="A238" s="18"/>
      <c r="B238" s="14">
        <f>IFERROR(__xludf.DUMMYFUNCTION("""COMPUTED_VALUE"""),320176.0)</f>
        <v>320176</v>
      </c>
      <c r="C238" s="14" t="str">
        <f>IFERROR(__xludf.DUMMYFUNCTION("""COMPUTED_VALUE"""),"柳馨雅")</f>
        <v>柳馨雅</v>
      </c>
      <c r="D238" s="16" t="str">
        <f>IFERROR(__xludf.DUMMYFUNCTION("""COMPUTED_VALUE"""),"xde*****43.ntpc@mail.edu.tw")</f>
        <v>xde*****43.ntpc@mail.edu.tw</v>
      </c>
      <c r="E238" s="17" t="str">
        <f>IFERROR(__xludf.DUMMYFUNCTION("""COMPUTED_VALUE"""),"新北市立文山國民中學")</f>
        <v>新北市立文山國民中學</v>
      </c>
      <c r="F238" s="14" t="str">
        <f>IFERROR(__xludf.DUMMYFUNCTION("""COMPUTED_VALUE"""),"七年級")</f>
        <v>七年級</v>
      </c>
      <c r="G238" s="14" t="str">
        <f>IFERROR(__xludf.DUMMYFUNCTION("""COMPUTED_VALUE"""),"●小禮物")</f>
        <v>●小禮物</v>
      </c>
      <c r="H238" s="8"/>
    </row>
    <row r="239">
      <c r="A239" s="18"/>
      <c r="B239" s="14">
        <f>IFERROR(__xludf.DUMMYFUNCTION("""COMPUTED_VALUE"""),802059.0)</f>
        <v>802059</v>
      </c>
      <c r="C239" s="14" t="str">
        <f>IFERROR(__xludf.DUMMYFUNCTION("""COMPUTED_VALUE"""),"許子庭")</f>
        <v>許子庭</v>
      </c>
      <c r="D239" s="16" t="str">
        <f>IFERROR(__xludf.DUMMYFUNCTION("""COMPUTED_VALUE"""),"xde*****17.ntpc@mail.edu.tw")</f>
        <v>xde*****17.ntpc@mail.edu.tw</v>
      </c>
      <c r="E239" s="17" t="str">
        <f>IFERROR(__xludf.DUMMYFUNCTION("""COMPUTED_VALUE"""),"新北市立文山國民中學")</f>
        <v>新北市立文山國民中學</v>
      </c>
      <c r="F239" s="14" t="str">
        <f>IFERROR(__xludf.DUMMYFUNCTION("""COMPUTED_VALUE"""),"七年級")</f>
        <v>七年級</v>
      </c>
      <c r="G239" s="14" t="str">
        <f>IFERROR(__xludf.DUMMYFUNCTION("""COMPUTED_VALUE"""),"●小禮物")</f>
        <v>●小禮物</v>
      </c>
      <c r="H239" s="8"/>
    </row>
    <row r="240">
      <c r="A240" s="18"/>
      <c r="B240" s="14">
        <f>IFERROR(__xludf.DUMMYFUNCTION("""COMPUTED_VALUE"""),1163400.0)</f>
        <v>1163400</v>
      </c>
      <c r="C240" s="14" t="str">
        <f>IFERROR(__xludf.DUMMYFUNCTION("""COMPUTED_VALUE"""),"許皓筌")</f>
        <v>許皓筌</v>
      </c>
      <c r="D240" s="16" t="str">
        <f>IFERROR(__xludf.DUMMYFUNCTION("""COMPUTED_VALUE"""),"eri*****ntpc@mail.edu.tw")</f>
        <v>eri*****ntpc@mail.edu.tw</v>
      </c>
      <c r="E240" s="17" t="str">
        <f>IFERROR(__xludf.DUMMYFUNCTION("""COMPUTED_VALUE"""),"新北市立文山國民中學")</f>
        <v>新北市立文山國民中學</v>
      </c>
      <c r="F240" s="14" t="str">
        <f>IFERROR(__xludf.DUMMYFUNCTION("""COMPUTED_VALUE"""),"七年級")</f>
        <v>七年級</v>
      </c>
      <c r="G240" s="14" t="str">
        <f>IFERROR(__xludf.DUMMYFUNCTION("""COMPUTED_VALUE"""),"●小禮物")</f>
        <v>●小禮物</v>
      </c>
      <c r="H240" s="8"/>
    </row>
    <row r="241">
      <c r="A241" s="18"/>
      <c r="B241" s="14">
        <f>IFERROR(__xludf.DUMMYFUNCTION("""COMPUTED_VALUE"""),1163361.0)</f>
        <v>1163361</v>
      </c>
      <c r="C241" s="14" t="str">
        <f>IFERROR(__xludf.DUMMYFUNCTION("""COMPUTED_VALUE"""),"陳言襄")</f>
        <v>陳言襄</v>
      </c>
      <c r="D241" s="16" t="str">
        <f>IFERROR(__xludf.DUMMYFUNCTION("""COMPUTED_VALUE"""),"sic*****ail.edu.tw")</f>
        <v>sic*****ail.edu.tw</v>
      </c>
      <c r="E241" s="17" t="str">
        <f>IFERROR(__xludf.DUMMYFUNCTION("""COMPUTED_VALUE"""),"新北市立文山國民中學")</f>
        <v>新北市立文山國民中學</v>
      </c>
      <c r="F241" s="14" t="str">
        <f>IFERROR(__xludf.DUMMYFUNCTION("""COMPUTED_VALUE"""),"七年級")</f>
        <v>七年級</v>
      </c>
      <c r="G241" s="14" t="str">
        <f>IFERROR(__xludf.DUMMYFUNCTION("""COMPUTED_VALUE"""),"●小禮物")</f>
        <v>●小禮物</v>
      </c>
      <c r="H241" s="8"/>
    </row>
    <row r="242">
      <c r="A242" s="18"/>
      <c r="B242" s="14">
        <f>IFERROR(__xludf.DUMMYFUNCTION("""COMPUTED_VALUE"""),1166162.0)</f>
        <v>1166162</v>
      </c>
      <c r="C242" s="14" t="str">
        <f>IFERROR(__xludf.DUMMYFUNCTION("""COMPUTED_VALUE"""),"陳柏翰")</f>
        <v>陳柏翰</v>
      </c>
      <c r="D242" s="16" t="str">
        <f>IFERROR(__xludf.DUMMYFUNCTION("""COMPUTED_VALUE"""),"bry*****509@apps.ntpc.edu.tw")</f>
        <v>bry*****509@apps.ntpc.edu.tw</v>
      </c>
      <c r="E242" s="17" t="str">
        <f>IFERROR(__xludf.DUMMYFUNCTION("""COMPUTED_VALUE"""),"新北市立文山國民中學")</f>
        <v>新北市立文山國民中學</v>
      </c>
      <c r="F242" s="14" t="str">
        <f>IFERROR(__xludf.DUMMYFUNCTION("""COMPUTED_VALUE"""),"七年級")</f>
        <v>七年級</v>
      </c>
      <c r="G242" s="14" t="str">
        <f>IFERROR(__xludf.DUMMYFUNCTION("""COMPUTED_VALUE"""),"●小禮物")</f>
        <v>●小禮物</v>
      </c>
      <c r="H242" s="8"/>
    </row>
    <row r="243">
      <c r="A243" s="18"/>
      <c r="B243" s="14">
        <f>IFERROR(__xludf.DUMMYFUNCTION("""COMPUTED_VALUE"""),247329.0)</f>
        <v>247329</v>
      </c>
      <c r="C243" s="14" t="str">
        <f>IFERROR(__xludf.DUMMYFUNCTION("""COMPUTED_VALUE"""),"陳泰都")</f>
        <v>陳泰都</v>
      </c>
      <c r="D243" s="16" t="str">
        <f>IFERROR(__xludf.DUMMYFUNCTION("""COMPUTED_VALUE"""),"xde*****56@apps.ntpc.edu.tw")</f>
        <v>xde*****56@apps.ntpc.edu.tw</v>
      </c>
      <c r="E243" s="17" t="str">
        <f>IFERROR(__xludf.DUMMYFUNCTION("""COMPUTED_VALUE"""),"新北市立文山國民中學")</f>
        <v>新北市立文山國民中學</v>
      </c>
      <c r="F243" s="14" t="str">
        <f>IFERROR(__xludf.DUMMYFUNCTION("""COMPUTED_VALUE"""),"七年級")</f>
        <v>七年級</v>
      </c>
      <c r="G243" s="14" t="str">
        <f>IFERROR(__xludf.DUMMYFUNCTION("""COMPUTED_VALUE"""),"●小禮物")</f>
        <v>●小禮物</v>
      </c>
      <c r="H243" s="8"/>
    </row>
    <row r="244">
      <c r="A244" s="18"/>
      <c r="B244" s="14">
        <f>IFERROR(__xludf.DUMMYFUNCTION("""COMPUTED_VALUE"""),1163346.0)</f>
        <v>1163346</v>
      </c>
      <c r="C244" s="14" t="str">
        <f>IFERROR(__xludf.DUMMYFUNCTION("""COMPUTED_VALUE"""),"廖栢瑫")</f>
        <v>廖栢瑫</v>
      </c>
      <c r="D244" s="16" t="str">
        <f>IFERROR(__xludf.DUMMYFUNCTION("""COMPUTED_VALUE"""),"ct1*****@apps.ntpc.edu.tw")</f>
        <v>ct1*****@apps.ntpc.edu.tw</v>
      </c>
      <c r="E244" s="17" t="str">
        <f>IFERROR(__xludf.DUMMYFUNCTION("""COMPUTED_VALUE"""),"新北市立文山國民中學")</f>
        <v>新北市立文山國民中學</v>
      </c>
      <c r="F244" s="14" t="str">
        <f>IFERROR(__xludf.DUMMYFUNCTION("""COMPUTED_VALUE"""),"七年級")</f>
        <v>七年級</v>
      </c>
      <c r="G244" s="14" t="str">
        <f>IFERROR(__xludf.DUMMYFUNCTION("""COMPUTED_VALUE"""),"●小禮物")</f>
        <v>●小禮物</v>
      </c>
      <c r="H244" s="8"/>
    </row>
    <row r="245">
      <c r="A245" s="18"/>
      <c r="B245" s="14">
        <f>IFERROR(__xludf.DUMMYFUNCTION("""COMPUTED_VALUE"""),677669.0)</f>
        <v>677669</v>
      </c>
      <c r="C245" s="14" t="str">
        <f>IFERROR(__xludf.DUMMYFUNCTION("""COMPUTED_VALUE"""),"廖唯恩")</f>
        <v>廖唯恩</v>
      </c>
      <c r="D245" s="16" t="str">
        <f>IFERROR(__xludf.DUMMYFUNCTION("""COMPUTED_VALUE"""),"viv*****97.ntpc@mail.edu.tw")</f>
        <v>viv*****97.ntpc@mail.edu.tw</v>
      </c>
      <c r="E245" s="17" t="str">
        <f>IFERROR(__xludf.DUMMYFUNCTION("""COMPUTED_VALUE"""),"新北市立文山國民中學")</f>
        <v>新北市立文山國民中學</v>
      </c>
      <c r="F245" s="14" t="str">
        <f>IFERROR(__xludf.DUMMYFUNCTION("""COMPUTED_VALUE"""),"七年級")</f>
        <v>七年級</v>
      </c>
      <c r="G245" s="14" t="str">
        <f>IFERROR(__xludf.DUMMYFUNCTION("""COMPUTED_VALUE"""),"●小禮物")</f>
        <v>●小禮物</v>
      </c>
      <c r="H245" s="8"/>
    </row>
    <row r="246">
      <c r="A246" s="18"/>
      <c r="B246" s="14">
        <f>IFERROR(__xludf.DUMMYFUNCTION("""COMPUTED_VALUE"""),677663.0)</f>
        <v>677663</v>
      </c>
      <c r="C246" s="14" t="str">
        <f>IFERROR(__xludf.DUMMYFUNCTION("""COMPUTED_VALUE"""),"簡佑庭")</f>
        <v>簡佑庭</v>
      </c>
      <c r="D246" s="16" t="str">
        <f>IFERROR(__xludf.DUMMYFUNCTION("""COMPUTED_VALUE"""),"tin*****9.ntpc@mail.edu.tw")</f>
        <v>tin*****9.ntpc@mail.edu.tw</v>
      </c>
      <c r="E246" s="17" t="str">
        <f>IFERROR(__xludf.DUMMYFUNCTION("""COMPUTED_VALUE"""),"新北市立文山國民中學")</f>
        <v>新北市立文山國民中學</v>
      </c>
      <c r="F246" s="14" t="str">
        <f>IFERROR(__xludf.DUMMYFUNCTION("""COMPUTED_VALUE"""),"七年級")</f>
        <v>七年級</v>
      </c>
      <c r="G246" s="14" t="str">
        <f>IFERROR(__xludf.DUMMYFUNCTION("""COMPUTED_VALUE"""),"●小禮物")</f>
        <v>●小禮物</v>
      </c>
      <c r="H246" s="8"/>
    </row>
    <row r="247">
      <c r="A247" s="18"/>
      <c r="B247" s="14">
        <f>IFERROR(__xludf.DUMMYFUNCTION("""COMPUTED_VALUE"""),1163405.0)</f>
        <v>1163405</v>
      </c>
      <c r="C247" s="14" t="str">
        <f>IFERROR(__xludf.DUMMYFUNCTION("""COMPUTED_VALUE"""),"王子奇")</f>
        <v>王子奇</v>
      </c>
      <c r="D247" s="16" t="str">
        <f>IFERROR(__xludf.DUMMYFUNCTION("""COMPUTED_VALUE"""),"s11*****@mail.edu.tw")</f>
        <v>s11*****@mail.edu.tw</v>
      </c>
      <c r="E247" s="17" t="str">
        <f>IFERROR(__xludf.DUMMYFUNCTION("""COMPUTED_VALUE"""),"新北市立文山國民中學")</f>
        <v>新北市立文山國民中學</v>
      </c>
      <c r="F247" s="14" t="str">
        <f>IFERROR(__xludf.DUMMYFUNCTION("""COMPUTED_VALUE"""),"七年級")</f>
        <v>七年級</v>
      </c>
      <c r="G247" s="14" t="str">
        <f>IFERROR(__xludf.DUMMYFUNCTION("""COMPUTED_VALUE"""),"獎狀")</f>
        <v>獎狀</v>
      </c>
      <c r="H247" s="8"/>
    </row>
    <row r="248">
      <c r="A248" s="18"/>
      <c r="B248" s="14">
        <f>IFERROR(__xludf.DUMMYFUNCTION("""COMPUTED_VALUE"""),1163362.0)</f>
        <v>1163362</v>
      </c>
      <c r="C248" s="14" t="str">
        <f>IFERROR(__xludf.DUMMYFUNCTION("""COMPUTED_VALUE"""),"吳佳珈")</f>
        <v>吳佳珈</v>
      </c>
      <c r="D248" s="16" t="str">
        <f>IFERROR(__xludf.DUMMYFUNCTION("""COMPUTED_VALUE"""),"ct1*****.ntpc@mail.edu.tw")</f>
        <v>ct1*****.ntpc@mail.edu.tw</v>
      </c>
      <c r="E248" s="17" t="str">
        <f>IFERROR(__xludf.DUMMYFUNCTION("""COMPUTED_VALUE"""),"新北市立文山國民中學")</f>
        <v>新北市立文山國民中學</v>
      </c>
      <c r="F248" s="14" t="str">
        <f>IFERROR(__xludf.DUMMYFUNCTION("""COMPUTED_VALUE"""),"七年級")</f>
        <v>七年級</v>
      </c>
      <c r="G248" s="14" t="str">
        <f>IFERROR(__xludf.DUMMYFUNCTION("""COMPUTED_VALUE"""),"獎狀")</f>
        <v>獎狀</v>
      </c>
      <c r="H248" s="8"/>
    </row>
    <row r="249">
      <c r="A249" s="18"/>
      <c r="B249" s="14">
        <f>IFERROR(__xludf.DUMMYFUNCTION("""COMPUTED_VALUE"""),1163359.0)</f>
        <v>1163359</v>
      </c>
      <c r="C249" s="14" t="str">
        <f>IFERROR(__xludf.DUMMYFUNCTION("""COMPUTED_VALUE"""),"李益如")</f>
        <v>李益如</v>
      </c>
      <c r="D249" s="16" t="str">
        <f>IFERROR(__xludf.DUMMYFUNCTION("""COMPUTED_VALUE"""),"eru*****30.ntpc@mail.edu.tw")</f>
        <v>eru*****30.ntpc@mail.edu.tw</v>
      </c>
      <c r="E249" s="17" t="str">
        <f>IFERROR(__xludf.DUMMYFUNCTION("""COMPUTED_VALUE"""),"新北市立文山國民中學")</f>
        <v>新北市立文山國民中學</v>
      </c>
      <c r="F249" s="14" t="str">
        <f>IFERROR(__xludf.DUMMYFUNCTION("""COMPUTED_VALUE"""),"七年級")</f>
        <v>七年級</v>
      </c>
      <c r="G249" s="14" t="str">
        <f>IFERROR(__xludf.DUMMYFUNCTION("""COMPUTED_VALUE"""),"獎狀")</f>
        <v>獎狀</v>
      </c>
      <c r="H249" s="8"/>
    </row>
    <row r="250">
      <c r="A250" s="18"/>
      <c r="B250" s="14">
        <f>IFERROR(__xludf.DUMMYFUNCTION("""COMPUTED_VALUE"""),1174970.0)</f>
        <v>1174970</v>
      </c>
      <c r="C250" s="14" t="str">
        <f>IFERROR(__xludf.DUMMYFUNCTION("""COMPUTED_VALUE"""),"張仲宇")</f>
        <v>張仲宇</v>
      </c>
      <c r="D250" s="16" t="str">
        <f>IFERROR(__xludf.DUMMYFUNCTION("""COMPUTED_VALUE"""),"whi*****301.ntpc@mail.edu.tw")</f>
        <v>whi*****301.ntpc@mail.edu.tw</v>
      </c>
      <c r="E250" s="17" t="str">
        <f>IFERROR(__xludf.DUMMYFUNCTION("""COMPUTED_VALUE"""),"新北市立文山國民中學")</f>
        <v>新北市立文山國民中學</v>
      </c>
      <c r="F250" s="14" t="str">
        <f>IFERROR(__xludf.DUMMYFUNCTION("""COMPUTED_VALUE"""),"七年級")</f>
        <v>七年級</v>
      </c>
      <c r="G250" s="14" t="str">
        <f>IFERROR(__xludf.DUMMYFUNCTION("""COMPUTED_VALUE"""),"獎狀")</f>
        <v>獎狀</v>
      </c>
      <c r="H250" s="8"/>
    </row>
    <row r="251">
      <c r="A251" s="18"/>
      <c r="B251" s="14">
        <f>IFERROR(__xludf.DUMMYFUNCTION("""COMPUTED_VALUE"""),1163360.0)</f>
        <v>1163360</v>
      </c>
      <c r="C251" s="14" t="str">
        <f>IFERROR(__xludf.DUMMYFUNCTION("""COMPUTED_VALUE"""),"潘涵憶")</f>
        <v>潘涵憶</v>
      </c>
      <c r="D251" s="16" t="str">
        <f>IFERROR(__xludf.DUMMYFUNCTION("""COMPUTED_VALUE"""),"ct1*****.ntpc@mail.edu.tw")</f>
        <v>ct1*****.ntpc@mail.edu.tw</v>
      </c>
      <c r="E251" s="17" t="str">
        <f>IFERROR(__xludf.DUMMYFUNCTION("""COMPUTED_VALUE"""),"新北市立文山國民中學")</f>
        <v>新北市立文山國民中學</v>
      </c>
      <c r="F251" s="14" t="str">
        <f>IFERROR(__xludf.DUMMYFUNCTION("""COMPUTED_VALUE"""),"七年級")</f>
        <v>七年級</v>
      </c>
      <c r="G251" s="14" t="str">
        <f>IFERROR(__xludf.DUMMYFUNCTION("""COMPUTED_VALUE"""),"獎狀")</f>
        <v>獎狀</v>
      </c>
      <c r="H251" s="8"/>
    </row>
    <row r="252">
      <c r="A252" s="18"/>
      <c r="B252" s="14">
        <f>IFERROR(__xludf.DUMMYFUNCTION("""COMPUTED_VALUE"""),1120868.0)</f>
        <v>1120868</v>
      </c>
      <c r="C252" s="14" t="str">
        <f>IFERROR(__xludf.DUMMYFUNCTION("""COMPUTED_VALUE"""),"葉愷云")</f>
        <v>葉愷云</v>
      </c>
      <c r="D252" s="16" t="str">
        <f>IFERROR(__xludf.DUMMYFUNCTION("""COMPUTED_VALUE"""),"j11*****cis.com.tw")</f>
        <v>j11*****cis.com.tw</v>
      </c>
      <c r="E252" s="17" t="str">
        <f>IFERROR(__xludf.DUMMYFUNCTION("""COMPUTED_VALUE"""),"康橋學校財團法人新北市康橋高級中學附設國中部")</f>
        <v>康橋學校財團法人新北市康橋高級中學附設國中部</v>
      </c>
      <c r="F252" s="14" t="str">
        <f>IFERROR(__xludf.DUMMYFUNCTION("""COMPUTED_VALUE"""),"七年級")</f>
        <v>七年級</v>
      </c>
      <c r="G252" s="14" t="str">
        <f>IFERROR(__xludf.DUMMYFUNCTION("""COMPUTED_VALUE"""),"獎狀")</f>
        <v>獎狀</v>
      </c>
      <c r="H252" s="8"/>
    </row>
    <row r="253">
      <c r="A253" s="18"/>
      <c r="B253" s="14">
        <f>IFERROR(__xludf.DUMMYFUNCTION("""COMPUTED_VALUE"""),1194307.0)</f>
        <v>1194307</v>
      </c>
      <c r="C253" s="14" t="str">
        <f>IFERROR(__xludf.DUMMYFUNCTION("""COMPUTED_VALUE"""),"劉于瑄")</f>
        <v>劉于瑄</v>
      </c>
      <c r="D253" s="16" t="str">
        <f>IFERROR(__xludf.DUMMYFUNCTION("""COMPUTED_VALUE"""),"ak1*****16@apps.ntpc.edu.tw")</f>
        <v>ak1*****16@apps.ntpc.edu.tw</v>
      </c>
      <c r="E253" s="17" t="str">
        <f>IFERROR(__xludf.DUMMYFUNCTION("""COMPUTED_VALUE"""),"新北市立達觀國民中小學國中部")</f>
        <v>新北市立達觀國民中小學國中部</v>
      </c>
      <c r="F253" s="14" t="str">
        <f>IFERROR(__xludf.DUMMYFUNCTION("""COMPUTED_VALUE"""),"七年級")</f>
        <v>七年級</v>
      </c>
      <c r="G253" s="14" t="str">
        <f>IFERROR(__xludf.DUMMYFUNCTION("""COMPUTED_VALUE"""),"獎狀")</f>
        <v>獎狀</v>
      </c>
      <c r="H253" s="8"/>
    </row>
    <row r="254">
      <c r="A254" s="18"/>
      <c r="B254" s="14">
        <f>IFERROR(__xludf.DUMMYFUNCTION("""COMPUTED_VALUE"""),784382.0)</f>
        <v>784382</v>
      </c>
      <c r="C254" s="14" t="str">
        <f>IFERROR(__xludf.DUMMYFUNCTION("""COMPUTED_VALUE"""),"周楷勛")</f>
        <v>周楷勛</v>
      </c>
      <c r="D254" s="16" t="str">
        <f>IFERROR(__xludf.DUMMYFUNCTION("""COMPUTED_VALUE"""),"ie2*****tpc@mail.edu.tw")</f>
        <v>ie2*****tpc@mail.edu.tw</v>
      </c>
      <c r="E254" s="17" t="str">
        <f>IFERROR(__xludf.DUMMYFUNCTION("""COMPUTED_VALUE"""),"新北市立永平高級中學附設國中部")</f>
        <v>新北市立永平高級中學附設國中部</v>
      </c>
      <c r="F254" s="14" t="str">
        <f>IFERROR(__xludf.DUMMYFUNCTION("""COMPUTED_VALUE"""),"七年級")</f>
        <v>七年級</v>
      </c>
      <c r="G254" s="14" t="str">
        <f>IFERROR(__xludf.DUMMYFUNCTION("""COMPUTED_VALUE"""),"★禮券$200")</f>
        <v>★禮券$200</v>
      </c>
      <c r="H254" s="8"/>
    </row>
    <row r="255">
      <c r="A255" s="18"/>
      <c r="B255" s="14">
        <f>IFERROR(__xludf.DUMMYFUNCTION("""COMPUTED_VALUE"""),875823.0)</f>
        <v>875823</v>
      </c>
      <c r="C255" s="14" t="str">
        <f>IFERROR(__xludf.DUMMYFUNCTION("""COMPUTED_VALUE"""),"林宥岑")</f>
        <v>林宥岑</v>
      </c>
      <c r="D255" s="16" t="str">
        <f>IFERROR(__xludf.DUMMYFUNCTION("""COMPUTED_VALUE"""),"vic*****lin8888@gmail.com")</f>
        <v>vic*****lin8888@gmail.com</v>
      </c>
      <c r="E255" s="17" t="str">
        <f>IFERROR(__xludf.DUMMYFUNCTION("""COMPUTED_VALUE"""),"新北市立福和國民中學")</f>
        <v>新北市立福和國民中學</v>
      </c>
      <c r="F255" s="14" t="str">
        <f>IFERROR(__xludf.DUMMYFUNCTION("""COMPUTED_VALUE"""),"七年級")</f>
        <v>七年級</v>
      </c>
      <c r="G255" s="14" t="str">
        <f>IFERROR(__xludf.DUMMYFUNCTION("""COMPUTED_VALUE"""),"●小禮物")</f>
        <v>●小禮物</v>
      </c>
      <c r="H255" s="8"/>
    </row>
    <row r="256">
      <c r="A256" s="18"/>
      <c r="B256" s="14">
        <f>IFERROR(__xludf.DUMMYFUNCTION("""COMPUTED_VALUE"""),1107341.0)</f>
        <v>1107341</v>
      </c>
      <c r="C256" s="14" t="str">
        <f>IFERROR(__xludf.DUMMYFUNCTION("""COMPUTED_VALUE"""),"洪浩嘉")</f>
        <v>洪浩嘉</v>
      </c>
      <c r="D256" s="16" t="str">
        <f>IFERROR(__xludf.DUMMYFUNCTION("""COMPUTED_VALUE"""),"rex*****2@apps.ntpc.edu.tw")</f>
        <v>rex*****2@apps.ntpc.edu.tw</v>
      </c>
      <c r="E256" s="17" t="str">
        <f>IFERROR(__xludf.DUMMYFUNCTION("""COMPUTED_VALUE"""),"新北市立福和國民中學")</f>
        <v>新北市立福和國民中學</v>
      </c>
      <c r="F256" s="14" t="str">
        <f>IFERROR(__xludf.DUMMYFUNCTION("""COMPUTED_VALUE"""),"七年級")</f>
        <v>七年級</v>
      </c>
      <c r="G256" s="14" t="str">
        <f>IFERROR(__xludf.DUMMYFUNCTION("""COMPUTED_VALUE"""),"獎狀")</f>
        <v>獎狀</v>
      </c>
      <c r="H256" s="8"/>
    </row>
    <row r="257">
      <c r="A257" s="18"/>
      <c r="B257" s="14">
        <f>IFERROR(__xludf.DUMMYFUNCTION("""COMPUTED_VALUE"""),1164854.0)</f>
        <v>1164854</v>
      </c>
      <c r="C257" s="14" t="str">
        <f>IFERROR(__xludf.DUMMYFUNCTION("""COMPUTED_VALUE"""),"林沂德")</f>
        <v>林沂德</v>
      </c>
      <c r="D257" s="16" t="str">
        <f>IFERROR(__xludf.DUMMYFUNCTION("""COMPUTED_VALUE"""),"ala*****809@gmail.com")</f>
        <v>ala*****809@gmail.com</v>
      </c>
      <c r="E257" s="17" t="str">
        <f>IFERROR(__xludf.DUMMYFUNCTION("""COMPUTED_VALUE"""),"新北市立福和國民中學")</f>
        <v>新北市立福和國民中學</v>
      </c>
      <c r="F257" s="14" t="str">
        <f>IFERROR(__xludf.DUMMYFUNCTION("""COMPUTED_VALUE"""),"七年級")</f>
        <v>七年級</v>
      </c>
      <c r="G257" s="14" t="str">
        <f>IFERROR(__xludf.DUMMYFUNCTION("""COMPUTED_VALUE"""),"獎狀")</f>
        <v>獎狀</v>
      </c>
      <c r="H257" s="8"/>
    </row>
    <row r="258">
      <c r="A258" s="18"/>
      <c r="B258" s="14">
        <f>IFERROR(__xludf.DUMMYFUNCTION("""COMPUTED_VALUE"""),984250.0)</f>
        <v>984250</v>
      </c>
      <c r="C258" s="14" t="str">
        <f>IFERROR(__xludf.DUMMYFUNCTION("""COMPUTED_VALUE"""),"江佳臻")</f>
        <v>江佳臻</v>
      </c>
      <c r="D258" s="16" t="str">
        <f>IFERROR(__xludf.DUMMYFUNCTION("""COMPUTED_VALUE"""),"sop*****4@apps.ntpc.edu.tw")</f>
        <v>sop*****4@apps.ntpc.edu.tw</v>
      </c>
      <c r="E258" s="17" t="str">
        <f>IFERROR(__xludf.DUMMYFUNCTION("""COMPUTED_VALUE"""),"新北市立福和國民中學")</f>
        <v>新北市立福和國民中學</v>
      </c>
      <c r="F258" s="14" t="str">
        <f>IFERROR(__xludf.DUMMYFUNCTION("""COMPUTED_VALUE"""),"八年級")</f>
        <v>八年級</v>
      </c>
      <c r="G258" s="14" t="str">
        <f>IFERROR(__xludf.DUMMYFUNCTION("""COMPUTED_VALUE"""),"●小禮物")</f>
        <v>●小禮物</v>
      </c>
      <c r="H258" s="8"/>
    </row>
    <row r="259">
      <c r="A259" s="18"/>
      <c r="B259" s="14">
        <f>IFERROR(__xludf.DUMMYFUNCTION("""COMPUTED_VALUE"""),419502.0)</f>
        <v>419502</v>
      </c>
      <c r="C259" s="14" t="str">
        <f>IFERROR(__xludf.DUMMYFUNCTION("""COMPUTED_VALUE"""),"莊芷芸")</f>
        <v>莊芷芸</v>
      </c>
      <c r="D259" s="16" t="str">
        <f>IFERROR(__xludf.DUMMYFUNCTION("""COMPUTED_VALUE"""),"flo*****@gmail.com")</f>
        <v>flo*****@gmail.com</v>
      </c>
      <c r="E259" s="17" t="str">
        <f>IFERROR(__xludf.DUMMYFUNCTION("""COMPUTED_VALUE"""),"新北市立永和國民中學")</f>
        <v>新北市立永和國民中學</v>
      </c>
      <c r="F259" s="14" t="str">
        <f>IFERROR(__xludf.DUMMYFUNCTION("""COMPUTED_VALUE"""),"八年級")</f>
        <v>八年級</v>
      </c>
      <c r="G259" s="14" t="str">
        <f>IFERROR(__xludf.DUMMYFUNCTION("""COMPUTED_VALUE"""),"●小禮物")</f>
        <v>●小禮物</v>
      </c>
      <c r="H259" s="8"/>
    </row>
    <row r="260">
      <c r="A260" s="18"/>
      <c r="B260" s="14">
        <f>IFERROR(__xludf.DUMMYFUNCTION("""COMPUTED_VALUE"""),337324.0)</f>
        <v>337324</v>
      </c>
      <c r="C260" s="14" t="str">
        <f>IFERROR(__xludf.DUMMYFUNCTION("""COMPUTED_VALUE"""),"廖君寧")</f>
        <v>廖君寧</v>
      </c>
      <c r="D260" s="16" t="str">
        <f>IFERROR(__xludf.DUMMYFUNCTION("""COMPUTED_VALUE"""),"yh1*****26.ntpc@mail.edu.tw")</f>
        <v>yh1*****26.ntpc@mail.edu.tw</v>
      </c>
      <c r="E260" s="17" t="str">
        <f>IFERROR(__xludf.DUMMYFUNCTION("""COMPUTED_VALUE"""),"新北市立永和國民中學")</f>
        <v>新北市立永和國民中學</v>
      </c>
      <c r="F260" s="14" t="str">
        <f>IFERROR(__xludf.DUMMYFUNCTION("""COMPUTED_VALUE"""),"八年級")</f>
        <v>八年級</v>
      </c>
      <c r="G260" s="14" t="str">
        <f>IFERROR(__xludf.DUMMYFUNCTION("""COMPUTED_VALUE"""),"●小禮物")</f>
        <v>●小禮物</v>
      </c>
      <c r="H260" s="8"/>
    </row>
    <row r="261">
      <c r="A261" s="18"/>
      <c r="B261" s="14">
        <f>IFERROR(__xludf.DUMMYFUNCTION("""COMPUTED_VALUE"""),1218781.0)</f>
        <v>1218781</v>
      </c>
      <c r="C261" s="14" t="str">
        <f>IFERROR(__xludf.DUMMYFUNCTION("""COMPUTED_VALUE"""),"徐昱凱")</f>
        <v>徐昱凱</v>
      </c>
      <c r="D261" s="16" t="str">
        <f>IFERROR(__xludf.DUMMYFUNCTION("""COMPUTED_VALUE"""),"055*****lsh.ntpc.edu.tw")</f>
        <v>055*****lsh.ntpc.edu.tw</v>
      </c>
      <c r="E261" s="17" t="str">
        <f>IFERROR(__xludf.DUMMYFUNCTION("""COMPUTED_VALUE"""),"新北市私立竹林高級中學附設國中部")</f>
        <v>新北市私立竹林高級中學附設國中部</v>
      </c>
      <c r="F261" s="14" t="str">
        <f>IFERROR(__xludf.DUMMYFUNCTION("""COMPUTED_VALUE"""),"八年級")</f>
        <v>八年級</v>
      </c>
      <c r="G261" s="14" t="str">
        <f>IFERROR(__xludf.DUMMYFUNCTION("""COMPUTED_VALUE"""),"★禮券$500")</f>
        <v>★禮券$500</v>
      </c>
      <c r="H261" s="8"/>
    </row>
    <row r="262">
      <c r="A262" s="18"/>
      <c r="B262" s="14">
        <f>IFERROR(__xludf.DUMMYFUNCTION("""COMPUTED_VALUE"""),1218661.0)</f>
        <v>1218661</v>
      </c>
      <c r="C262" s="14" t="str">
        <f>IFERROR(__xludf.DUMMYFUNCTION("""COMPUTED_VALUE"""),"吳凱逸")</f>
        <v>吳凱逸</v>
      </c>
      <c r="D262" s="16" t="str">
        <f>IFERROR(__xludf.DUMMYFUNCTION("""COMPUTED_VALUE"""),"050*****lsh.ntpc.edu.tw")</f>
        <v>050*****lsh.ntpc.edu.tw</v>
      </c>
      <c r="E262" s="17" t="str">
        <f>IFERROR(__xludf.DUMMYFUNCTION("""COMPUTED_VALUE"""),"新北市私立竹林高級中學附設國中部")</f>
        <v>新北市私立竹林高級中學附設國中部</v>
      </c>
      <c r="F262" s="14" t="str">
        <f>IFERROR(__xludf.DUMMYFUNCTION("""COMPUTED_VALUE"""),"八年級")</f>
        <v>八年級</v>
      </c>
      <c r="G262" s="14" t="str">
        <f>IFERROR(__xludf.DUMMYFUNCTION("""COMPUTED_VALUE"""),"獎狀")</f>
        <v>獎狀</v>
      </c>
      <c r="H262" s="8"/>
    </row>
    <row r="263">
      <c r="A263" s="18"/>
      <c r="B263" s="14">
        <f>IFERROR(__xludf.DUMMYFUNCTION("""COMPUTED_VALUE"""),1181616.0)</f>
        <v>1181616</v>
      </c>
      <c r="C263" s="14" t="str">
        <f>IFERROR(__xludf.DUMMYFUNCTION("""COMPUTED_VALUE"""),"孔姵人")</f>
        <v>孔姵人</v>
      </c>
      <c r="D263" s="16" t="str">
        <f>IFERROR(__xludf.DUMMYFUNCTION("""COMPUTED_VALUE"""),"cls*****220@apps.ntpc.edu.tw")</f>
        <v>cls*****220@apps.ntpc.edu.tw</v>
      </c>
      <c r="E263" s="17" t="str">
        <f>IFERROR(__xludf.DUMMYFUNCTION("""COMPUTED_VALUE"""),"新北市私立竹林高級中學附設國中部")</f>
        <v>新北市私立竹林高級中學附設國中部</v>
      </c>
      <c r="F263" s="14" t="str">
        <f>IFERROR(__xludf.DUMMYFUNCTION("""COMPUTED_VALUE"""),"八年級")</f>
        <v>八年級</v>
      </c>
      <c r="G263" s="14" t="str">
        <f>IFERROR(__xludf.DUMMYFUNCTION("""COMPUTED_VALUE"""),"獎狀")</f>
        <v>獎狀</v>
      </c>
      <c r="H263" s="8"/>
    </row>
    <row r="264">
      <c r="A264" s="18"/>
      <c r="B264" s="14">
        <f>IFERROR(__xludf.DUMMYFUNCTION("""COMPUTED_VALUE"""),1218789.0)</f>
        <v>1218789</v>
      </c>
      <c r="C264" s="14" t="str">
        <f>IFERROR(__xludf.DUMMYFUNCTION("""COMPUTED_VALUE"""),"吳奕嫻")</f>
        <v>吳奕嫻</v>
      </c>
      <c r="D264" s="16" t="str">
        <f>IFERROR(__xludf.DUMMYFUNCTION("""COMPUTED_VALUE"""),"050*****lsh.ntpc.edu.tw")</f>
        <v>050*****lsh.ntpc.edu.tw</v>
      </c>
      <c r="E264" s="17" t="str">
        <f>IFERROR(__xludf.DUMMYFUNCTION("""COMPUTED_VALUE"""),"新北市私立竹林高級中學附設國中部")</f>
        <v>新北市私立竹林高級中學附設國中部</v>
      </c>
      <c r="F264" s="14" t="str">
        <f>IFERROR(__xludf.DUMMYFUNCTION("""COMPUTED_VALUE"""),"八年級")</f>
        <v>八年級</v>
      </c>
      <c r="G264" s="14" t="str">
        <f>IFERROR(__xludf.DUMMYFUNCTION("""COMPUTED_VALUE"""),"●小禮物")</f>
        <v>●小禮物</v>
      </c>
      <c r="H264" s="8"/>
    </row>
    <row r="265">
      <c r="A265" s="18"/>
      <c r="B265" s="14">
        <f>IFERROR(__xludf.DUMMYFUNCTION("""COMPUTED_VALUE"""),1212399.0)</f>
        <v>1212399</v>
      </c>
      <c r="C265" s="14" t="str">
        <f>IFERROR(__xludf.DUMMYFUNCTION("""COMPUTED_VALUE"""),"歐庭妤")</f>
        <v>歐庭妤</v>
      </c>
      <c r="D265" s="16" t="str">
        <f>IFERROR(__xludf.DUMMYFUNCTION("""COMPUTED_VALUE"""),"050*****lsh.ntpc.edu.tw")</f>
        <v>050*****lsh.ntpc.edu.tw</v>
      </c>
      <c r="E265" s="17" t="str">
        <f>IFERROR(__xludf.DUMMYFUNCTION("""COMPUTED_VALUE"""),"新北市私立竹林高級中學附設國中部")</f>
        <v>新北市私立竹林高級中學附設國中部</v>
      </c>
      <c r="F265" s="14" t="str">
        <f>IFERROR(__xludf.DUMMYFUNCTION("""COMPUTED_VALUE"""),"八年級")</f>
        <v>八年級</v>
      </c>
      <c r="G265" s="14" t="str">
        <f>IFERROR(__xludf.DUMMYFUNCTION("""COMPUTED_VALUE"""),"●小禮物")</f>
        <v>●小禮物</v>
      </c>
      <c r="H265" s="8"/>
    </row>
    <row r="266">
      <c r="A266" s="18"/>
      <c r="B266" s="14">
        <f>IFERROR(__xludf.DUMMYFUNCTION("""COMPUTED_VALUE"""),1212351.0)</f>
        <v>1212351</v>
      </c>
      <c r="C266" s="14" t="str">
        <f>IFERROR(__xludf.DUMMYFUNCTION("""COMPUTED_VALUE"""),"郭姸均")</f>
        <v>郭姸均</v>
      </c>
      <c r="D266" s="16" t="str">
        <f>IFERROR(__xludf.DUMMYFUNCTION("""COMPUTED_VALUE"""),"050*****lsh.ntpc.edu.tw")</f>
        <v>050*****lsh.ntpc.edu.tw</v>
      </c>
      <c r="E266" s="17" t="str">
        <f>IFERROR(__xludf.DUMMYFUNCTION("""COMPUTED_VALUE"""),"新北市私立竹林高級中學附設國中部")</f>
        <v>新北市私立竹林高級中學附設國中部</v>
      </c>
      <c r="F266" s="14" t="str">
        <f>IFERROR(__xludf.DUMMYFUNCTION("""COMPUTED_VALUE"""),"八年級")</f>
        <v>八年級</v>
      </c>
      <c r="G266" s="14" t="str">
        <f>IFERROR(__xludf.DUMMYFUNCTION("""COMPUTED_VALUE"""),"獎狀")</f>
        <v>獎狀</v>
      </c>
      <c r="H266" s="8"/>
    </row>
    <row r="267">
      <c r="A267" s="18"/>
      <c r="B267" s="14">
        <f>IFERROR(__xludf.DUMMYFUNCTION("""COMPUTED_VALUE"""),1194485.0)</f>
        <v>1194485</v>
      </c>
      <c r="C267" s="14" t="str">
        <f>IFERROR(__xludf.DUMMYFUNCTION("""COMPUTED_VALUE"""),"阮瀚葦")</f>
        <v>阮瀚葦</v>
      </c>
      <c r="D267" s="16" t="str">
        <f>IFERROR(__xludf.DUMMYFUNCTION("""COMPUTED_VALUE"""),"055*****lsh.ntpc.edu.tw")</f>
        <v>055*****lsh.ntpc.edu.tw</v>
      </c>
      <c r="E267" s="17" t="str">
        <f>IFERROR(__xludf.DUMMYFUNCTION("""COMPUTED_VALUE"""),"新北市私立竹林高級中學附設國中部")</f>
        <v>新北市私立竹林高級中學附設國中部</v>
      </c>
      <c r="F267" s="14" t="str">
        <f>IFERROR(__xludf.DUMMYFUNCTION("""COMPUTED_VALUE"""),"八年級")</f>
        <v>八年級</v>
      </c>
      <c r="G267" s="14" t="str">
        <f>IFERROR(__xludf.DUMMYFUNCTION("""COMPUTED_VALUE"""),"★禮券$200")</f>
        <v>★禮券$200</v>
      </c>
      <c r="H267" s="8"/>
    </row>
    <row r="268">
      <c r="A268" s="18"/>
      <c r="B268" s="14">
        <f>IFERROR(__xludf.DUMMYFUNCTION("""COMPUTED_VALUE"""),1217275.0)</f>
        <v>1217275</v>
      </c>
      <c r="C268" s="14" t="str">
        <f>IFERROR(__xludf.DUMMYFUNCTION("""COMPUTED_VALUE"""),"劉盈希")</f>
        <v>劉盈希</v>
      </c>
      <c r="D268" s="16" t="str">
        <f>IFERROR(__xludf.DUMMYFUNCTION("""COMPUTED_VALUE"""),"050*****lsh.ntpc.edu.tw")</f>
        <v>050*****lsh.ntpc.edu.tw</v>
      </c>
      <c r="E268" s="17" t="str">
        <f>IFERROR(__xludf.DUMMYFUNCTION("""COMPUTED_VALUE"""),"新北市私立竹林高級中學附設國中部")</f>
        <v>新北市私立竹林高級中學附設國中部</v>
      </c>
      <c r="F268" s="14" t="str">
        <f>IFERROR(__xludf.DUMMYFUNCTION("""COMPUTED_VALUE"""),"八年級")</f>
        <v>八年級</v>
      </c>
      <c r="G268" s="14" t="str">
        <f>IFERROR(__xludf.DUMMYFUNCTION("""COMPUTED_VALUE"""),"★禮券$500")</f>
        <v>★禮券$500</v>
      </c>
      <c r="H268" s="8"/>
    </row>
    <row r="269">
      <c r="A269" s="18"/>
      <c r="B269" s="14">
        <f>IFERROR(__xludf.DUMMYFUNCTION("""COMPUTED_VALUE"""),1218740.0)</f>
        <v>1218740</v>
      </c>
      <c r="C269" s="14" t="str">
        <f>IFERROR(__xludf.DUMMYFUNCTION("""COMPUTED_VALUE"""),"魏浩庭")</f>
        <v>魏浩庭</v>
      </c>
      <c r="D269" s="16" t="str">
        <f>IFERROR(__xludf.DUMMYFUNCTION("""COMPUTED_VALUE"""),"055*****lsh.ntpc.edu.tw")</f>
        <v>055*****lsh.ntpc.edu.tw</v>
      </c>
      <c r="E269" s="17" t="str">
        <f>IFERROR(__xludf.DUMMYFUNCTION("""COMPUTED_VALUE"""),"新北市私立竹林高級中學附設國中部")</f>
        <v>新北市私立竹林高級中學附設國中部</v>
      </c>
      <c r="F269" s="14" t="str">
        <f>IFERROR(__xludf.DUMMYFUNCTION("""COMPUTED_VALUE"""),"八年級")</f>
        <v>八年級</v>
      </c>
      <c r="G269" s="14" t="str">
        <f>IFERROR(__xludf.DUMMYFUNCTION("""COMPUTED_VALUE"""),"獎狀")</f>
        <v>獎狀</v>
      </c>
      <c r="H269" s="8"/>
    </row>
    <row r="270">
      <c r="A270" s="18"/>
      <c r="B270" s="14">
        <f>IFERROR(__xludf.DUMMYFUNCTION("""COMPUTED_VALUE"""),1194283.0)</f>
        <v>1194283</v>
      </c>
      <c r="C270" s="14" t="str">
        <f>IFERROR(__xludf.DUMMYFUNCTION("""COMPUTED_VALUE"""),"林祺祐")</f>
        <v>林祺祐</v>
      </c>
      <c r="D270" s="16" t="str">
        <f>IFERROR(__xludf.DUMMYFUNCTION("""COMPUTED_VALUE"""),"055*****lsh.ntpc.edu.tw")</f>
        <v>055*****lsh.ntpc.edu.tw</v>
      </c>
      <c r="E270" s="17" t="str">
        <f>IFERROR(__xludf.DUMMYFUNCTION("""COMPUTED_VALUE"""),"新北市私立竹林高級中學附設國中部")</f>
        <v>新北市私立竹林高級中學附設國中部</v>
      </c>
      <c r="F270" s="14" t="str">
        <f>IFERROR(__xludf.DUMMYFUNCTION("""COMPUTED_VALUE"""),"八年級")</f>
        <v>八年級</v>
      </c>
      <c r="G270" s="14" t="str">
        <f>IFERROR(__xludf.DUMMYFUNCTION("""COMPUTED_VALUE"""),"●小禮物")</f>
        <v>●小禮物</v>
      </c>
      <c r="H270" s="8"/>
    </row>
    <row r="271">
      <c r="A271" s="18"/>
      <c r="B271" s="14">
        <f>IFERROR(__xludf.DUMMYFUNCTION("""COMPUTED_VALUE"""),1218640.0)</f>
        <v>1218640</v>
      </c>
      <c r="C271" s="14" t="str">
        <f>IFERROR(__xludf.DUMMYFUNCTION("""COMPUTED_VALUE"""),"王莀鑫")</f>
        <v>王莀鑫</v>
      </c>
      <c r="D271" s="16" t="str">
        <f>IFERROR(__xludf.DUMMYFUNCTION("""COMPUTED_VALUE"""),"055*****lsh.ntpc.edu.tw")</f>
        <v>055*****lsh.ntpc.edu.tw</v>
      </c>
      <c r="E271" s="17" t="str">
        <f>IFERROR(__xludf.DUMMYFUNCTION("""COMPUTED_VALUE"""),"新北市私立竹林高級中學附設國中部")</f>
        <v>新北市私立竹林高級中學附設國中部</v>
      </c>
      <c r="F271" s="14" t="str">
        <f>IFERROR(__xludf.DUMMYFUNCTION("""COMPUTED_VALUE"""),"八年級")</f>
        <v>八年級</v>
      </c>
      <c r="G271" s="14" t="str">
        <f>IFERROR(__xludf.DUMMYFUNCTION("""COMPUTED_VALUE"""),"●小禮物")</f>
        <v>●小禮物</v>
      </c>
      <c r="H271" s="8"/>
    </row>
    <row r="272">
      <c r="A272" s="18"/>
      <c r="B272" s="14">
        <f>IFERROR(__xludf.DUMMYFUNCTION("""COMPUTED_VALUE"""),1194481.0)</f>
        <v>1194481</v>
      </c>
      <c r="C272" s="14" t="str">
        <f>IFERROR(__xludf.DUMMYFUNCTION("""COMPUTED_VALUE"""),"李韋翰")</f>
        <v>李韋翰</v>
      </c>
      <c r="D272" s="16" t="str">
        <f>IFERROR(__xludf.DUMMYFUNCTION("""COMPUTED_VALUE"""),"055*****lsh.ntpc.edu.tw")</f>
        <v>055*****lsh.ntpc.edu.tw</v>
      </c>
      <c r="E272" s="17" t="str">
        <f>IFERROR(__xludf.DUMMYFUNCTION("""COMPUTED_VALUE"""),"新北市私立竹林高級中學附設國中部")</f>
        <v>新北市私立竹林高級中學附設國中部</v>
      </c>
      <c r="F272" s="14" t="str">
        <f>IFERROR(__xludf.DUMMYFUNCTION("""COMPUTED_VALUE"""),"八年級")</f>
        <v>八年級</v>
      </c>
      <c r="G272" s="14" t="str">
        <f>IFERROR(__xludf.DUMMYFUNCTION("""COMPUTED_VALUE"""),"●小禮物")</f>
        <v>●小禮物</v>
      </c>
      <c r="H272" s="8"/>
    </row>
    <row r="273">
      <c r="A273" s="18"/>
      <c r="B273" s="14">
        <f>IFERROR(__xludf.DUMMYFUNCTION("""COMPUTED_VALUE"""),1196228.0)</f>
        <v>1196228</v>
      </c>
      <c r="C273" s="14" t="str">
        <f>IFERROR(__xludf.DUMMYFUNCTION("""COMPUTED_VALUE"""),"李馥羽")</f>
        <v>李馥羽</v>
      </c>
      <c r="D273" s="16" t="str">
        <f>IFERROR(__xludf.DUMMYFUNCTION("""COMPUTED_VALUE"""),"050*****lsh.ntpc.edu.tw")</f>
        <v>050*****lsh.ntpc.edu.tw</v>
      </c>
      <c r="E273" s="17" t="str">
        <f>IFERROR(__xludf.DUMMYFUNCTION("""COMPUTED_VALUE"""),"新北市私立竹林高級中學附設國中部")</f>
        <v>新北市私立竹林高級中學附設國中部</v>
      </c>
      <c r="F273" s="14" t="str">
        <f>IFERROR(__xludf.DUMMYFUNCTION("""COMPUTED_VALUE"""),"八年級")</f>
        <v>八年級</v>
      </c>
      <c r="G273" s="14" t="str">
        <f>IFERROR(__xludf.DUMMYFUNCTION("""COMPUTED_VALUE"""),"●小禮物")</f>
        <v>●小禮物</v>
      </c>
      <c r="H273" s="8"/>
    </row>
    <row r="274">
      <c r="A274" s="18"/>
      <c r="B274" s="14">
        <f>IFERROR(__xludf.DUMMYFUNCTION("""COMPUTED_VALUE"""),1192102.0)</f>
        <v>1192102</v>
      </c>
      <c r="C274" s="14" t="str">
        <f>IFERROR(__xludf.DUMMYFUNCTION("""COMPUTED_VALUE"""),"沈柏慶")</f>
        <v>沈柏慶</v>
      </c>
      <c r="D274" s="16" t="str">
        <f>IFERROR(__xludf.DUMMYFUNCTION("""COMPUTED_VALUE"""),"a09*****375@gmail.com")</f>
        <v>a09*****375@gmail.com</v>
      </c>
      <c r="E274" s="17" t="str">
        <f>IFERROR(__xludf.DUMMYFUNCTION("""COMPUTED_VALUE"""),"新北市私立竹林高級中學附設國中部")</f>
        <v>新北市私立竹林高級中學附設國中部</v>
      </c>
      <c r="F274" s="14" t="str">
        <f>IFERROR(__xludf.DUMMYFUNCTION("""COMPUTED_VALUE"""),"八年級")</f>
        <v>八年級</v>
      </c>
      <c r="G274" s="14" t="str">
        <f>IFERROR(__xludf.DUMMYFUNCTION("""COMPUTED_VALUE"""),"●小禮物")</f>
        <v>●小禮物</v>
      </c>
      <c r="H274" s="8"/>
    </row>
    <row r="275">
      <c r="A275" s="18"/>
      <c r="B275" s="14">
        <f>IFERROR(__xludf.DUMMYFUNCTION("""COMPUTED_VALUE"""),1217189.0)</f>
        <v>1217189</v>
      </c>
      <c r="C275" s="14" t="str">
        <f>IFERROR(__xludf.DUMMYFUNCTION("""COMPUTED_VALUE"""),"林子琦")</f>
        <v>林子琦</v>
      </c>
      <c r="D275" s="16" t="str">
        <f>IFERROR(__xludf.DUMMYFUNCTION("""COMPUTED_VALUE"""),"050*****lsh.ntpc.edu.tw")</f>
        <v>050*****lsh.ntpc.edu.tw</v>
      </c>
      <c r="E275" s="17" t="str">
        <f>IFERROR(__xludf.DUMMYFUNCTION("""COMPUTED_VALUE"""),"新北市私立竹林高級中學附設國中部")</f>
        <v>新北市私立竹林高級中學附設國中部</v>
      </c>
      <c r="F275" s="14" t="str">
        <f>IFERROR(__xludf.DUMMYFUNCTION("""COMPUTED_VALUE"""),"八年級")</f>
        <v>八年級</v>
      </c>
      <c r="G275" s="14" t="str">
        <f>IFERROR(__xludf.DUMMYFUNCTION("""COMPUTED_VALUE"""),"●小禮物")</f>
        <v>●小禮物</v>
      </c>
      <c r="H275" s="8"/>
    </row>
    <row r="276">
      <c r="A276" s="18"/>
      <c r="B276" s="14">
        <f>IFERROR(__xludf.DUMMYFUNCTION("""COMPUTED_VALUE"""),1217061.0)</f>
        <v>1217061</v>
      </c>
      <c r="C276" s="14" t="str">
        <f>IFERROR(__xludf.DUMMYFUNCTION("""COMPUTED_VALUE"""),"邱品豪")</f>
        <v>邱品豪</v>
      </c>
      <c r="D276" s="16" t="str">
        <f>IFERROR(__xludf.DUMMYFUNCTION("""COMPUTED_VALUE"""),"055*****lsh.ntpc.edu.tw")</f>
        <v>055*****lsh.ntpc.edu.tw</v>
      </c>
      <c r="E276" s="17" t="str">
        <f>IFERROR(__xludf.DUMMYFUNCTION("""COMPUTED_VALUE"""),"新北市私立竹林高級中學附設國中部")</f>
        <v>新北市私立竹林高級中學附設國中部</v>
      </c>
      <c r="F276" s="14" t="str">
        <f>IFERROR(__xludf.DUMMYFUNCTION("""COMPUTED_VALUE"""),"八年級")</f>
        <v>八年級</v>
      </c>
      <c r="G276" s="14" t="str">
        <f>IFERROR(__xludf.DUMMYFUNCTION("""COMPUTED_VALUE"""),"●小禮物")</f>
        <v>●小禮物</v>
      </c>
      <c r="H276" s="8"/>
    </row>
    <row r="277">
      <c r="A277" s="18"/>
      <c r="B277" s="14">
        <f>IFERROR(__xludf.DUMMYFUNCTION("""COMPUTED_VALUE"""),1179823.0)</f>
        <v>1179823</v>
      </c>
      <c r="C277" s="14" t="str">
        <f>IFERROR(__xludf.DUMMYFUNCTION("""COMPUTED_VALUE"""),"邵煒甯")</f>
        <v>邵煒甯</v>
      </c>
      <c r="D277" s="16" t="str">
        <f>IFERROR(__xludf.DUMMYFUNCTION("""COMPUTED_VALUE"""),"050*****lsh.ntpc.edu.tw")</f>
        <v>050*****lsh.ntpc.edu.tw</v>
      </c>
      <c r="E277" s="17" t="str">
        <f>IFERROR(__xludf.DUMMYFUNCTION("""COMPUTED_VALUE"""),"新北市私立竹林高級中學附設國中部")</f>
        <v>新北市私立竹林高級中學附設國中部</v>
      </c>
      <c r="F277" s="14" t="str">
        <f>IFERROR(__xludf.DUMMYFUNCTION("""COMPUTED_VALUE"""),"八年級")</f>
        <v>八年級</v>
      </c>
      <c r="G277" s="14" t="str">
        <f>IFERROR(__xludf.DUMMYFUNCTION("""COMPUTED_VALUE"""),"●小禮物")</f>
        <v>●小禮物</v>
      </c>
      <c r="H277" s="8"/>
    </row>
    <row r="278">
      <c r="A278" s="18"/>
      <c r="B278" s="14">
        <f>IFERROR(__xludf.DUMMYFUNCTION("""COMPUTED_VALUE"""),1217182.0)</f>
        <v>1217182</v>
      </c>
      <c r="C278" s="14" t="str">
        <f>IFERROR(__xludf.DUMMYFUNCTION("""COMPUTED_VALUE"""),"張尹榕")</f>
        <v>張尹榕</v>
      </c>
      <c r="D278" s="16" t="str">
        <f>IFERROR(__xludf.DUMMYFUNCTION("""COMPUTED_VALUE"""),"050*****lsh.ntpc.edu.tw")</f>
        <v>050*****lsh.ntpc.edu.tw</v>
      </c>
      <c r="E278" s="17" t="str">
        <f>IFERROR(__xludf.DUMMYFUNCTION("""COMPUTED_VALUE"""),"新北市私立竹林高級中學附設國中部")</f>
        <v>新北市私立竹林高級中學附設國中部</v>
      </c>
      <c r="F278" s="14" t="str">
        <f>IFERROR(__xludf.DUMMYFUNCTION("""COMPUTED_VALUE"""),"八年級")</f>
        <v>八年級</v>
      </c>
      <c r="G278" s="14" t="str">
        <f>IFERROR(__xludf.DUMMYFUNCTION("""COMPUTED_VALUE"""),"●小禮物")</f>
        <v>●小禮物</v>
      </c>
      <c r="H278" s="8"/>
    </row>
    <row r="279">
      <c r="A279" s="18"/>
      <c r="B279" s="14">
        <f>IFERROR(__xludf.DUMMYFUNCTION("""COMPUTED_VALUE"""),1218707.0)</f>
        <v>1218707</v>
      </c>
      <c r="C279" s="14" t="str">
        <f>IFERROR(__xludf.DUMMYFUNCTION("""COMPUTED_VALUE"""),"莊岑禹")</f>
        <v>莊岑禹</v>
      </c>
      <c r="D279" s="16" t="str">
        <f>IFERROR(__xludf.DUMMYFUNCTION("""COMPUTED_VALUE"""),"050*****lsh.ntpc.edu.tw")</f>
        <v>050*****lsh.ntpc.edu.tw</v>
      </c>
      <c r="E279" s="17" t="str">
        <f>IFERROR(__xludf.DUMMYFUNCTION("""COMPUTED_VALUE"""),"新北市私立竹林高級中學附設國中部")</f>
        <v>新北市私立竹林高級中學附設國中部</v>
      </c>
      <c r="F279" s="14" t="str">
        <f>IFERROR(__xludf.DUMMYFUNCTION("""COMPUTED_VALUE"""),"八年級")</f>
        <v>八年級</v>
      </c>
      <c r="G279" s="14" t="str">
        <f>IFERROR(__xludf.DUMMYFUNCTION("""COMPUTED_VALUE"""),"●小禮物")</f>
        <v>●小禮物</v>
      </c>
      <c r="H279" s="8"/>
    </row>
    <row r="280">
      <c r="A280" s="18"/>
      <c r="B280" s="14">
        <f>IFERROR(__xludf.DUMMYFUNCTION("""COMPUTED_VALUE"""),1208804.0)</f>
        <v>1208804</v>
      </c>
      <c r="C280" s="14" t="str">
        <f>IFERROR(__xludf.DUMMYFUNCTION("""COMPUTED_VALUE"""),"黃右鑫")</f>
        <v>黃右鑫</v>
      </c>
      <c r="D280" s="16" t="str">
        <f>IFERROR(__xludf.DUMMYFUNCTION("""COMPUTED_VALUE"""),"055*****lsh.ntpc.edu.tw")</f>
        <v>055*****lsh.ntpc.edu.tw</v>
      </c>
      <c r="E280" s="17" t="str">
        <f>IFERROR(__xludf.DUMMYFUNCTION("""COMPUTED_VALUE"""),"新北市私立竹林高級中學附設國中部")</f>
        <v>新北市私立竹林高級中學附設國中部</v>
      </c>
      <c r="F280" s="14" t="str">
        <f>IFERROR(__xludf.DUMMYFUNCTION("""COMPUTED_VALUE"""),"八年級")</f>
        <v>八年級</v>
      </c>
      <c r="G280" s="14" t="str">
        <f>IFERROR(__xludf.DUMMYFUNCTION("""COMPUTED_VALUE"""),"●小禮物")</f>
        <v>●小禮物</v>
      </c>
      <c r="H280" s="8"/>
    </row>
    <row r="281">
      <c r="A281" s="18"/>
      <c r="B281" s="14">
        <f>IFERROR(__xludf.DUMMYFUNCTION("""COMPUTED_VALUE"""),1217522.0)</f>
        <v>1217522</v>
      </c>
      <c r="C281" s="14" t="str">
        <f>IFERROR(__xludf.DUMMYFUNCTION("""COMPUTED_VALUE"""),"劉泓寬")</f>
        <v>劉泓寬</v>
      </c>
      <c r="D281" s="16" t="str">
        <f>IFERROR(__xludf.DUMMYFUNCTION("""COMPUTED_VALUE"""),"055*****lsh.ntpc.edu.tw")</f>
        <v>055*****lsh.ntpc.edu.tw</v>
      </c>
      <c r="E281" s="17" t="str">
        <f>IFERROR(__xludf.DUMMYFUNCTION("""COMPUTED_VALUE"""),"新北市私立竹林高級中學附設國中部")</f>
        <v>新北市私立竹林高級中學附設國中部</v>
      </c>
      <c r="F281" s="14" t="str">
        <f>IFERROR(__xludf.DUMMYFUNCTION("""COMPUTED_VALUE"""),"八年級")</f>
        <v>八年級</v>
      </c>
      <c r="G281" s="14" t="str">
        <f>IFERROR(__xludf.DUMMYFUNCTION("""COMPUTED_VALUE"""),"●小禮物")</f>
        <v>●小禮物</v>
      </c>
      <c r="H281" s="8"/>
    </row>
    <row r="282">
      <c r="A282" s="18"/>
      <c r="B282" s="14">
        <f>IFERROR(__xludf.DUMMYFUNCTION("""COMPUTED_VALUE"""),1174056.0)</f>
        <v>1174056</v>
      </c>
      <c r="C282" s="14" t="str">
        <f>IFERROR(__xludf.DUMMYFUNCTION("""COMPUTED_VALUE"""),"于蝶")</f>
        <v>于蝶</v>
      </c>
      <c r="D282" s="16" t="str">
        <f>IFERROR(__xludf.DUMMYFUNCTION("""COMPUTED_VALUE"""),"sei*****1005@gmail.com")</f>
        <v>sei*****1005@gmail.com</v>
      </c>
      <c r="E282" s="17" t="str">
        <f>IFERROR(__xludf.DUMMYFUNCTION("""COMPUTED_VALUE"""),"新北市私立竹林高級中學附設國中部")</f>
        <v>新北市私立竹林高級中學附設國中部</v>
      </c>
      <c r="F282" s="14" t="str">
        <f>IFERROR(__xludf.DUMMYFUNCTION("""COMPUTED_VALUE"""),"八年級")</f>
        <v>八年級</v>
      </c>
      <c r="G282" s="14" t="str">
        <f>IFERROR(__xludf.DUMMYFUNCTION("""COMPUTED_VALUE"""),"獎狀")</f>
        <v>獎狀</v>
      </c>
      <c r="H282" s="8"/>
    </row>
    <row r="283">
      <c r="A283" s="18"/>
      <c r="B283" s="14">
        <f>IFERROR(__xludf.DUMMYFUNCTION("""COMPUTED_VALUE"""),1217719.0)</f>
        <v>1217719</v>
      </c>
      <c r="C283" s="14" t="str">
        <f>IFERROR(__xludf.DUMMYFUNCTION("""COMPUTED_VALUE"""),"王妤安")</f>
        <v>王妤安</v>
      </c>
      <c r="D283" s="16" t="str">
        <f>IFERROR(__xludf.DUMMYFUNCTION("""COMPUTED_VALUE"""),"050*****lsh.ntpc.edu.tw")</f>
        <v>050*****lsh.ntpc.edu.tw</v>
      </c>
      <c r="E283" s="17" t="str">
        <f>IFERROR(__xludf.DUMMYFUNCTION("""COMPUTED_VALUE"""),"新北市私立竹林高級中學附設國中部")</f>
        <v>新北市私立竹林高級中學附設國中部</v>
      </c>
      <c r="F283" s="14" t="str">
        <f>IFERROR(__xludf.DUMMYFUNCTION("""COMPUTED_VALUE"""),"八年級")</f>
        <v>八年級</v>
      </c>
      <c r="G283" s="14" t="str">
        <f>IFERROR(__xludf.DUMMYFUNCTION("""COMPUTED_VALUE"""),"獎狀")</f>
        <v>獎狀</v>
      </c>
      <c r="H283" s="8"/>
    </row>
    <row r="284">
      <c r="A284" s="18"/>
      <c r="B284" s="14">
        <f>IFERROR(__xludf.DUMMYFUNCTION("""COMPUTED_VALUE"""),1217356.0)</f>
        <v>1217356</v>
      </c>
      <c r="C284" s="14" t="str">
        <f>IFERROR(__xludf.DUMMYFUNCTION("""COMPUTED_VALUE"""),"李秉軒")</f>
        <v>李秉軒</v>
      </c>
      <c r="D284" s="16" t="str">
        <f>IFERROR(__xludf.DUMMYFUNCTION("""COMPUTED_VALUE"""),"055*****lsh.ntpc.edu.tw")</f>
        <v>055*****lsh.ntpc.edu.tw</v>
      </c>
      <c r="E284" s="17" t="str">
        <f>IFERROR(__xludf.DUMMYFUNCTION("""COMPUTED_VALUE"""),"新北市私立竹林高級中學附設國中部")</f>
        <v>新北市私立竹林高級中學附設國中部</v>
      </c>
      <c r="F284" s="14" t="str">
        <f>IFERROR(__xludf.DUMMYFUNCTION("""COMPUTED_VALUE"""),"八年級")</f>
        <v>八年級</v>
      </c>
      <c r="G284" s="14" t="str">
        <f>IFERROR(__xludf.DUMMYFUNCTION("""COMPUTED_VALUE"""),"獎狀")</f>
        <v>獎狀</v>
      </c>
      <c r="H284" s="8"/>
    </row>
    <row r="285">
      <c r="A285" s="18"/>
      <c r="B285" s="14">
        <f>IFERROR(__xludf.DUMMYFUNCTION("""COMPUTED_VALUE"""),1199129.0)</f>
        <v>1199129</v>
      </c>
      <c r="C285" s="14" t="str">
        <f>IFERROR(__xludf.DUMMYFUNCTION("""COMPUTED_VALUE"""),"李康芸")</f>
        <v>李康芸</v>
      </c>
      <c r="D285" s="16" t="str">
        <f>IFERROR(__xludf.DUMMYFUNCTION("""COMPUTED_VALUE"""),"050*****lsh.ntpc.edu.tw")</f>
        <v>050*****lsh.ntpc.edu.tw</v>
      </c>
      <c r="E285" s="17" t="str">
        <f>IFERROR(__xludf.DUMMYFUNCTION("""COMPUTED_VALUE"""),"新北市私立竹林高級中學附設國中部")</f>
        <v>新北市私立竹林高級中學附設國中部</v>
      </c>
      <c r="F285" s="14" t="str">
        <f>IFERROR(__xludf.DUMMYFUNCTION("""COMPUTED_VALUE"""),"八年級")</f>
        <v>八年級</v>
      </c>
      <c r="G285" s="14" t="str">
        <f>IFERROR(__xludf.DUMMYFUNCTION("""COMPUTED_VALUE"""),"獎狀")</f>
        <v>獎狀</v>
      </c>
      <c r="H285" s="8"/>
    </row>
    <row r="286">
      <c r="A286" s="18"/>
      <c r="B286" s="14">
        <f>IFERROR(__xludf.DUMMYFUNCTION("""COMPUTED_VALUE"""),1199236.0)</f>
        <v>1199236</v>
      </c>
      <c r="C286" s="14" t="str">
        <f>IFERROR(__xludf.DUMMYFUNCTION("""COMPUTED_VALUE"""),"林嫣婷")</f>
        <v>林嫣婷</v>
      </c>
      <c r="D286" s="16" t="str">
        <f>IFERROR(__xludf.DUMMYFUNCTION("""COMPUTED_VALUE"""),"for*****dreams187@gmail.com")</f>
        <v>for*****dreams187@gmail.com</v>
      </c>
      <c r="E286" s="17" t="str">
        <f>IFERROR(__xludf.DUMMYFUNCTION("""COMPUTED_VALUE"""),"新北市私立竹林高級中學附設國中部")</f>
        <v>新北市私立竹林高級中學附設國中部</v>
      </c>
      <c r="F286" s="14" t="str">
        <f>IFERROR(__xludf.DUMMYFUNCTION("""COMPUTED_VALUE"""),"八年級")</f>
        <v>八年級</v>
      </c>
      <c r="G286" s="14" t="str">
        <f>IFERROR(__xludf.DUMMYFUNCTION("""COMPUTED_VALUE"""),"獎狀")</f>
        <v>獎狀</v>
      </c>
      <c r="H286" s="8"/>
    </row>
    <row r="287">
      <c r="A287" s="18"/>
      <c r="B287" s="14">
        <f>IFERROR(__xludf.DUMMYFUNCTION("""COMPUTED_VALUE"""),1217215.0)</f>
        <v>1217215</v>
      </c>
      <c r="C287" s="14" t="str">
        <f>IFERROR(__xludf.DUMMYFUNCTION("""COMPUTED_VALUE"""),"洪瑞翎")</f>
        <v>洪瑞翎</v>
      </c>
      <c r="D287" s="16" t="str">
        <f>IFERROR(__xludf.DUMMYFUNCTION("""COMPUTED_VALUE"""),"050*****lsh.ntpc.edu.tw")</f>
        <v>050*****lsh.ntpc.edu.tw</v>
      </c>
      <c r="E287" s="17" t="str">
        <f>IFERROR(__xludf.DUMMYFUNCTION("""COMPUTED_VALUE"""),"新北市私立竹林高級中學附設國中部")</f>
        <v>新北市私立竹林高級中學附設國中部</v>
      </c>
      <c r="F287" s="14" t="str">
        <f>IFERROR(__xludf.DUMMYFUNCTION("""COMPUTED_VALUE"""),"八年級")</f>
        <v>八年級</v>
      </c>
      <c r="G287" s="14" t="str">
        <f>IFERROR(__xludf.DUMMYFUNCTION("""COMPUTED_VALUE"""),"獎狀")</f>
        <v>獎狀</v>
      </c>
      <c r="H287" s="8"/>
    </row>
    <row r="288">
      <c r="A288" s="18"/>
      <c r="B288" s="14">
        <f>IFERROR(__xludf.DUMMYFUNCTION("""COMPUTED_VALUE"""),1217279.0)</f>
        <v>1217279</v>
      </c>
      <c r="C288" s="14" t="str">
        <f>IFERROR(__xludf.DUMMYFUNCTION("""COMPUTED_VALUE"""),"范育慈")</f>
        <v>范育慈</v>
      </c>
      <c r="D288" s="16" t="str">
        <f>IFERROR(__xludf.DUMMYFUNCTION("""COMPUTED_VALUE"""),"050*****lsh.ntpc.edu.tw")</f>
        <v>050*****lsh.ntpc.edu.tw</v>
      </c>
      <c r="E288" s="17" t="str">
        <f>IFERROR(__xludf.DUMMYFUNCTION("""COMPUTED_VALUE"""),"新北市私立竹林高級中學附設國中部")</f>
        <v>新北市私立竹林高級中學附設國中部</v>
      </c>
      <c r="F288" s="14" t="str">
        <f>IFERROR(__xludf.DUMMYFUNCTION("""COMPUTED_VALUE"""),"八年級")</f>
        <v>八年級</v>
      </c>
      <c r="G288" s="14" t="str">
        <f>IFERROR(__xludf.DUMMYFUNCTION("""COMPUTED_VALUE"""),"獎狀")</f>
        <v>獎狀</v>
      </c>
      <c r="H288" s="8"/>
    </row>
    <row r="289">
      <c r="A289" s="18"/>
      <c r="B289" s="14">
        <f>IFERROR(__xludf.DUMMYFUNCTION("""COMPUTED_VALUE"""),660724.0)</f>
        <v>660724</v>
      </c>
      <c r="C289" s="14" t="str">
        <f>IFERROR(__xludf.DUMMYFUNCTION("""COMPUTED_VALUE"""),"張偲錡")</f>
        <v>張偲錡</v>
      </c>
      <c r="D289" s="16" t="str">
        <f>IFERROR(__xludf.DUMMYFUNCTION("""COMPUTED_VALUE"""),"jes*****hang0318@gmail.com")</f>
        <v>jes*****hang0318@gmail.com</v>
      </c>
      <c r="E289" s="17" t="str">
        <f>IFERROR(__xludf.DUMMYFUNCTION("""COMPUTED_VALUE"""),"新北市私立竹林高級中學附設國中部")</f>
        <v>新北市私立竹林高級中學附設國中部</v>
      </c>
      <c r="F289" s="14" t="str">
        <f>IFERROR(__xludf.DUMMYFUNCTION("""COMPUTED_VALUE"""),"八年級")</f>
        <v>八年級</v>
      </c>
      <c r="G289" s="14" t="str">
        <f>IFERROR(__xludf.DUMMYFUNCTION("""COMPUTED_VALUE"""),"獎狀")</f>
        <v>獎狀</v>
      </c>
      <c r="H289" s="8"/>
    </row>
    <row r="290">
      <c r="A290" s="18"/>
      <c r="B290" s="14">
        <f>IFERROR(__xludf.DUMMYFUNCTION("""COMPUTED_VALUE"""),1217465.0)</f>
        <v>1217465</v>
      </c>
      <c r="C290" s="14" t="str">
        <f>IFERROR(__xludf.DUMMYFUNCTION("""COMPUTED_VALUE"""),"陳芊諭")</f>
        <v>陳芊諭</v>
      </c>
      <c r="D290" s="16" t="str">
        <f>IFERROR(__xludf.DUMMYFUNCTION("""COMPUTED_VALUE"""),"050*****lsh.ntpc.edu.tw")</f>
        <v>050*****lsh.ntpc.edu.tw</v>
      </c>
      <c r="E290" s="17" t="str">
        <f>IFERROR(__xludf.DUMMYFUNCTION("""COMPUTED_VALUE"""),"新北市私立竹林高級中學附設國中部")</f>
        <v>新北市私立竹林高級中學附設國中部</v>
      </c>
      <c r="F290" s="14" t="str">
        <f>IFERROR(__xludf.DUMMYFUNCTION("""COMPUTED_VALUE"""),"八年級")</f>
        <v>八年級</v>
      </c>
      <c r="G290" s="14" t="str">
        <f>IFERROR(__xludf.DUMMYFUNCTION("""COMPUTED_VALUE"""),"獎狀")</f>
        <v>獎狀</v>
      </c>
      <c r="H290" s="8"/>
    </row>
    <row r="291">
      <c r="A291" s="18"/>
      <c r="B291" s="14">
        <f>IFERROR(__xludf.DUMMYFUNCTION("""COMPUTED_VALUE"""),1216962.0)</f>
        <v>1216962</v>
      </c>
      <c r="C291" s="14" t="str">
        <f>IFERROR(__xludf.DUMMYFUNCTION("""COMPUTED_VALUE"""),"陳彥如")</f>
        <v>陳彥如</v>
      </c>
      <c r="D291" s="16" t="str">
        <f>IFERROR(__xludf.DUMMYFUNCTION("""COMPUTED_VALUE"""),"050*****lsh.ntpc.edu.tw")</f>
        <v>050*****lsh.ntpc.edu.tw</v>
      </c>
      <c r="E291" s="17" t="str">
        <f>IFERROR(__xludf.DUMMYFUNCTION("""COMPUTED_VALUE"""),"新北市私立竹林高級中學附設國中部")</f>
        <v>新北市私立竹林高級中學附設國中部</v>
      </c>
      <c r="F291" s="14" t="str">
        <f>IFERROR(__xludf.DUMMYFUNCTION("""COMPUTED_VALUE"""),"八年級")</f>
        <v>八年級</v>
      </c>
      <c r="G291" s="14" t="str">
        <f>IFERROR(__xludf.DUMMYFUNCTION("""COMPUTED_VALUE"""),"獎狀")</f>
        <v>獎狀</v>
      </c>
      <c r="H291" s="8"/>
    </row>
    <row r="292">
      <c r="A292" s="18"/>
      <c r="B292" s="14">
        <f>IFERROR(__xludf.DUMMYFUNCTION("""COMPUTED_VALUE"""),1187177.0)</f>
        <v>1187177</v>
      </c>
      <c r="C292" s="14" t="str">
        <f>IFERROR(__xludf.DUMMYFUNCTION("""COMPUTED_VALUE"""),"陳湘穎")</f>
        <v>陳湘穎</v>
      </c>
      <c r="D292" s="16" t="str">
        <f>IFERROR(__xludf.DUMMYFUNCTION("""COMPUTED_VALUE"""),"050*****lsh.ntpc.edu.tw")</f>
        <v>050*****lsh.ntpc.edu.tw</v>
      </c>
      <c r="E292" s="17" t="str">
        <f>IFERROR(__xludf.DUMMYFUNCTION("""COMPUTED_VALUE"""),"新北市私立竹林高級中學附設國中部")</f>
        <v>新北市私立竹林高級中學附設國中部</v>
      </c>
      <c r="F292" s="14" t="str">
        <f>IFERROR(__xludf.DUMMYFUNCTION("""COMPUTED_VALUE"""),"八年級")</f>
        <v>八年級</v>
      </c>
      <c r="G292" s="14" t="str">
        <f>IFERROR(__xludf.DUMMYFUNCTION("""COMPUTED_VALUE"""),"獎狀")</f>
        <v>獎狀</v>
      </c>
      <c r="H292" s="8"/>
    </row>
    <row r="293">
      <c r="A293" s="18"/>
      <c r="B293" s="14">
        <f>IFERROR(__xludf.DUMMYFUNCTION("""COMPUTED_VALUE"""),777338.0)</f>
        <v>777338</v>
      </c>
      <c r="C293" s="14" t="str">
        <f>IFERROR(__xludf.DUMMYFUNCTION("""COMPUTED_VALUE"""),"蔡欣娟")</f>
        <v>蔡欣娟</v>
      </c>
      <c r="D293" s="16" t="str">
        <f>IFERROR(__xludf.DUMMYFUNCTION("""COMPUTED_VALUE"""),"dor*****990115@gmail.com")</f>
        <v>dor*****990115@gmail.com</v>
      </c>
      <c r="E293" s="17" t="str">
        <f>IFERROR(__xludf.DUMMYFUNCTION("""COMPUTED_VALUE"""),"南山學校財團法人新北市南山高級中學附設國中部")</f>
        <v>南山學校財團法人新北市南山高級中學附設國中部</v>
      </c>
      <c r="F293" s="14" t="str">
        <f>IFERROR(__xludf.DUMMYFUNCTION("""COMPUTED_VALUE"""),"七年級")</f>
        <v>七年級</v>
      </c>
      <c r="G293" s="14" t="str">
        <f>IFERROR(__xludf.DUMMYFUNCTION("""COMPUTED_VALUE"""),"●小禮物")</f>
        <v>●小禮物</v>
      </c>
      <c r="H293" s="8"/>
    </row>
    <row r="294">
      <c r="A294" s="18"/>
      <c r="B294" s="14">
        <f>IFERROR(__xludf.DUMMYFUNCTION("""COMPUTED_VALUE"""),309649.0)</f>
        <v>309649</v>
      </c>
      <c r="C294" s="14" t="str">
        <f>IFERROR(__xludf.DUMMYFUNCTION("""COMPUTED_VALUE"""),"潘泓澍")</f>
        <v>潘泓澍</v>
      </c>
      <c r="D294" s="16" t="str">
        <f>IFERROR(__xludf.DUMMYFUNCTION("""COMPUTED_VALUE"""),"a15*****stdmail.nssh.ntpc.edu.tw")</f>
        <v>a15*****stdmail.nssh.ntpc.edu.tw</v>
      </c>
      <c r="E294" s="17" t="str">
        <f>IFERROR(__xludf.DUMMYFUNCTION("""COMPUTED_VALUE"""),"南山學校財團法人新北市南山高級中學附設國中部")</f>
        <v>南山學校財團法人新北市南山高級中學附設國中部</v>
      </c>
      <c r="F294" s="14" t="str">
        <f>IFERROR(__xludf.DUMMYFUNCTION("""COMPUTED_VALUE"""),"七年級")</f>
        <v>七年級</v>
      </c>
      <c r="G294" s="14" t="str">
        <f>IFERROR(__xludf.DUMMYFUNCTION("""COMPUTED_VALUE"""),"★禮券$500")</f>
        <v>★禮券$500</v>
      </c>
      <c r="H294" s="8"/>
    </row>
    <row r="295">
      <c r="A295" s="18"/>
      <c r="B295" s="14">
        <f>IFERROR(__xludf.DUMMYFUNCTION("""COMPUTED_VALUE"""),771340.0)</f>
        <v>771340</v>
      </c>
      <c r="C295" s="14" t="str">
        <f>IFERROR(__xludf.DUMMYFUNCTION("""COMPUTED_VALUE"""),"陳威丞")</f>
        <v>陳威丞</v>
      </c>
      <c r="D295" s="16" t="str">
        <f>IFERROR(__xludf.DUMMYFUNCTION("""COMPUTED_VALUE"""),"a05*****stdmail.nssh.ntpc.edu.tw")</f>
        <v>a05*****stdmail.nssh.ntpc.edu.tw</v>
      </c>
      <c r="E295" s="17" t="str">
        <f>IFERROR(__xludf.DUMMYFUNCTION("""COMPUTED_VALUE"""),"南山學校財團法人新北市南山高級中學附設國中部")</f>
        <v>南山學校財團法人新北市南山高級中學附設國中部</v>
      </c>
      <c r="F295" s="14" t="str">
        <f>IFERROR(__xludf.DUMMYFUNCTION("""COMPUTED_VALUE"""),"八年級")</f>
        <v>八年級</v>
      </c>
      <c r="G295" s="14" t="str">
        <f>IFERROR(__xludf.DUMMYFUNCTION("""COMPUTED_VALUE"""),"●小禮物")</f>
        <v>●小禮物</v>
      </c>
      <c r="H295" s="8"/>
    </row>
    <row r="296">
      <c r="A296" s="18"/>
      <c r="B296" s="14">
        <f>IFERROR(__xludf.DUMMYFUNCTION("""COMPUTED_VALUE"""),946391.0)</f>
        <v>946391</v>
      </c>
      <c r="C296" s="14" t="str">
        <f>IFERROR(__xludf.DUMMYFUNCTION("""COMPUTED_VALUE"""),"李芸伶")</f>
        <v>李芸伶</v>
      </c>
      <c r="D296" s="16" t="str">
        <f>IFERROR(__xludf.DUMMYFUNCTION("""COMPUTED_VALUE"""),"jub*****gmail.com")</f>
        <v>jub*****gmail.com</v>
      </c>
      <c r="E296" s="17" t="str">
        <f>IFERROR(__xludf.DUMMYFUNCTION("""COMPUTED_VALUE"""),"南山學校財團法人新北市南山高級中學附設國中部")</f>
        <v>南山學校財團法人新北市南山高級中學附設國中部</v>
      </c>
      <c r="F296" s="14" t="str">
        <f>IFERROR(__xludf.DUMMYFUNCTION("""COMPUTED_VALUE"""),"八年級")</f>
        <v>八年級</v>
      </c>
      <c r="G296" s="14" t="str">
        <f>IFERROR(__xludf.DUMMYFUNCTION("""COMPUTED_VALUE"""),"獎狀")</f>
        <v>獎狀</v>
      </c>
      <c r="H296" s="8"/>
    </row>
    <row r="297">
      <c r="A297" s="18"/>
      <c r="B297" s="14">
        <f>IFERROR(__xludf.DUMMYFUNCTION("""COMPUTED_VALUE"""),446695.0)</f>
        <v>446695</v>
      </c>
      <c r="C297" s="14" t="str">
        <f>IFERROR(__xludf.DUMMYFUNCTION("""COMPUTED_VALUE"""),"王森洋")</f>
        <v>王森洋</v>
      </c>
      <c r="D297" s="16" t="str">
        <f>IFERROR(__xludf.DUMMYFUNCTION("""COMPUTED_VALUE"""),"a95*****stdmail.nssh.ntpc.edu.tw")</f>
        <v>a95*****stdmail.nssh.ntpc.edu.tw</v>
      </c>
      <c r="E297" s="17" t="str">
        <f>IFERROR(__xludf.DUMMYFUNCTION("""COMPUTED_VALUE"""),"南山學校財團法人新北市南山高級中學附設國中部")</f>
        <v>南山學校財團法人新北市南山高級中學附設國中部</v>
      </c>
      <c r="F297" s="14" t="str">
        <f>IFERROR(__xludf.DUMMYFUNCTION("""COMPUTED_VALUE"""),"九年級")</f>
        <v>九年級</v>
      </c>
      <c r="G297" s="14" t="str">
        <f>IFERROR(__xludf.DUMMYFUNCTION("""COMPUTED_VALUE"""),"獎狀")</f>
        <v>獎狀</v>
      </c>
      <c r="H297" s="8"/>
    </row>
    <row r="298">
      <c r="A298" s="18"/>
      <c r="B298" s="14">
        <f>IFERROR(__xludf.DUMMYFUNCTION("""COMPUTED_VALUE"""),446682.0)</f>
        <v>446682</v>
      </c>
      <c r="C298" s="14" t="str">
        <f>IFERROR(__xludf.DUMMYFUNCTION("""COMPUTED_VALUE"""),"蕭廷兆")</f>
        <v>蕭廷兆</v>
      </c>
      <c r="D298" s="16" t="str">
        <f>IFERROR(__xludf.DUMMYFUNCTION("""COMPUTED_VALUE"""),"a95*****stdmail.nssh.ntpc.edu.tw")</f>
        <v>a95*****stdmail.nssh.ntpc.edu.tw</v>
      </c>
      <c r="E298" s="17" t="str">
        <f>IFERROR(__xludf.DUMMYFUNCTION("""COMPUTED_VALUE"""),"南山學校財團法人新北市南山高級中學附設國中部")</f>
        <v>南山學校財團法人新北市南山高級中學附設國中部</v>
      </c>
      <c r="F298" s="14" t="str">
        <f>IFERROR(__xludf.DUMMYFUNCTION("""COMPUTED_VALUE"""),"九年級")</f>
        <v>九年級</v>
      </c>
      <c r="G298" s="14" t="str">
        <f>IFERROR(__xludf.DUMMYFUNCTION("""COMPUTED_VALUE"""),"★禮券$200")</f>
        <v>★禮券$200</v>
      </c>
      <c r="H298" s="8"/>
    </row>
    <row r="299">
      <c r="A299" s="18"/>
      <c r="B299" s="14">
        <f>IFERROR(__xludf.DUMMYFUNCTION("""COMPUTED_VALUE"""),737892.0)</f>
        <v>737892</v>
      </c>
      <c r="C299" s="14" t="str">
        <f>IFERROR(__xludf.DUMMYFUNCTION("""COMPUTED_VALUE"""),"林乃歆")</f>
        <v>林乃歆</v>
      </c>
      <c r="D299" s="16" t="str">
        <f>IFERROR(__xludf.DUMMYFUNCTION("""COMPUTED_VALUE"""),"a95*****stdmail.nssh.ntpc.edu.tw")</f>
        <v>a95*****stdmail.nssh.ntpc.edu.tw</v>
      </c>
      <c r="E299" s="17" t="str">
        <f>IFERROR(__xludf.DUMMYFUNCTION("""COMPUTED_VALUE"""),"南山學校財團法人新北市南山高級中學附設國中部")</f>
        <v>南山學校財團法人新北市南山高級中學附設國中部</v>
      </c>
      <c r="F299" s="14" t="str">
        <f>IFERROR(__xludf.DUMMYFUNCTION("""COMPUTED_VALUE"""),"九年級")</f>
        <v>九年級</v>
      </c>
      <c r="G299" s="14" t="str">
        <f>IFERROR(__xludf.DUMMYFUNCTION("""COMPUTED_VALUE"""),"獎狀")</f>
        <v>獎狀</v>
      </c>
      <c r="H299" s="8"/>
    </row>
    <row r="300">
      <c r="A300" s="18"/>
      <c r="B300" s="14">
        <f>IFERROR(__xludf.DUMMYFUNCTION("""COMPUTED_VALUE"""),719241.0)</f>
        <v>719241</v>
      </c>
      <c r="C300" s="14" t="str">
        <f>IFERROR(__xludf.DUMMYFUNCTION("""COMPUTED_VALUE"""),"林鈺庭")</f>
        <v>林鈺庭</v>
      </c>
      <c r="D300" s="16" t="str">
        <f>IFERROR(__xludf.DUMMYFUNCTION("""COMPUTED_VALUE"""),"a95*****stdmail.nssh.ntpc.edu.tw")</f>
        <v>a95*****stdmail.nssh.ntpc.edu.tw</v>
      </c>
      <c r="E300" s="17" t="str">
        <f>IFERROR(__xludf.DUMMYFUNCTION("""COMPUTED_VALUE"""),"南山學校財團法人新北市南山高級中學附設國中部")</f>
        <v>南山學校財團法人新北市南山高級中學附設國中部</v>
      </c>
      <c r="F300" s="14" t="str">
        <f>IFERROR(__xludf.DUMMYFUNCTION("""COMPUTED_VALUE"""),"九年級")</f>
        <v>九年級</v>
      </c>
      <c r="G300" s="14" t="str">
        <f>IFERROR(__xludf.DUMMYFUNCTION("""COMPUTED_VALUE"""),"獎狀")</f>
        <v>獎狀</v>
      </c>
      <c r="H300" s="8"/>
    </row>
    <row r="301">
      <c r="A301" s="18"/>
      <c r="B301" s="14">
        <f>IFERROR(__xludf.DUMMYFUNCTION("""COMPUTED_VALUE"""),446670.0)</f>
        <v>446670</v>
      </c>
      <c r="C301" s="14" t="str">
        <f>IFERROR(__xludf.DUMMYFUNCTION("""COMPUTED_VALUE"""),"林宜萱")</f>
        <v>林宜萱</v>
      </c>
      <c r="D301" s="16" t="str">
        <f>IFERROR(__xludf.DUMMYFUNCTION("""COMPUTED_VALUE"""),"a95*****stdmail.nssh.ntpc.edu.tw")</f>
        <v>a95*****stdmail.nssh.ntpc.edu.tw</v>
      </c>
      <c r="E301" s="17" t="str">
        <f>IFERROR(__xludf.DUMMYFUNCTION("""COMPUTED_VALUE"""),"南山學校財團法人新北市南山高級中學附設國中部")</f>
        <v>南山學校財團法人新北市南山高級中學附設國中部</v>
      </c>
      <c r="F301" s="14" t="str">
        <f>IFERROR(__xludf.DUMMYFUNCTION("""COMPUTED_VALUE"""),"九年級")</f>
        <v>九年級</v>
      </c>
      <c r="G301" s="14" t="str">
        <f>IFERROR(__xludf.DUMMYFUNCTION("""COMPUTED_VALUE"""),"●小禮物")</f>
        <v>●小禮物</v>
      </c>
      <c r="H301" s="8"/>
    </row>
    <row r="302">
      <c r="A302" s="18"/>
      <c r="B302" s="14">
        <f>IFERROR(__xludf.DUMMYFUNCTION("""COMPUTED_VALUE"""),456780.0)</f>
        <v>456780</v>
      </c>
      <c r="C302" s="14" t="str">
        <f>IFERROR(__xludf.DUMMYFUNCTION("""COMPUTED_VALUE"""),"陳妤綸")</f>
        <v>陳妤綸</v>
      </c>
      <c r="D302" s="16" t="str">
        <f>IFERROR(__xludf.DUMMYFUNCTION("""COMPUTED_VALUE"""),"a95*****stdmail.nssh.ntpc.edu.tw")</f>
        <v>a95*****stdmail.nssh.ntpc.edu.tw</v>
      </c>
      <c r="E302" s="17" t="str">
        <f>IFERROR(__xludf.DUMMYFUNCTION("""COMPUTED_VALUE"""),"南山學校財團法人新北市南山高級中學附設國中部")</f>
        <v>南山學校財團法人新北市南山高級中學附設國中部</v>
      </c>
      <c r="F302" s="14" t="str">
        <f>IFERROR(__xludf.DUMMYFUNCTION("""COMPUTED_VALUE"""),"九年級")</f>
        <v>九年級</v>
      </c>
      <c r="G302" s="14" t="str">
        <f>IFERROR(__xludf.DUMMYFUNCTION("""COMPUTED_VALUE"""),"●小禮物")</f>
        <v>●小禮物</v>
      </c>
      <c r="H302" s="8"/>
    </row>
    <row r="303">
      <c r="A303" s="18"/>
      <c r="B303" s="14">
        <f>IFERROR(__xludf.DUMMYFUNCTION("""COMPUTED_VALUE"""),715824.0)</f>
        <v>715824</v>
      </c>
      <c r="C303" s="14" t="str">
        <f>IFERROR(__xludf.DUMMYFUNCTION("""COMPUTED_VALUE"""),"李廷云")</f>
        <v>李廷云</v>
      </c>
      <c r="D303" s="16" t="str">
        <f>IFERROR(__xludf.DUMMYFUNCTION("""COMPUTED_VALUE"""),"a95*****stdmail.nssh.ntpc.edu.tw")</f>
        <v>a95*****stdmail.nssh.ntpc.edu.tw</v>
      </c>
      <c r="E303" s="17" t="str">
        <f>IFERROR(__xludf.DUMMYFUNCTION("""COMPUTED_VALUE"""),"南山學校財團法人新北市南山高級中學附設國中部")</f>
        <v>南山學校財團法人新北市南山高級中學附設國中部</v>
      </c>
      <c r="F303" s="14" t="str">
        <f>IFERROR(__xludf.DUMMYFUNCTION("""COMPUTED_VALUE"""),"九年級")</f>
        <v>九年級</v>
      </c>
      <c r="G303" s="14" t="str">
        <f>IFERROR(__xludf.DUMMYFUNCTION("""COMPUTED_VALUE"""),"●小禮物")</f>
        <v>●小禮物</v>
      </c>
      <c r="H303" s="8"/>
    </row>
    <row r="304">
      <c r="A304" s="18"/>
      <c r="B304" s="14">
        <f>IFERROR(__xludf.DUMMYFUNCTION("""COMPUTED_VALUE"""),1163203.0)</f>
        <v>1163203</v>
      </c>
      <c r="C304" s="14" t="str">
        <f>IFERROR(__xludf.DUMMYFUNCTION("""COMPUTED_VALUE"""),"許紀帆")</f>
        <v>許紀帆</v>
      </c>
      <c r="D304" s="16" t="str">
        <f>IFERROR(__xludf.DUMMYFUNCTION("""COMPUTED_VALUE"""),"hsu*****9@gmail.com")</f>
        <v>hsu*****9@gmail.com</v>
      </c>
      <c r="E304" s="17" t="str">
        <f>IFERROR(__xludf.DUMMYFUNCTION("""COMPUTED_VALUE"""),"南山學校財團法人新北市南山高級中學附設國中部")</f>
        <v>南山學校財團法人新北市南山高級中學附設國中部</v>
      </c>
      <c r="F304" s="14" t="str">
        <f>IFERROR(__xludf.DUMMYFUNCTION("""COMPUTED_VALUE"""),"九年級")</f>
        <v>九年級</v>
      </c>
      <c r="G304" s="14" t="str">
        <f>IFERROR(__xludf.DUMMYFUNCTION("""COMPUTED_VALUE"""),"獎狀")</f>
        <v>獎狀</v>
      </c>
      <c r="H304" s="8"/>
    </row>
    <row r="305">
      <c r="A305" s="18"/>
      <c r="B305" s="14">
        <f>IFERROR(__xludf.DUMMYFUNCTION("""COMPUTED_VALUE"""),761910.0)</f>
        <v>761910</v>
      </c>
      <c r="C305" s="14" t="str">
        <f>IFERROR(__xludf.DUMMYFUNCTION("""COMPUTED_VALUE"""),"吳宥德")</f>
        <v>吳宥德</v>
      </c>
      <c r="D305" s="16" t="str">
        <f>IFERROR(__xludf.DUMMYFUNCTION("""COMPUTED_VALUE"""),"a95*****stdmail.nssh.ntpc.edu.tw")</f>
        <v>a95*****stdmail.nssh.ntpc.edu.tw</v>
      </c>
      <c r="E305" s="17" t="str">
        <f>IFERROR(__xludf.DUMMYFUNCTION("""COMPUTED_VALUE"""),"南山學校財團法人新北市南山高級中學附設國中部")</f>
        <v>南山學校財團法人新北市南山高級中學附設國中部</v>
      </c>
      <c r="F305" s="14" t="str">
        <f>IFERROR(__xludf.DUMMYFUNCTION("""COMPUTED_VALUE"""),"九年級")</f>
        <v>九年級</v>
      </c>
      <c r="G305" s="14" t="str">
        <f>IFERROR(__xludf.DUMMYFUNCTION("""COMPUTED_VALUE"""),"●小禮物")</f>
        <v>●小禮物</v>
      </c>
      <c r="H305" s="8"/>
    </row>
    <row r="306">
      <c r="A306" s="18"/>
      <c r="B306" s="14">
        <f>IFERROR(__xludf.DUMMYFUNCTION("""COMPUTED_VALUE"""),451694.0)</f>
        <v>451694</v>
      </c>
      <c r="C306" s="14" t="str">
        <f>IFERROR(__xludf.DUMMYFUNCTION("""COMPUTED_VALUE"""),"林耘安")</f>
        <v>林耘安</v>
      </c>
      <c r="D306" s="16" t="str">
        <f>IFERROR(__xludf.DUMMYFUNCTION("""COMPUTED_VALUE"""),"a95*****stdmail.nssh.ntpc.edu.tw")</f>
        <v>a95*****stdmail.nssh.ntpc.edu.tw</v>
      </c>
      <c r="E306" s="17" t="str">
        <f>IFERROR(__xludf.DUMMYFUNCTION("""COMPUTED_VALUE"""),"南山學校財團法人新北市南山高級中學附設國中部")</f>
        <v>南山學校財團法人新北市南山高級中學附設國中部</v>
      </c>
      <c r="F306" s="14" t="str">
        <f>IFERROR(__xludf.DUMMYFUNCTION("""COMPUTED_VALUE"""),"九年級")</f>
        <v>九年級</v>
      </c>
      <c r="G306" s="14" t="str">
        <f>IFERROR(__xludf.DUMMYFUNCTION("""COMPUTED_VALUE"""),"●小禮物")</f>
        <v>●小禮物</v>
      </c>
      <c r="H306" s="8"/>
    </row>
    <row r="307">
      <c r="A307" s="18"/>
      <c r="B307" s="14">
        <f>IFERROR(__xludf.DUMMYFUNCTION("""COMPUTED_VALUE"""),721315.0)</f>
        <v>721315</v>
      </c>
      <c r="C307" s="14" t="str">
        <f>IFERROR(__xludf.DUMMYFUNCTION("""COMPUTED_VALUE"""),"邱于芹")</f>
        <v>邱于芹</v>
      </c>
      <c r="D307" s="16" t="str">
        <f>IFERROR(__xludf.DUMMYFUNCTION("""COMPUTED_VALUE"""),"a95*****stdmail.nssh.ntpc.edu.tw")</f>
        <v>a95*****stdmail.nssh.ntpc.edu.tw</v>
      </c>
      <c r="E307" s="17" t="str">
        <f>IFERROR(__xludf.DUMMYFUNCTION("""COMPUTED_VALUE"""),"南山學校財團法人新北市南山高級中學附設國中部")</f>
        <v>南山學校財團法人新北市南山高級中學附設國中部</v>
      </c>
      <c r="F307" s="14" t="str">
        <f>IFERROR(__xludf.DUMMYFUNCTION("""COMPUTED_VALUE"""),"九年級")</f>
        <v>九年級</v>
      </c>
      <c r="G307" s="14" t="str">
        <f>IFERROR(__xludf.DUMMYFUNCTION("""COMPUTED_VALUE"""),"●小禮物")</f>
        <v>●小禮物</v>
      </c>
      <c r="H307" s="8"/>
    </row>
    <row r="308">
      <c r="A308" s="18"/>
      <c r="B308" s="14">
        <f>IFERROR(__xludf.DUMMYFUNCTION("""COMPUTED_VALUE"""),748781.0)</f>
        <v>748781</v>
      </c>
      <c r="C308" s="14" t="str">
        <f>IFERROR(__xludf.DUMMYFUNCTION("""COMPUTED_VALUE"""),"陳捷盈")</f>
        <v>陳捷盈</v>
      </c>
      <c r="D308" s="16" t="str">
        <f>IFERROR(__xludf.DUMMYFUNCTION("""COMPUTED_VALUE"""),"a95*****stdmail.nssh.ntpc.edu.tw")</f>
        <v>a95*****stdmail.nssh.ntpc.edu.tw</v>
      </c>
      <c r="E308" s="17" t="str">
        <f>IFERROR(__xludf.DUMMYFUNCTION("""COMPUTED_VALUE"""),"南山學校財團法人新北市南山高級中學附設國中部")</f>
        <v>南山學校財團法人新北市南山高級中學附設國中部</v>
      </c>
      <c r="F308" s="14" t="str">
        <f>IFERROR(__xludf.DUMMYFUNCTION("""COMPUTED_VALUE"""),"九年級")</f>
        <v>九年級</v>
      </c>
      <c r="G308" s="14" t="str">
        <f>IFERROR(__xludf.DUMMYFUNCTION("""COMPUTED_VALUE"""),"●小禮物")</f>
        <v>●小禮物</v>
      </c>
      <c r="H308" s="8"/>
    </row>
    <row r="309">
      <c r="A309" s="18"/>
      <c r="B309" s="14">
        <f>IFERROR(__xludf.DUMMYFUNCTION("""COMPUTED_VALUE"""),715841.0)</f>
        <v>715841</v>
      </c>
      <c r="C309" s="14" t="str">
        <f>IFERROR(__xludf.DUMMYFUNCTION("""COMPUTED_VALUE"""),"黃湘鈞")</f>
        <v>黃湘鈞</v>
      </c>
      <c r="D309" s="16" t="str">
        <f>IFERROR(__xludf.DUMMYFUNCTION("""COMPUTED_VALUE"""),"a95*****stdmail.nssh.ntpc.edu.tw")</f>
        <v>a95*****stdmail.nssh.ntpc.edu.tw</v>
      </c>
      <c r="E309" s="17" t="str">
        <f>IFERROR(__xludf.DUMMYFUNCTION("""COMPUTED_VALUE"""),"南山學校財團法人新北市南山高級中學附設國中部")</f>
        <v>南山學校財團法人新北市南山高級中學附設國中部</v>
      </c>
      <c r="F309" s="14" t="str">
        <f>IFERROR(__xludf.DUMMYFUNCTION("""COMPUTED_VALUE"""),"九年級")</f>
        <v>九年級</v>
      </c>
      <c r="G309" s="14" t="str">
        <f>IFERROR(__xludf.DUMMYFUNCTION("""COMPUTED_VALUE"""),"●小禮物")</f>
        <v>●小禮物</v>
      </c>
      <c r="H309" s="8"/>
    </row>
    <row r="310">
      <c r="A310" s="18"/>
      <c r="B310" s="14">
        <f>IFERROR(__xludf.DUMMYFUNCTION("""COMPUTED_VALUE"""),751230.0)</f>
        <v>751230</v>
      </c>
      <c r="C310" s="14" t="str">
        <f>IFERROR(__xludf.DUMMYFUNCTION("""COMPUTED_VALUE"""),"楊皓翔")</f>
        <v>楊皓翔</v>
      </c>
      <c r="D310" s="16" t="str">
        <f>IFERROR(__xludf.DUMMYFUNCTION("""COMPUTED_VALUE"""),"a95*****stdmail.nssh.ntpc.edu.tw")</f>
        <v>a95*****stdmail.nssh.ntpc.edu.tw</v>
      </c>
      <c r="E310" s="17" t="str">
        <f>IFERROR(__xludf.DUMMYFUNCTION("""COMPUTED_VALUE"""),"南山學校財團法人新北市南山高級中學附設國中部")</f>
        <v>南山學校財團法人新北市南山高級中學附設國中部</v>
      </c>
      <c r="F310" s="14" t="str">
        <f>IFERROR(__xludf.DUMMYFUNCTION("""COMPUTED_VALUE"""),"九年級")</f>
        <v>九年級</v>
      </c>
      <c r="G310" s="14" t="str">
        <f>IFERROR(__xludf.DUMMYFUNCTION("""COMPUTED_VALUE"""),"●小禮物")</f>
        <v>●小禮物</v>
      </c>
      <c r="H310" s="8"/>
    </row>
    <row r="311">
      <c r="A311" s="18"/>
      <c r="B311" s="14">
        <f>IFERROR(__xludf.DUMMYFUNCTION("""COMPUTED_VALUE"""),761172.0)</f>
        <v>761172</v>
      </c>
      <c r="C311" s="14" t="str">
        <f>IFERROR(__xludf.DUMMYFUNCTION("""COMPUTED_VALUE"""),"朱宣穎")</f>
        <v>朱宣穎</v>
      </c>
      <c r="D311" s="16" t="str">
        <f>IFERROR(__xludf.DUMMYFUNCTION("""COMPUTED_VALUE"""),"a95*****stdmail.nssh.ntpc.edu.tw")</f>
        <v>a95*****stdmail.nssh.ntpc.edu.tw</v>
      </c>
      <c r="E311" s="17" t="str">
        <f>IFERROR(__xludf.DUMMYFUNCTION("""COMPUTED_VALUE"""),"南山學校財團法人新北市南山高級中學附設國中部")</f>
        <v>南山學校財團法人新北市南山高級中學附設國中部</v>
      </c>
      <c r="F311" s="14" t="str">
        <f>IFERROR(__xludf.DUMMYFUNCTION("""COMPUTED_VALUE"""),"九年級")</f>
        <v>九年級</v>
      </c>
      <c r="G311" s="14" t="str">
        <f>IFERROR(__xludf.DUMMYFUNCTION("""COMPUTED_VALUE"""),"★禮券$200")</f>
        <v>★禮券$200</v>
      </c>
      <c r="H311" s="8"/>
    </row>
    <row r="312">
      <c r="A312" s="18"/>
      <c r="B312" s="14">
        <f>IFERROR(__xludf.DUMMYFUNCTION("""COMPUTED_VALUE"""),446654.0)</f>
        <v>446654</v>
      </c>
      <c r="C312" s="14" t="str">
        <f>IFERROR(__xludf.DUMMYFUNCTION("""COMPUTED_VALUE"""),"吳奇穎")</f>
        <v>吳奇穎</v>
      </c>
      <c r="D312" s="16" t="str">
        <f>IFERROR(__xludf.DUMMYFUNCTION("""COMPUTED_VALUE"""),"a95*****stdmail.nssh.ntpc.edu.tw")</f>
        <v>a95*****stdmail.nssh.ntpc.edu.tw</v>
      </c>
      <c r="E312" s="17" t="str">
        <f>IFERROR(__xludf.DUMMYFUNCTION("""COMPUTED_VALUE"""),"南山學校財團法人新北市南山高級中學附設國中部")</f>
        <v>南山學校財團法人新北市南山高級中學附設國中部</v>
      </c>
      <c r="F312" s="14" t="str">
        <f>IFERROR(__xludf.DUMMYFUNCTION("""COMPUTED_VALUE"""),"九年級")</f>
        <v>九年級</v>
      </c>
      <c r="G312" s="14" t="str">
        <f>IFERROR(__xludf.DUMMYFUNCTION("""COMPUTED_VALUE"""),"★禮券$200")</f>
        <v>★禮券$200</v>
      </c>
      <c r="H312" s="8"/>
    </row>
    <row r="313">
      <c r="A313" s="18"/>
      <c r="B313" s="14">
        <f>IFERROR(__xludf.DUMMYFUNCTION("""COMPUTED_VALUE"""),759148.0)</f>
        <v>759148</v>
      </c>
      <c r="C313" s="14" t="str">
        <f>IFERROR(__xludf.DUMMYFUNCTION("""COMPUTED_VALUE"""),"邴莉家")</f>
        <v>邴莉家</v>
      </c>
      <c r="D313" s="16" t="str">
        <f>IFERROR(__xludf.DUMMYFUNCTION("""COMPUTED_VALUE"""),"a95*****stdmail.nssh.ntpc.edu.tw")</f>
        <v>a95*****stdmail.nssh.ntpc.edu.tw</v>
      </c>
      <c r="E313" s="17" t="str">
        <f>IFERROR(__xludf.DUMMYFUNCTION("""COMPUTED_VALUE"""),"南山學校財團法人新北市南山高級中學附設國中部")</f>
        <v>南山學校財團法人新北市南山高級中學附設國中部</v>
      </c>
      <c r="F313" s="14" t="str">
        <f>IFERROR(__xludf.DUMMYFUNCTION("""COMPUTED_VALUE"""),"九年級")</f>
        <v>九年級</v>
      </c>
      <c r="G313" s="14" t="str">
        <f>IFERROR(__xludf.DUMMYFUNCTION("""COMPUTED_VALUE"""),"獎狀")</f>
        <v>獎狀</v>
      </c>
      <c r="H313" s="8"/>
    </row>
    <row r="314">
      <c r="A314" s="18"/>
      <c r="B314" s="14">
        <f>IFERROR(__xludf.DUMMYFUNCTION("""COMPUTED_VALUE"""),751207.0)</f>
        <v>751207</v>
      </c>
      <c r="C314" s="14" t="str">
        <f>IFERROR(__xludf.DUMMYFUNCTION("""COMPUTED_VALUE"""),"蘇子晴")</f>
        <v>蘇子晴</v>
      </c>
      <c r="D314" s="16" t="str">
        <f>IFERROR(__xludf.DUMMYFUNCTION("""COMPUTED_VALUE"""),"a95*****stdmail.nssh.ntpc.edu.tw")</f>
        <v>a95*****stdmail.nssh.ntpc.edu.tw</v>
      </c>
      <c r="E314" s="17" t="str">
        <f>IFERROR(__xludf.DUMMYFUNCTION("""COMPUTED_VALUE"""),"南山學校財團法人新北市南山高級中學附設國中部")</f>
        <v>南山學校財團法人新北市南山高級中學附設國中部</v>
      </c>
      <c r="F314" s="14" t="str">
        <f>IFERROR(__xludf.DUMMYFUNCTION("""COMPUTED_VALUE"""),"九年級")</f>
        <v>九年級</v>
      </c>
      <c r="G314" s="14" t="str">
        <f>IFERROR(__xludf.DUMMYFUNCTION("""COMPUTED_VALUE"""),"獎狀")</f>
        <v>獎狀</v>
      </c>
      <c r="H314" s="8"/>
    </row>
    <row r="315">
      <c r="A315" s="18"/>
      <c r="B315" s="14">
        <f>IFERROR(__xludf.DUMMYFUNCTION("""COMPUTED_VALUE"""),447148.0)</f>
        <v>447148</v>
      </c>
      <c r="C315" s="14" t="str">
        <f>IFERROR(__xludf.DUMMYFUNCTION("""COMPUTED_VALUE"""),"蔡宛儒")</f>
        <v>蔡宛儒</v>
      </c>
      <c r="D315" s="16" t="str">
        <f>IFERROR(__xludf.DUMMYFUNCTION("""COMPUTED_VALUE"""),"a95*****stdmail.nssh.ntpc.edu.tw")</f>
        <v>a95*****stdmail.nssh.ntpc.edu.tw</v>
      </c>
      <c r="E315" s="17" t="str">
        <f>IFERROR(__xludf.DUMMYFUNCTION("""COMPUTED_VALUE"""),"南山學校財團法人新北市南山高級中學附設國中部")</f>
        <v>南山學校財團法人新北市南山高級中學附設國中部</v>
      </c>
      <c r="F315" s="14" t="str">
        <f>IFERROR(__xludf.DUMMYFUNCTION("""COMPUTED_VALUE"""),"九年級")</f>
        <v>九年級</v>
      </c>
      <c r="G315" s="14" t="str">
        <f>IFERROR(__xludf.DUMMYFUNCTION("""COMPUTED_VALUE"""),"獎狀")</f>
        <v>獎狀</v>
      </c>
      <c r="H315" s="8"/>
    </row>
    <row r="316">
      <c r="A316" s="18"/>
      <c r="B316" s="14">
        <f>IFERROR(__xludf.DUMMYFUNCTION("""COMPUTED_VALUE"""),719129.0)</f>
        <v>719129</v>
      </c>
      <c r="C316" s="14" t="str">
        <f>IFERROR(__xludf.DUMMYFUNCTION("""COMPUTED_VALUE"""),"陳昱安")</f>
        <v>陳昱安</v>
      </c>
      <c r="D316" s="16" t="str">
        <f>IFERROR(__xludf.DUMMYFUNCTION("""COMPUTED_VALUE"""),"a95*****stdmail.nssh.ntpc.edu.tw")</f>
        <v>a95*****stdmail.nssh.ntpc.edu.tw</v>
      </c>
      <c r="E316" s="17" t="str">
        <f>IFERROR(__xludf.DUMMYFUNCTION("""COMPUTED_VALUE"""),"南山學校財團法人新北市南山高級中學附設國中部")</f>
        <v>南山學校財團法人新北市南山高級中學附設國中部</v>
      </c>
      <c r="F316" s="14" t="str">
        <f>IFERROR(__xludf.DUMMYFUNCTION("""COMPUTED_VALUE"""),"九年級")</f>
        <v>九年級</v>
      </c>
      <c r="G316" s="14" t="str">
        <f>IFERROR(__xludf.DUMMYFUNCTION("""COMPUTED_VALUE"""),"●小禮物")</f>
        <v>●小禮物</v>
      </c>
      <c r="H316" s="8"/>
    </row>
    <row r="317">
      <c r="A317" s="18"/>
      <c r="B317" s="14">
        <f>IFERROR(__xludf.DUMMYFUNCTION("""COMPUTED_VALUE"""),452334.0)</f>
        <v>452334</v>
      </c>
      <c r="C317" s="14" t="str">
        <f>IFERROR(__xludf.DUMMYFUNCTION("""COMPUTED_VALUE"""),"陳彥廷")</f>
        <v>陳彥廷</v>
      </c>
      <c r="D317" s="16" t="str">
        <f>IFERROR(__xludf.DUMMYFUNCTION("""COMPUTED_VALUE"""),"a95*****stdmail.nssh.ntpc.edu.tw")</f>
        <v>a95*****stdmail.nssh.ntpc.edu.tw</v>
      </c>
      <c r="E317" s="17" t="str">
        <f>IFERROR(__xludf.DUMMYFUNCTION("""COMPUTED_VALUE"""),"南山學校財團法人新北市南山高級中學附設國中部")</f>
        <v>南山學校財團法人新北市南山高級中學附設國中部</v>
      </c>
      <c r="F317" s="14" t="str">
        <f>IFERROR(__xludf.DUMMYFUNCTION("""COMPUTED_VALUE"""),"九年級")</f>
        <v>九年級</v>
      </c>
      <c r="G317" s="14" t="str">
        <f>IFERROR(__xludf.DUMMYFUNCTION("""COMPUTED_VALUE"""),"●小禮物")</f>
        <v>●小禮物</v>
      </c>
      <c r="H317" s="8"/>
    </row>
    <row r="318">
      <c r="A318" s="18"/>
      <c r="B318" s="14">
        <f>IFERROR(__xludf.DUMMYFUNCTION("""COMPUTED_VALUE"""),381091.0)</f>
        <v>381091</v>
      </c>
      <c r="C318" s="14" t="str">
        <f>IFERROR(__xludf.DUMMYFUNCTION("""COMPUTED_VALUE"""),"林承佑")</f>
        <v>林承佑</v>
      </c>
      <c r="D318" s="16" t="str">
        <f>IFERROR(__xludf.DUMMYFUNCTION("""COMPUTED_VALUE"""),"yor*****@apps.ntpc.edu.tw")</f>
        <v>yor*****@apps.ntpc.edu.tw</v>
      </c>
      <c r="E318" s="17" t="str">
        <f>IFERROR(__xludf.DUMMYFUNCTION("""COMPUTED_VALUE"""),"新北市立中和國民中學")</f>
        <v>新北市立中和國民中學</v>
      </c>
      <c r="F318" s="14" t="str">
        <f>IFERROR(__xludf.DUMMYFUNCTION("""COMPUTED_VALUE"""),"八年級")</f>
        <v>八年級</v>
      </c>
      <c r="G318" s="14" t="str">
        <f>IFERROR(__xludf.DUMMYFUNCTION("""COMPUTED_VALUE"""),"獎狀")</f>
        <v>獎狀</v>
      </c>
      <c r="H318" s="8"/>
    </row>
    <row r="319">
      <c r="A319" s="18"/>
      <c r="B319" s="14">
        <f>IFERROR(__xludf.DUMMYFUNCTION("""COMPUTED_VALUE"""),1178427.0)</f>
        <v>1178427</v>
      </c>
      <c r="C319" s="14" t="str">
        <f>IFERROR(__xludf.DUMMYFUNCTION("""COMPUTED_VALUE"""),"陳巧惠")</f>
        <v>陳巧惠</v>
      </c>
      <c r="D319" s="16" t="str">
        <f>IFERROR(__xludf.DUMMYFUNCTION("""COMPUTED_VALUE"""),"150*****365.tsshs.ntpc.edu.tw")</f>
        <v>150*****365.tsshs.ntpc.edu.tw</v>
      </c>
      <c r="E319" s="17" t="str">
        <f>IFERROR(__xludf.DUMMYFUNCTION("""COMPUTED_VALUE"""),"辭修學校財團法人新北市私立辭修高級中學附設國中部")</f>
        <v>辭修學校財團法人新北市私立辭修高級中學附設國中部</v>
      </c>
      <c r="F319" s="14" t="str">
        <f>IFERROR(__xludf.DUMMYFUNCTION("""COMPUTED_VALUE"""),"七年級")</f>
        <v>七年級</v>
      </c>
      <c r="G319" s="14" t="str">
        <f>IFERROR(__xludf.DUMMYFUNCTION("""COMPUTED_VALUE"""),"●小禮物")</f>
        <v>●小禮物</v>
      </c>
      <c r="H319" s="8"/>
    </row>
    <row r="320">
      <c r="A320" s="18"/>
      <c r="B320" s="14">
        <f>IFERROR(__xludf.DUMMYFUNCTION("""COMPUTED_VALUE"""),1178420.0)</f>
        <v>1178420</v>
      </c>
      <c r="C320" s="14" t="str">
        <f>IFERROR(__xludf.DUMMYFUNCTION("""COMPUTED_VALUE"""),"劉羽承")</f>
        <v>劉羽承</v>
      </c>
      <c r="D320" s="16" t="str">
        <f>IFERROR(__xludf.DUMMYFUNCTION("""COMPUTED_VALUE"""),"155*****365.tsshs.ntpc.edu.tw")</f>
        <v>155*****365.tsshs.ntpc.edu.tw</v>
      </c>
      <c r="E320" s="17" t="str">
        <f>IFERROR(__xludf.DUMMYFUNCTION("""COMPUTED_VALUE"""),"辭修學校財團法人新北市私立辭修高級中學附設國中部")</f>
        <v>辭修學校財團法人新北市私立辭修高級中學附設國中部</v>
      </c>
      <c r="F320" s="14" t="str">
        <f>IFERROR(__xludf.DUMMYFUNCTION("""COMPUTED_VALUE"""),"七年級")</f>
        <v>七年級</v>
      </c>
      <c r="G320" s="14" t="str">
        <f>IFERROR(__xludf.DUMMYFUNCTION("""COMPUTED_VALUE"""),"●小禮物")</f>
        <v>●小禮物</v>
      </c>
      <c r="H320" s="8"/>
    </row>
    <row r="321">
      <c r="A321" s="18"/>
      <c r="B321" s="14">
        <f>IFERROR(__xludf.DUMMYFUNCTION("""COMPUTED_VALUE"""),956379.0)</f>
        <v>956379</v>
      </c>
      <c r="C321" s="14" t="str">
        <f>IFERROR(__xludf.DUMMYFUNCTION("""COMPUTED_VALUE"""),"林彧亨")</f>
        <v>林彧亨</v>
      </c>
      <c r="D321" s="16" t="str">
        <f>IFERROR(__xludf.DUMMYFUNCTION("""COMPUTED_VALUE"""),"055*****365.tsshs.ntpc.edu.tw")</f>
        <v>055*****365.tsshs.ntpc.edu.tw</v>
      </c>
      <c r="E321" s="17" t="str">
        <f>IFERROR(__xludf.DUMMYFUNCTION("""COMPUTED_VALUE"""),"辭修學校財團法人新北市私立辭修高級中學附設國中部")</f>
        <v>辭修學校財團法人新北市私立辭修高級中學附設國中部</v>
      </c>
      <c r="F321" s="14" t="str">
        <f>IFERROR(__xludf.DUMMYFUNCTION("""COMPUTED_VALUE"""),"八年級")</f>
        <v>八年級</v>
      </c>
      <c r="G321" s="14" t="str">
        <f>IFERROR(__xludf.DUMMYFUNCTION("""COMPUTED_VALUE"""),"●小禮物")</f>
        <v>●小禮物</v>
      </c>
      <c r="H321" s="8"/>
    </row>
    <row r="322">
      <c r="A322" s="18"/>
      <c r="B322" s="14">
        <f>IFERROR(__xludf.DUMMYFUNCTION("""COMPUTED_VALUE"""),956398.0)</f>
        <v>956398</v>
      </c>
      <c r="C322" s="14" t="str">
        <f>IFERROR(__xludf.DUMMYFUNCTION("""COMPUTED_VALUE"""),"林旖姮")</f>
        <v>林旖姮</v>
      </c>
      <c r="D322" s="16" t="str">
        <f>IFERROR(__xludf.DUMMYFUNCTION("""COMPUTED_VALUE"""),"050*****365.tsshs.ntpc.edu.tw")</f>
        <v>050*****365.tsshs.ntpc.edu.tw</v>
      </c>
      <c r="E322" s="17" t="str">
        <f>IFERROR(__xludf.DUMMYFUNCTION("""COMPUTED_VALUE"""),"辭修學校財團法人新北市私立辭修高級中學附設國中部")</f>
        <v>辭修學校財團法人新北市私立辭修高級中學附設國中部</v>
      </c>
      <c r="F322" s="14" t="str">
        <f>IFERROR(__xludf.DUMMYFUNCTION("""COMPUTED_VALUE"""),"八年級")</f>
        <v>八年級</v>
      </c>
      <c r="G322" s="14" t="str">
        <f>IFERROR(__xludf.DUMMYFUNCTION("""COMPUTED_VALUE"""),"●小禮物")</f>
        <v>●小禮物</v>
      </c>
      <c r="H322" s="8"/>
    </row>
    <row r="323">
      <c r="A323" s="18"/>
      <c r="B323" s="14">
        <f>IFERROR(__xludf.DUMMYFUNCTION("""COMPUTED_VALUE"""),956392.0)</f>
        <v>956392</v>
      </c>
      <c r="C323" s="14" t="str">
        <f>IFERROR(__xludf.DUMMYFUNCTION("""COMPUTED_VALUE"""),"陳妍希")</f>
        <v>陳妍希</v>
      </c>
      <c r="D323" s="16" t="str">
        <f>IFERROR(__xludf.DUMMYFUNCTION("""COMPUTED_VALUE"""),"050*****365.tsshs.ntpc.edu.tw")</f>
        <v>050*****365.tsshs.ntpc.edu.tw</v>
      </c>
      <c r="E323" s="17" t="str">
        <f>IFERROR(__xludf.DUMMYFUNCTION("""COMPUTED_VALUE"""),"辭修學校財團法人新北市私立辭修高級中學附設國中部")</f>
        <v>辭修學校財團法人新北市私立辭修高級中學附設國中部</v>
      </c>
      <c r="F323" s="14" t="str">
        <f>IFERROR(__xludf.DUMMYFUNCTION("""COMPUTED_VALUE"""),"八年級")</f>
        <v>八年級</v>
      </c>
      <c r="G323" s="14" t="str">
        <f>IFERROR(__xludf.DUMMYFUNCTION("""COMPUTED_VALUE"""),"●小禮物")</f>
        <v>●小禮物</v>
      </c>
      <c r="H323" s="8"/>
    </row>
    <row r="324">
      <c r="A324" s="18"/>
      <c r="B324" s="14">
        <f>IFERROR(__xludf.DUMMYFUNCTION("""COMPUTED_VALUE"""),956374.0)</f>
        <v>956374</v>
      </c>
      <c r="C324" s="14" t="str">
        <f>IFERROR(__xludf.DUMMYFUNCTION("""COMPUTED_VALUE"""),"陳宥任")</f>
        <v>陳宥任</v>
      </c>
      <c r="D324" s="16" t="str">
        <f>IFERROR(__xludf.DUMMYFUNCTION("""COMPUTED_VALUE"""),"055*****365.tsshs.ntpc.edu.tw")</f>
        <v>055*****365.tsshs.ntpc.edu.tw</v>
      </c>
      <c r="E324" s="17" t="str">
        <f>IFERROR(__xludf.DUMMYFUNCTION("""COMPUTED_VALUE"""),"辭修學校財團法人新北市私立辭修高級中學附設國中部")</f>
        <v>辭修學校財團法人新北市私立辭修高級中學附設國中部</v>
      </c>
      <c r="F324" s="14" t="str">
        <f>IFERROR(__xludf.DUMMYFUNCTION("""COMPUTED_VALUE"""),"八年級")</f>
        <v>八年級</v>
      </c>
      <c r="G324" s="14" t="str">
        <f>IFERROR(__xludf.DUMMYFUNCTION("""COMPUTED_VALUE"""),"●小禮物")</f>
        <v>●小禮物</v>
      </c>
      <c r="H324" s="8"/>
    </row>
    <row r="325">
      <c r="A325" s="18"/>
      <c r="B325" s="14">
        <f>IFERROR(__xludf.DUMMYFUNCTION("""COMPUTED_VALUE"""),613688.0)</f>
        <v>613688</v>
      </c>
      <c r="C325" s="14" t="str">
        <f>IFERROR(__xludf.DUMMYFUNCTION("""COMPUTED_VALUE"""),"李琬琳")</f>
        <v>李琬琳</v>
      </c>
      <c r="D325" s="16" t="str">
        <f>IFERROR(__xludf.DUMMYFUNCTION("""COMPUTED_VALUE"""),"ela*****2.lee@gmail.com")</f>
        <v>ela*****2.lee@gmail.com</v>
      </c>
      <c r="E325" s="17" t="str">
        <f>IFERROR(__xludf.DUMMYFUNCTION("""COMPUTED_VALUE"""),"辭修學校財團法人新北市私立辭修高級中學附設國中部")</f>
        <v>辭修學校財團法人新北市私立辭修高級中學附設國中部</v>
      </c>
      <c r="F325" s="14" t="str">
        <f>IFERROR(__xludf.DUMMYFUNCTION("""COMPUTED_VALUE"""),"八年級")</f>
        <v>八年級</v>
      </c>
      <c r="G325" s="14" t="str">
        <f>IFERROR(__xludf.DUMMYFUNCTION("""COMPUTED_VALUE"""),"獎狀")</f>
        <v>獎狀</v>
      </c>
      <c r="H325" s="8"/>
    </row>
    <row r="326">
      <c r="A326" s="18"/>
      <c r="B326" s="14">
        <f>IFERROR(__xludf.DUMMYFUNCTION("""COMPUTED_VALUE"""),956389.0)</f>
        <v>956389</v>
      </c>
      <c r="C326" s="14" t="str">
        <f>IFERROR(__xludf.DUMMYFUNCTION("""COMPUTED_VALUE"""),"沈軒寧")</f>
        <v>沈軒寧</v>
      </c>
      <c r="D326" s="16" t="str">
        <f>IFERROR(__xludf.DUMMYFUNCTION("""COMPUTED_VALUE"""),"050*****365.tsshs.ntpc.edu.tw")</f>
        <v>050*****365.tsshs.ntpc.edu.tw</v>
      </c>
      <c r="E326" s="17" t="str">
        <f>IFERROR(__xludf.DUMMYFUNCTION("""COMPUTED_VALUE"""),"辭修學校財團法人新北市私立辭修高級中學附設國中部")</f>
        <v>辭修學校財團法人新北市私立辭修高級中學附設國中部</v>
      </c>
      <c r="F326" s="14" t="str">
        <f>IFERROR(__xludf.DUMMYFUNCTION("""COMPUTED_VALUE"""),"八年級")</f>
        <v>八年級</v>
      </c>
      <c r="G326" s="14" t="str">
        <f>IFERROR(__xludf.DUMMYFUNCTION("""COMPUTED_VALUE"""),"獎狀")</f>
        <v>獎狀</v>
      </c>
      <c r="H326" s="8"/>
    </row>
    <row r="327">
      <c r="A327" s="18"/>
      <c r="B327" s="14">
        <f>IFERROR(__xludf.DUMMYFUNCTION("""COMPUTED_VALUE"""),956366.0)</f>
        <v>956366</v>
      </c>
      <c r="C327" s="14" t="str">
        <f>IFERROR(__xludf.DUMMYFUNCTION("""COMPUTED_VALUE"""),"曾千睿")</f>
        <v>曾千睿</v>
      </c>
      <c r="D327" s="16" t="str">
        <f>IFERROR(__xludf.DUMMYFUNCTION("""COMPUTED_VALUE"""),"055*****365.tsshs.ntpc.edu.tw")</f>
        <v>055*****365.tsshs.ntpc.edu.tw</v>
      </c>
      <c r="E327" s="17" t="str">
        <f>IFERROR(__xludf.DUMMYFUNCTION("""COMPUTED_VALUE"""),"辭修學校財團法人新北市私立辭修高級中學附設國中部")</f>
        <v>辭修學校財團法人新北市私立辭修高級中學附設國中部</v>
      </c>
      <c r="F327" s="14" t="str">
        <f>IFERROR(__xludf.DUMMYFUNCTION("""COMPUTED_VALUE"""),"八年級")</f>
        <v>八年級</v>
      </c>
      <c r="G327" s="14" t="str">
        <f>IFERROR(__xludf.DUMMYFUNCTION("""COMPUTED_VALUE"""),"獎狀")</f>
        <v>獎狀</v>
      </c>
      <c r="H327" s="8"/>
    </row>
    <row r="328">
      <c r="A328" s="18"/>
      <c r="B328" s="14">
        <f>IFERROR(__xludf.DUMMYFUNCTION("""COMPUTED_VALUE"""),956433.0)</f>
        <v>956433</v>
      </c>
      <c r="C328" s="14" t="str">
        <f>IFERROR(__xludf.DUMMYFUNCTION("""COMPUTED_VALUE"""),"李侑諠")</f>
        <v>李侑諠</v>
      </c>
      <c r="D328" s="16" t="str">
        <f>IFERROR(__xludf.DUMMYFUNCTION("""COMPUTED_VALUE"""),"050*****365.tsshs.ntpc.edu.tw")</f>
        <v>050*****365.tsshs.ntpc.edu.tw</v>
      </c>
      <c r="E328" s="17" t="str">
        <f>IFERROR(__xludf.DUMMYFUNCTION("""COMPUTED_VALUE"""),"辭修學校財團法人新北市私立辭修高級中學附設國中部")</f>
        <v>辭修學校財團法人新北市私立辭修高級中學附設國中部</v>
      </c>
      <c r="F328" s="14" t="str">
        <f>IFERROR(__xludf.DUMMYFUNCTION("""COMPUTED_VALUE"""),"八年級")</f>
        <v>八年級</v>
      </c>
      <c r="G328" s="14" t="str">
        <f>IFERROR(__xludf.DUMMYFUNCTION("""COMPUTED_VALUE"""),"●小禮物")</f>
        <v>●小禮物</v>
      </c>
      <c r="H328" s="8"/>
    </row>
    <row r="329">
      <c r="A329" s="18"/>
      <c r="B329" s="14">
        <f>IFERROR(__xludf.DUMMYFUNCTION("""COMPUTED_VALUE"""),956429.0)</f>
        <v>956429</v>
      </c>
      <c r="C329" s="14" t="str">
        <f>IFERROR(__xludf.DUMMYFUNCTION("""COMPUTED_VALUE"""),"曾宥慈")</f>
        <v>曾宥慈</v>
      </c>
      <c r="D329" s="16" t="str">
        <f>IFERROR(__xludf.DUMMYFUNCTION("""COMPUTED_VALUE"""),"050*****365.tsshs.ntpc.edu.tw")</f>
        <v>050*****365.tsshs.ntpc.edu.tw</v>
      </c>
      <c r="E329" s="17" t="str">
        <f>IFERROR(__xludf.DUMMYFUNCTION("""COMPUTED_VALUE"""),"辭修學校財團法人新北市私立辭修高級中學附設國中部")</f>
        <v>辭修學校財團法人新北市私立辭修高級中學附設國中部</v>
      </c>
      <c r="F329" s="14" t="str">
        <f>IFERROR(__xludf.DUMMYFUNCTION("""COMPUTED_VALUE"""),"八年級")</f>
        <v>八年級</v>
      </c>
      <c r="G329" s="14" t="str">
        <f>IFERROR(__xludf.DUMMYFUNCTION("""COMPUTED_VALUE"""),"●小禮物")</f>
        <v>●小禮物</v>
      </c>
      <c r="H329" s="8"/>
    </row>
    <row r="330">
      <c r="A330" s="18"/>
      <c r="B330" s="14">
        <f>IFERROR(__xludf.DUMMYFUNCTION("""COMPUTED_VALUE"""),956414.0)</f>
        <v>956414</v>
      </c>
      <c r="C330" s="14" t="str">
        <f>IFERROR(__xludf.DUMMYFUNCTION("""COMPUTED_VALUE"""),"林楷鈞")</f>
        <v>林楷鈞</v>
      </c>
      <c r="D330" s="16" t="str">
        <f>IFERROR(__xludf.DUMMYFUNCTION("""COMPUTED_VALUE"""),"055*****365.tsshs.ntpc.edu.tw")</f>
        <v>055*****365.tsshs.ntpc.edu.tw</v>
      </c>
      <c r="E330" s="17" t="str">
        <f>IFERROR(__xludf.DUMMYFUNCTION("""COMPUTED_VALUE"""),"辭修學校財團法人新北市私立辭修高級中學附設國中部")</f>
        <v>辭修學校財團法人新北市私立辭修高級中學附設國中部</v>
      </c>
      <c r="F330" s="14" t="str">
        <f>IFERROR(__xludf.DUMMYFUNCTION("""COMPUTED_VALUE"""),"八年級")</f>
        <v>八年級</v>
      </c>
      <c r="G330" s="14" t="str">
        <f>IFERROR(__xludf.DUMMYFUNCTION("""COMPUTED_VALUE"""),"獎狀")</f>
        <v>獎狀</v>
      </c>
      <c r="H330" s="8"/>
    </row>
    <row r="331">
      <c r="A331" s="18"/>
      <c r="B331" s="14">
        <f>IFERROR(__xludf.DUMMYFUNCTION("""COMPUTED_VALUE"""),956404.0)</f>
        <v>956404</v>
      </c>
      <c r="C331" s="14" t="str">
        <f>IFERROR(__xludf.DUMMYFUNCTION("""COMPUTED_VALUE"""),"侯淮競")</f>
        <v>侯淮競</v>
      </c>
      <c r="D331" s="16" t="str">
        <f>IFERROR(__xludf.DUMMYFUNCTION("""COMPUTED_VALUE"""),"055*****365.tsshs.ntpc.edu.tw")</f>
        <v>055*****365.tsshs.ntpc.edu.tw</v>
      </c>
      <c r="E331" s="17" t="str">
        <f>IFERROR(__xludf.DUMMYFUNCTION("""COMPUTED_VALUE"""),"辭修學校財團法人新北市私立辭修高級中學附設國中部")</f>
        <v>辭修學校財團法人新北市私立辭修高級中學附設國中部</v>
      </c>
      <c r="F331" s="14" t="str">
        <f>IFERROR(__xludf.DUMMYFUNCTION("""COMPUTED_VALUE"""),"八年級")</f>
        <v>八年級</v>
      </c>
      <c r="G331" s="14" t="str">
        <f>IFERROR(__xludf.DUMMYFUNCTION("""COMPUTED_VALUE"""),"獎狀")</f>
        <v>獎狀</v>
      </c>
      <c r="H331" s="8"/>
    </row>
    <row r="332">
      <c r="A332" s="18"/>
      <c r="B332" s="14">
        <f>IFERROR(__xludf.DUMMYFUNCTION("""COMPUTED_VALUE"""),944458.0)</f>
        <v>944458</v>
      </c>
      <c r="C332" s="14" t="str">
        <f>IFERROR(__xludf.DUMMYFUNCTION("""COMPUTED_VALUE"""),"劉又綺")</f>
        <v>劉又綺</v>
      </c>
      <c r="D332" s="16" t="str">
        <f>IFERROR(__xludf.DUMMYFUNCTION("""COMPUTED_VALUE"""),"liu*****545@gmail.com")</f>
        <v>liu*****545@gmail.com</v>
      </c>
      <c r="E332" s="17" t="str">
        <f>IFERROR(__xludf.DUMMYFUNCTION("""COMPUTED_VALUE"""),"辭修學校財團法人新北市私立辭修高級中學附設國中部")</f>
        <v>辭修學校財團法人新北市私立辭修高級中學附設國中部</v>
      </c>
      <c r="F332" s="14" t="str">
        <f>IFERROR(__xludf.DUMMYFUNCTION("""COMPUTED_VALUE"""),"八年級")</f>
        <v>八年級</v>
      </c>
      <c r="G332" s="14" t="str">
        <f>IFERROR(__xludf.DUMMYFUNCTION("""COMPUTED_VALUE"""),"獎狀")</f>
        <v>獎狀</v>
      </c>
      <c r="H332" s="8"/>
    </row>
    <row r="333">
      <c r="A333" s="18"/>
      <c r="B333" s="14">
        <f>IFERROR(__xludf.DUMMYFUNCTION("""COMPUTED_VALUE"""),939275.0)</f>
        <v>939275</v>
      </c>
      <c r="C333" s="14" t="str">
        <f>IFERROR(__xludf.DUMMYFUNCTION("""COMPUTED_VALUE"""),"賴語樂")</f>
        <v>賴語樂</v>
      </c>
      <c r="D333" s="16" t="str">
        <f>IFERROR(__xludf.DUMMYFUNCTION("""COMPUTED_VALUE"""),"dor*****30@gmail.com")</f>
        <v>dor*****30@gmail.com</v>
      </c>
      <c r="E333" s="17" t="str">
        <f>IFERROR(__xludf.DUMMYFUNCTION("""COMPUTED_VALUE"""),"辭修學校財團法人新北市私立辭修高級中學附設國中部")</f>
        <v>辭修學校財團法人新北市私立辭修高級中學附設國中部</v>
      </c>
      <c r="F333" s="14" t="str">
        <f>IFERROR(__xludf.DUMMYFUNCTION("""COMPUTED_VALUE"""),"八年級")</f>
        <v>八年級</v>
      </c>
      <c r="G333" s="14" t="str">
        <f>IFERROR(__xludf.DUMMYFUNCTION("""COMPUTED_VALUE"""),"獎狀")</f>
        <v>獎狀</v>
      </c>
      <c r="H333" s="8"/>
    </row>
    <row r="334">
      <c r="A334" s="18"/>
      <c r="B334" s="14">
        <f>IFERROR(__xludf.DUMMYFUNCTION("""COMPUTED_VALUE"""),956460.0)</f>
        <v>956460</v>
      </c>
      <c r="C334" s="14" t="str">
        <f>IFERROR(__xludf.DUMMYFUNCTION("""COMPUTED_VALUE"""),"游婕妮")</f>
        <v>游婕妮</v>
      </c>
      <c r="D334" s="16" t="str">
        <f>IFERROR(__xludf.DUMMYFUNCTION("""COMPUTED_VALUE"""),"050*****365.tsshs.ntpc.edu.tw")</f>
        <v>050*****365.tsshs.ntpc.edu.tw</v>
      </c>
      <c r="E334" s="17" t="str">
        <f>IFERROR(__xludf.DUMMYFUNCTION("""COMPUTED_VALUE"""),"辭修學校財團法人新北市私立辭修高級中學附設國中部")</f>
        <v>辭修學校財團法人新北市私立辭修高級中學附設國中部</v>
      </c>
      <c r="F334" s="14" t="str">
        <f>IFERROR(__xludf.DUMMYFUNCTION("""COMPUTED_VALUE"""),"八年級")</f>
        <v>八年級</v>
      </c>
      <c r="G334" s="14" t="str">
        <f>IFERROR(__xludf.DUMMYFUNCTION("""COMPUTED_VALUE"""),"獎狀")</f>
        <v>獎狀</v>
      </c>
      <c r="H334" s="8"/>
    </row>
    <row r="335">
      <c r="A335" s="18"/>
      <c r="B335" s="14">
        <f>IFERROR(__xludf.DUMMYFUNCTION("""COMPUTED_VALUE"""),956571.0)</f>
        <v>956571</v>
      </c>
      <c r="C335" s="14" t="str">
        <f>IFERROR(__xludf.DUMMYFUNCTION("""COMPUTED_VALUE"""),"張詠涵")</f>
        <v>張詠涵</v>
      </c>
      <c r="D335" s="16" t="str">
        <f>IFERROR(__xludf.DUMMYFUNCTION("""COMPUTED_VALUE"""),"050*****365.tsshs.ntpc.edu.tw")</f>
        <v>050*****365.tsshs.ntpc.edu.tw</v>
      </c>
      <c r="E335" s="17" t="str">
        <f>IFERROR(__xludf.DUMMYFUNCTION("""COMPUTED_VALUE"""),"辭修學校財團法人新北市私立辭修高級中學附設國中部")</f>
        <v>辭修學校財團法人新北市私立辭修高級中學附設國中部</v>
      </c>
      <c r="F335" s="14" t="str">
        <f>IFERROR(__xludf.DUMMYFUNCTION("""COMPUTED_VALUE"""),"八年級")</f>
        <v>八年級</v>
      </c>
      <c r="G335" s="14" t="str">
        <f>IFERROR(__xludf.DUMMYFUNCTION("""COMPUTED_VALUE"""),"●小禮物")</f>
        <v>●小禮物</v>
      </c>
      <c r="H335" s="8"/>
    </row>
    <row r="336">
      <c r="A336" s="18"/>
      <c r="B336" s="14">
        <f>IFERROR(__xludf.DUMMYFUNCTION("""COMPUTED_VALUE"""),956541.0)</f>
        <v>956541</v>
      </c>
      <c r="C336" s="14" t="str">
        <f>IFERROR(__xludf.DUMMYFUNCTION("""COMPUTED_VALUE"""),"葉宸麟")</f>
        <v>葉宸麟</v>
      </c>
      <c r="D336" s="16" t="str">
        <f>IFERROR(__xludf.DUMMYFUNCTION("""COMPUTED_VALUE"""),"055*****365.tsshs.ntpc.edu.tw")</f>
        <v>055*****365.tsshs.ntpc.edu.tw</v>
      </c>
      <c r="E336" s="17" t="str">
        <f>IFERROR(__xludf.DUMMYFUNCTION("""COMPUTED_VALUE"""),"辭修學校財團法人新北市私立辭修高級中學附設國中部")</f>
        <v>辭修學校財團法人新北市私立辭修高級中學附設國中部</v>
      </c>
      <c r="F336" s="14" t="str">
        <f>IFERROR(__xludf.DUMMYFUNCTION("""COMPUTED_VALUE"""),"八年級")</f>
        <v>八年級</v>
      </c>
      <c r="G336" s="14" t="str">
        <f>IFERROR(__xludf.DUMMYFUNCTION("""COMPUTED_VALUE"""),"●小禮物")</f>
        <v>●小禮物</v>
      </c>
      <c r="H336" s="8"/>
    </row>
    <row r="337">
      <c r="A337" s="18"/>
      <c r="B337" s="14">
        <f>IFERROR(__xludf.DUMMYFUNCTION("""COMPUTED_VALUE"""),956569.0)</f>
        <v>956569</v>
      </c>
      <c r="C337" s="14" t="str">
        <f>IFERROR(__xludf.DUMMYFUNCTION("""COMPUTED_VALUE"""),"詹修瑜")</f>
        <v>詹修瑜</v>
      </c>
      <c r="D337" s="16" t="str">
        <f>IFERROR(__xludf.DUMMYFUNCTION("""COMPUTED_VALUE"""),"050*****365.tsshs.ntpc.edu.tw")</f>
        <v>050*****365.tsshs.ntpc.edu.tw</v>
      </c>
      <c r="E337" s="17" t="str">
        <f>IFERROR(__xludf.DUMMYFUNCTION("""COMPUTED_VALUE"""),"辭修學校財團法人新北市私立辭修高級中學附設國中部")</f>
        <v>辭修學校財團法人新北市私立辭修高級中學附設國中部</v>
      </c>
      <c r="F337" s="14" t="str">
        <f>IFERROR(__xludf.DUMMYFUNCTION("""COMPUTED_VALUE"""),"八年級")</f>
        <v>八年級</v>
      </c>
      <c r="G337" s="14" t="str">
        <f>IFERROR(__xludf.DUMMYFUNCTION("""COMPUTED_VALUE"""),"●小禮物")</f>
        <v>●小禮物</v>
      </c>
      <c r="H337" s="8"/>
    </row>
    <row r="338">
      <c r="A338" s="18"/>
      <c r="B338" s="14">
        <f>IFERROR(__xludf.DUMMYFUNCTION("""COMPUTED_VALUE"""),956543.0)</f>
        <v>956543</v>
      </c>
      <c r="C338" s="14" t="str">
        <f>IFERROR(__xludf.DUMMYFUNCTION("""COMPUTED_VALUE"""),"廖友浩")</f>
        <v>廖友浩</v>
      </c>
      <c r="D338" s="16" t="str">
        <f>IFERROR(__xludf.DUMMYFUNCTION("""COMPUTED_VALUE"""),"055*****365.tsshs.ntpc.edu.tw")</f>
        <v>055*****365.tsshs.ntpc.edu.tw</v>
      </c>
      <c r="E338" s="17" t="str">
        <f>IFERROR(__xludf.DUMMYFUNCTION("""COMPUTED_VALUE"""),"辭修學校財團法人新北市私立辭修高級中學附設國中部")</f>
        <v>辭修學校財團法人新北市私立辭修高級中學附設國中部</v>
      </c>
      <c r="F338" s="14" t="str">
        <f>IFERROR(__xludf.DUMMYFUNCTION("""COMPUTED_VALUE"""),"八年級")</f>
        <v>八年級</v>
      </c>
      <c r="G338" s="14" t="str">
        <f>IFERROR(__xludf.DUMMYFUNCTION("""COMPUTED_VALUE"""),"★禮券$200")</f>
        <v>★禮券$200</v>
      </c>
      <c r="H338" s="8"/>
    </row>
    <row r="339">
      <c r="A339" s="18"/>
      <c r="B339" s="14">
        <f>IFERROR(__xludf.DUMMYFUNCTION("""COMPUTED_VALUE"""),956542.0)</f>
        <v>956542</v>
      </c>
      <c r="C339" s="14" t="str">
        <f>IFERROR(__xludf.DUMMYFUNCTION("""COMPUTED_VALUE"""),"吳學淵")</f>
        <v>吳學淵</v>
      </c>
      <c r="D339" s="16" t="str">
        <f>IFERROR(__xludf.DUMMYFUNCTION("""COMPUTED_VALUE"""),"055*****365.tsshs.ntpc.edu.tw")</f>
        <v>055*****365.tsshs.ntpc.edu.tw</v>
      </c>
      <c r="E339" s="17" t="str">
        <f>IFERROR(__xludf.DUMMYFUNCTION("""COMPUTED_VALUE"""),"辭修學校財團法人新北市私立辭修高級中學附設國中部")</f>
        <v>辭修學校財團法人新北市私立辭修高級中學附設國中部</v>
      </c>
      <c r="F339" s="14" t="str">
        <f>IFERROR(__xludf.DUMMYFUNCTION("""COMPUTED_VALUE"""),"八年級")</f>
        <v>八年級</v>
      </c>
      <c r="G339" s="14" t="str">
        <f>IFERROR(__xludf.DUMMYFUNCTION("""COMPUTED_VALUE"""),"獎狀")</f>
        <v>獎狀</v>
      </c>
      <c r="H339" s="8"/>
    </row>
    <row r="340">
      <c r="A340" s="18"/>
      <c r="B340" s="14">
        <f>IFERROR(__xludf.DUMMYFUNCTION("""COMPUTED_VALUE"""),1115052.0)</f>
        <v>1115052</v>
      </c>
      <c r="C340" s="14" t="str">
        <f>IFERROR(__xludf.DUMMYFUNCTION("""COMPUTED_VALUE"""),"吳冠佑")</f>
        <v>吳冠佑</v>
      </c>
      <c r="D340" s="16" t="str">
        <f>IFERROR(__xludf.DUMMYFUNCTION("""COMPUTED_VALUE"""),"955*****365.tsshs.ntpc.edu.tw")</f>
        <v>955*****365.tsshs.ntpc.edu.tw</v>
      </c>
      <c r="E340" s="17" t="str">
        <f>IFERROR(__xludf.DUMMYFUNCTION("""COMPUTED_VALUE"""),"辭修學校財團法人新北市私立辭修高級中學附設國中部")</f>
        <v>辭修學校財團法人新北市私立辭修高級中學附設國中部</v>
      </c>
      <c r="F340" s="14" t="str">
        <f>IFERROR(__xludf.DUMMYFUNCTION("""COMPUTED_VALUE"""),"九年級")</f>
        <v>九年級</v>
      </c>
      <c r="G340" s="14" t="str">
        <f>IFERROR(__xludf.DUMMYFUNCTION("""COMPUTED_VALUE"""),"●小禮物")</f>
        <v>●小禮物</v>
      </c>
      <c r="H340" s="8"/>
    </row>
    <row r="341">
      <c r="A341" s="18"/>
      <c r="B341" s="14">
        <f>IFERROR(__xludf.DUMMYFUNCTION("""COMPUTED_VALUE"""),1115053.0)</f>
        <v>1115053</v>
      </c>
      <c r="C341" s="14" t="str">
        <f>IFERROR(__xludf.DUMMYFUNCTION("""COMPUTED_VALUE"""),"李致宏")</f>
        <v>李致宏</v>
      </c>
      <c r="D341" s="16" t="str">
        <f>IFERROR(__xludf.DUMMYFUNCTION("""COMPUTED_VALUE"""),"955*****365.tsshs.ntpc.edu.tw")</f>
        <v>955*****365.tsshs.ntpc.edu.tw</v>
      </c>
      <c r="E341" s="17" t="str">
        <f>IFERROR(__xludf.DUMMYFUNCTION("""COMPUTED_VALUE"""),"辭修學校財團法人新北市私立辭修高級中學附設國中部")</f>
        <v>辭修學校財團法人新北市私立辭修高級中學附設國中部</v>
      </c>
      <c r="F341" s="14" t="str">
        <f>IFERROR(__xludf.DUMMYFUNCTION("""COMPUTED_VALUE"""),"九年級")</f>
        <v>九年級</v>
      </c>
      <c r="G341" s="14" t="str">
        <f>IFERROR(__xludf.DUMMYFUNCTION("""COMPUTED_VALUE"""),"●小禮物")</f>
        <v>●小禮物</v>
      </c>
      <c r="H341" s="8"/>
    </row>
    <row r="342">
      <c r="A342" s="18"/>
      <c r="B342" s="14">
        <f>IFERROR(__xludf.DUMMYFUNCTION("""COMPUTED_VALUE"""),1115074.0)</f>
        <v>1115074</v>
      </c>
      <c r="C342" s="14" t="str">
        <f>IFERROR(__xludf.DUMMYFUNCTION("""COMPUTED_VALUE"""),"林函儀")</f>
        <v>林函儀</v>
      </c>
      <c r="D342" s="16" t="str">
        <f>IFERROR(__xludf.DUMMYFUNCTION("""COMPUTED_VALUE"""),"950*****365.tsshs.ntpc.edu.tw")</f>
        <v>950*****365.tsshs.ntpc.edu.tw</v>
      </c>
      <c r="E342" s="17" t="str">
        <f>IFERROR(__xludf.DUMMYFUNCTION("""COMPUTED_VALUE"""),"辭修學校財團法人新北市私立辭修高級中學附設國中部")</f>
        <v>辭修學校財團法人新北市私立辭修高級中學附設國中部</v>
      </c>
      <c r="F342" s="14" t="str">
        <f>IFERROR(__xludf.DUMMYFUNCTION("""COMPUTED_VALUE"""),"九年級")</f>
        <v>九年級</v>
      </c>
      <c r="G342" s="14" t="str">
        <f>IFERROR(__xludf.DUMMYFUNCTION("""COMPUTED_VALUE"""),"●小禮物")</f>
        <v>●小禮物</v>
      </c>
      <c r="H342" s="8"/>
    </row>
    <row r="343">
      <c r="A343" s="18"/>
      <c r="B343" s="14">
        <f>IFERROR(__xludf.DUMMYFUNCTION("""COMPUTED_VALUE"""),1115068.0)</f>
        <v>1115068</v>
      </c>
      <c r="C343" s="14" t="str">
        <f>IFERROR(__xludf.DUMMYFUNCTION("""COMPUTED_VALUE"""),"林莛妮")</f>
        <v>林莛妮</v>
      </c>
      <c r="D343" s="16" t="str">
        <f>IFERROR(__xludf.DUMMYFUNCTION("""COMPUTED_VALUE"""),"950*****365.tsshs.ntpc.edu.tw")</f>
        <v>950*****365.tsshs.ntpc.edu.tw</v>
      </c>
      <c r="E343" s="17" t="str">
        <f>IFERROR(__xludf.DUMMYFUNCTION("""COMPUTED_VALUE"""),"辭修學校財團法人新北市私立辭修高級中學附設國中部")</f>
        <v>辭修學校財團法人新北市私立辭修高級中學附設國中部</v>
      </c>
      <c r="F343" s="14" t="str">
        <f>IFERROR(__xludf.DUMMYFUNCTION("""COMPUTED_VALUE"""),"九年級")</f>
        <v>九年級</v>
      </c>
      <c r="G343" s="14" t="str">
        <f>IFERROR(__xludf.DUMMYFUNCTION("""COMPUTED_VALUE"""),"●小禮物")</f>
        <v>●小禮物</v>
      </c>
      <c r="H343" s="8"/>
    </row>
    <row r="344">
      <c r="A344" s="18"/>
      <c r="B344" s="14">
        <f>IFERROR(__xludf.DUMMYFUNCTION("""COMPUTED_VALUE"""),1115049.0)</f>
        <v>1115049</v>
      </c>
      <c r="C344" s="14" t="str">
        <f>IFERROR(__xludf.DUMMYFUNCTION("""COMPUTED_VALUE"""),"柯悠介")</f>
        <v>柯悠介</v>
      </c>
      <c r="D344" s="16" t="str">
        <f>IFERROR(__xludf.DUMMYFUNCTION("""COMPUTED_VALUE"""),"955*****365.tsshs.ntpc.edu.tw")</f>
        <v>955*****365.tsshs.ntpc.edu.tw</v>
      </c>
      <c r="E344" s="17" t="str">
        <f>IFERROR(__xludf.DUMMYFUNCTION("""COMPUTED_VALUE"""),"辭修學校財團法人新北市私立辭修高級中學附設國中部")</f>
        <v>辭修學校財團法人新北市私立辭修高級中學附設國中部</v>
      </c>
      <c r="F344" s="14" t="str">
        <f>IFERROR(__xludf.DUMMYFUNCTION("""COMPUTED_VALUE"""),"九年級")</f>
        <v>九年級</v>
      </c>
      <c r="G344" s="14" t="str">
        <f>IFERROR(__xludf.DUMMYFUNCTION("""COMPUTED_VALUE"""),"●小禮物")</f>
        <v>●小禮物</v>
      </c>
      <c r="H344" s="8"/>
    </row>
    <row r="345">
      <c r="A345" s="18"/>
      <c r="B345" s="14">
        <f>IFERROR(__xludf.DUMMYFUNCTION("""COMPUTED_VALUE"""),1115062.0)</f>
        <v>1115062</v>
      </c>
      <c r="C345" s="14" t="str">
        <f>IFERROR(__xludf.DUMMYFUNCTION("""COMPUTED_VALUE"""),"范子威")</f>
        <v>范子威</v>
      </c>
      <c r="D345" s="16" t="str">
        <f>IFERROR(__xludf.DUMMYFUNCTION("""COMPUTED_VALUE"""),"950*****365.tsshs.ntpc.edu.tw")</f>
        <v>950*****365.tsshs.ntpc.edu.tw</v>
      </c>
      <c r="E345" s="17" t="str">
        <f>IFERROR(__xludf.DUMMYFUNCTION("""COMPUTED_VALUE"""),"辭修學校財團法人新北市私立辭修高級中學附設國中部")</f>
        <v>辭修學校財團法人新北市私立辭修高級中學附設國中部</v>
      </c>
      <c r="F345" s="14" t="str">
        <f>IFERROR(__xludf.DUMMYFUNCTION("""COMPUTED_VALUE"""),"九年級")</f>
        <v>九年級</v>
      </c>
      <c r="G345" s="14" t="str">
        <f>IFERROR(__xludf.DUMMYFUNCTION("""COMPUTED_VALUE"""),"●小禮物")</f>
        <v>●小禮物</v>
      </c>
      <c r="H345" s="8"/>
    </row>
    <row r="346">
      <c r="A346" s="18"/>
      <c r="B346" s="14">
        <f>IFERROR(__xludf.DUMMYFUNCTION("""COMPUTED_VALUE"""),1115060.0)</f>
        <v>1115060</v>
      </c>
      <c r="C346" s="14" t="str">
        <f>IFERROR(__xludf.DUMMYFUNCTION("""COMPUTED_VALUE"""),"徐溦璘")</f>
        <v>徐溦璘</v>
      </c>
      <c r="D346" s="16" t="str">
        <f>IFERROR(__xludf.DUMMYFUNCTION("""COMPUTED_VALUE"""),"950*****365.tsshs.ntpc.edu.tw")</f>
        <v>950*****365.tsshs.ntpc.edu.tw</v>
      </c>
      <c r="E346" s="17" t="str">
        <f>IFERROR(__xludf.DUMMYFUNCTION("""COMPUTED_VALUE"""),"辭修學校財團法人新北市私立辭修高級中學附設國中部")</f>
        <v>辭修學校財團法人新北市私立辭修高級中學附設國中部</v>
      </c>
      <c r="F346" s="14" t="str">
        <f>IFERROR(__xludf.DUMMYFUNCTION("""COMPUTED_VALUE"""),"九年級")</f>
        <v>九年級</v>
      </c>
      <c r="G346" s="14" t="str">
        <f>IFERROR(__xludf.DUMMYFUNCTION("""COMPUTED_VALUE"""),"●小禮物")</f>
        <v>●小禮物</v>
      </c>
      <c r="H346" s="8"/>
    </row>
    <row r="347">
      <c r="A347" s="18"/>
      <c r="B347" s="14">
        <f>IFERROR(__xludf.DUMMYFUNCTION("""COMPUTED_VALUE"""),1115067.0)</f>
        <v>1115067</v>
      </c>
      <c r="C347" s="14" t="str">
        <f>IFERROR(__xludf.DUMMYFUNCTION("""COMPUTED_VALUE"""),"張詒馨")</f>
        <v>張詒馨</v>
      </c>
      <c r="D347" s="16" t="str">
        <f>IFERROR(__xludf.DUMMYFUNCTION("""COMPUTED_VALUE"""),"950*****365.tsshs.ntpc.edu.tw")</f>
        <v>950*****365.tsshs.ntpc.edu.tw</v>
      </c>
      <c r="E347" s="17" t="str">
        <f>IFERROR(__xludf.DUMMYFUNCTION("""COMPUTED_VALUE"""),"辭修學校財團法人新北市私立辭修高級中學附設國中部")</f>
        <v>辭修學校財團法人新北市私立辭修高級中學附設國中部</v>
      </c>
      <c r="F347" s="14" t="str">
        <f>IFERROR(__xludf.DUMMYFUNCTION("""COMPUTED_VALUE"""),"九年級")</f>
        <v>九年級</v>
      </c>
      <c r="G347" s="14" t="str">
        <f>IFERROR(__xludf.DUMMYFUNCTION("""COMPUTED_VALUE"""),"●小禮物")</f>
        <v>●小禮物</v>
      </c>
      <c r="H347" s="8"/>
    </row>
    <row r="348">
      <c r="A348" s="18"/>
      <c r="B348" s="14">
        <f>IFERROR(__xludf.DUMMYFUNCTION("""COMPUTED_VALUE"""),1115073.0)</f>
        <v>1115073</v>
      </c>
      <c r="C348" s="14" t="str">
        <f>IFERROR(__xludf.DUMMYFUNCTION("""COMPUTED_VALUE"""),"許瑀芩")</f>
        <v>許瑀芩</v>
      </c>
      <c r="D348" s="16" t="str">
        <f>IFERROR(__xludf.DUMMYFUNCTION("""COMPUTED_VALUE"""),"950*****365.tsshs.ntpc.edu.tw")</f>
        <v>950*****365.tsshs.ntpc.edu.tw</v>
      </c>
      <c r="E348" s="17" t="str">
        <f>IFERROR(__xludf.DUMMYFUNCTION("""COMPUTED_VALUE"""),"辭修學校財團法人新北市私立辭修高級中學附設國中部")</f>
        <v>辭修學校財團法人新北市私立辭修高級中學附設國中部</v>
      </c>
      <c r="F348" s="14" t="str">
        <f>IFERROR(__xludf.DUMMYFUNCTION("""COMPUTED_VALUE"""),"九年級")</f>
        <v>九年級</v>
      </c>
      <c r="G348" s="14" t="str">
        <f>IFERROR(__xludf.DUMMYFUNCTION("""COMPUTED_VALUE"""),"●小禮物")</f>
        <v>●小禮物</v>
      </c>
      <c r="H348" s="8"/>
    </row>
    <row r="349">
      <c r="A349" s="18"/>
      <c r="B349" s="14">
        <f>IFERROR(__xludf.DUMMYFUNCTION("""COMPUTED_VALUE"""),1115047.0)</f>
        <v>1115047</v>
      </c>
      <c r="C349" s="14" t="str">
        <f>IFERROR(__xludf.DUMMYFUNCTION("""COMPUTED_VALUE"""),"郭枻鎧")</f>
        <v>郭枻鎧</v>
      </c>
      <c r="D349" s="16" t="str">
        <f>IFERROR(__xludf.DUMMYFUNCTION("""COMPUTED_VALUE"""),"955*****365.tsshs.ntpc.edu.tw")</f>
        <v>955*****365.tsshs.ntpc.edu.tw</v>
      </c>
      <c r="E349" s="17" t="str">
        <f>IFERROR(__xludf.DUMMYFUNCTION("""COMPUTED_VALUE"""),"辭修學校財團法人新北市私立辭修高級中學附設國中部")</f>
        <v>辭修學校財團法人新北市私立辭修高級中學附設國中部</v>
      </c>
      <c r="F349" s="14" t="str">
        <f>IFERROR(__xludf.DUMMYFUNCTION("""COMPUTED_VALUE"""),"九年級")</f>
        <v>九年級</v>
      </c>
      <c r="G349" s="14" t="str">
        <f>IFERROR(__xludf.DUMMYFUNCTION("""COMPUTED_VALUE"""),"●小禮物")</f>
        <v>●小禮物</v>
      </c>
      <c r="H349" s="8"/>
    </row>
    <row r="350">
      <c r="A350" s="18"/>
      <c r="B350" s="14">
        <f>IFERROR(__xludf.DUMMYFUNCTION("""COMPUTED_VALUE"""),1115069.0)</f>
        <v>1115069</v>
      </c>
      <c r="C350" s="14" t="str">
        <f>IFERROR(__xludf.DUMMYFUNCTION("""COMPUTED_VALUE"""),"楊子儀")</f>
        <v>楊子儀</v>
      </c>
      <c r="D350" s="16" t="str">
        <f>IFERROR(__xludf.DUMMYFUNCTION("""COMPUTED_VALUE"""),"950*****365.tsshs.ntpc.edu.tw")</f>
        <v>950*****365.tsshs.ntpc.edu.tw</v>
      </c>
      <c r="E350" s="17" t="str">
        <f>IFERROR(__xludf.DUMMYFUNCTION("""COMPUTED_VALUE"""),"辭修學校財團法人新北市私立辭修高級中學附設國中部")</f>
        <v>辭修學校財團法人新北市私立辭修高級中學附設國中部</v>
      </c>
      <c r="F350" s="14" t="str">
        <f>IFERROR(__xludf.DUMMYFUNCTION("""COMPUTED_VALUE"""),"九年級")</f>
        <v>九年級</v>
      </c>
      <c r="G350" s="14" t="str">
        <f>IFERROR(__xludf.DUMMYFUNCTION("""COMPUTED_VALUE"""),"●小禮物")</f>
        <v>●小禮物</v>
      </c>
      <c r="H350" s="8"/>
    </row>
    <row r="351">
      <c r="A351" s="18"/>
      <c r="B351" s="14">
        <f>IFERROR(__xludf.DUMMYFUNCTION("""COMPUTED_VALUE"""),1115042.0)</f>
        <v>1115042</v>
      </c>
      <c r="C351" s="14" t="str">
        <f>IFERROR(__xludf.DUMMYFUNCTION("""COMPUTED_VALUE"""),"楊秉學")</f>
        <v>楊秉學</v>
      </c>
      <c r="D351" s="16" t="str">
        <f>IFERROR(__xludf.DUMMYFUNCTION("""COMPUTED_VALUE"""),"955*****365.tsshs.ntpc.edu.tw")</f>
        <v>955*****365.tsshs.ntpc.edu.tw</v>
      </c>
      <c r="E351" s="17" t="str">
        <f>IFERROR(__xludf.DUMMYFUNCTION("""COMPUTED_VALUE"""),"辭修學校財團法人新北市私立辭修高級中學附設國中部")</f>
        <v>辭修學校財團法人新北市私立辭修高級中學附設國中部</v>
      </c>
      <c r="F351" s="14" t="str">
        <f>IFERROR(__xludf.DUMMYFUNCTION("""COMPUTED_VALUE"""),"九年級")</f>
        <v>九年級</v>
      </c>
      <c r="G351" s="14" t="str">
        <f>IFERROR(__xludf.DUMMYFUNCTION("""COMPUTED_VALUE"""),"●小禮物")</f>
        <v>●小禮物</v>
      </c>
      <c r="H351" s="8"/>
    </row>
    <row r="352">
      <c r="A352" s="18"/>
      <c r="B352" s="14">
        <f>IFERROR(__xludf.DUMMYFUNCTION("""COMPUTED_VALUE"""),1197391.0)</f>
        <v>1197391</v>
      </c>
      <c r="C352" s="14" t="str">
        <f>IFERROR(__xludf.DUMMYFUNCTION("""COMPUTED_VALUE"""),"蔡依潔")</f>
        <v>蔡依潔</v>
      </c>
      <c r="D352" s="16" t="str">
        <f>IFERROR(__xludf.DUMMYFUNCTION("""COMPUTED_VALUE"""),"s95*****mail.ckjhs.ntpc.edu.tw")</f>
        <v>s95*****mail.ckjhs.ntpc.edu.tw</v>
      </c>
      <c r="E352" s="17" t="str">
        <f>IFERROR(__xludf.DUMMYFUNCTION("""COMPUTED_VALUE"""),"辭修學校財團法人新北市私立辭修高級中學附設國中部")</f>
        <v>辭修學校財團法人新北市私立辭修高級中學附設國中部</v>
      </c>
      <c r="F352" s="14" t="str">
        <f>IFERROR(__xludf.DUMMYFUNCTION("""COMPUTED_VALUE"""),"九年級")</f>
        <v>九年級</v>
      </c>
      <c r="G352" s="14" t="str">
        <f>IFERROR(__xludf.DUMMYFUNCTION("""COMPUTED_VALUE"""),"●小禮物")</f>
        <v>●小禮物</v>
      </c>
      <c r="H352" s="8"/>
    </row>
    <row r="353">
      <c r="A353" s="18"/>
      <c r="B353" s="14">
        <f>IFERROR(__xludf.DUMMYFUNCTION("""COMPUTED_VALUE"""),1115048.0)</f>
        <v>1115048</v>
      </c>
      <c r="C353" s="14" t="str">
        <f>IFERROR(__xludf.DUMMYFUNCTION("""COMPUTED_VALUE"""),"鄭力豪")</f>
        <v>鄭力豪</v>
      </c>
      <c r="D353" s="16" t="str">
        <f>IFERROR(__xludf.DUMMYFUNCTION("""COMPUTED_VALUE"""),"955*****365.tsshs.ntpc.edu.tw")</f>
        <v>955*****365.tsshs.ntpc.edu.tw</v>
      </c>
      <c r="E353" s="17" t="str">
        <f>IFERROR(__xludf.DUMMYFUNCTION("""COMPUTED_VALUE"""),"辭修學校財團法人新北市私立辭修高級中學附設國中部")</f>
        <v>辭修學校財團法人新北市私立辭修高級中學附設國中部</v>
      </c>
      <c r="F353" s="14" t="str">
        <f>IFERROR(__xludf.DUMMYFUNCTION("""COMPUTED_VALUE"""),"九年級")</f>
        <v>九年級</v>
      </c>
      <c r="G353" s="14" t="str">
        <f>IFERROR(__xludf.DUMMYFUNCTION("""COMPUTED_VALUE"""),"●小禮物")</f>
        <v>●小禮物</v>
      </c>
      <c r="H353" s="8"/>
    </row>
    <row r="354">
      <c r="A354" s="18"/>
      <c r="B354" s="14">
        <f>IFERROR(__xludf.DUMMYFUNCTION("""COMPUTED_VALUE"""),1115051.0)</f>
        <v>1115051</v>
      </c>
      <c r="C354" s="14" t="str">
        <f>IFERROR(__xludf.DUMMYFUNCTION("""COMPUTED_VALUE"""),"謝舜舟")</f>
        <v>謝舜舟</v>
      </c>
      <c r="D354" s="16" t="str">
        <f>IFERROR(__xludf.DUMMYFUNCTION("""COMPUTED_VALUE"""),"955*****365.tsshs.ntpc.edu.tw")</f>
        <v>955*****365.tsshs.ntpc.edu.tw</v>
      </c>
      <c r="E354" s="17" t="str">
        <f>IFERROR(__xludf.DUMMYFUNCTION("""COMPUTED_VALUE"""),"辭修學校財團法人新北市私立辭修高級中學附設國中部")</f>
        <v>辭修學校財團法人新北市私立辭修高級中學附設國中部</v>
      </c>
      <c r="F354" s="14" t="str">
        <f>IFERROR(__xludf.DUMMYFUNCTION("""COMPUTED_VALUE"""),"九年級")</f>
        <v>九年級</v>
      </c>
      <c r="G354" s="14" t="str">
        <f>IFERROR(__xludf.DUMMYFUNCTION("""COMPUTED_VALUE"""),"●小禮物")</f>
        <v>●小禮物</v>
      </c>
      <c r="H354" s="8"/>
    </row>
    <row r="355">
      <c r="A355" s="18"/>
      <c r="B355" s="14">
        <f>IFERROR(__xludf.DUMMYFUNCTION("""COMPUTED_VALUE"""),1115050.0)</f>
        <v>1115050</v>
      </c>
      <c r="C355" s="14" t="str">
        <f>IFERROR(__xludf.DUMMYFUNCTION("""COMPUTED_VALUE"""),"方浥銘")</f>
        <v>方浥銘</v>
      </c>
      <c r="D355" s="16" t="str">
        <f>IFERROR(__xludf.DUMMYFUNCTION("""COMPUTED_VALUE"""),"955*****365.tsshs.ntpc.edu.tw")</f>
        <v>955*****365.tsshs.ntpc.edu.tw</v>
      </c>
      <c r="E355" s="17" t="str">
        <f>IFERROR(__xludf.DUMMYFUNCTION("""COMPUTED_VALUE"""),"辭修學校財團法人新北市私立辭修高級中學附設國中部")</f>
        <v>辭修學校財團法人新北市私立辭修高級中學附設國中部</v>
      </c>
      <c r="F355" s="14" t="str">
        <f>IFERROR(__xludf.DUMMYFUNCTION("""COMPUTED_VALUE"""),"九年級")</f>
        <v>九年級</v>
      </c>
      <c r="G355" s="14" t="str">
        <f>IFERROR(__xludf.DUMMYFUNCTION("""COMPUTED_VALUE"""),"★禮券$1000")</f>
        <v>★禮券$1000</v>
      </c>
      <c r="H355" s="8"/>
    </row>
    <row r="356">
      <c r="A356" s="18"/>
      <c r="B356" s="14">
        <f>IFERROR(__xludf.DUMMYFUNCTION("""COMPUTED_VALUE"""),1115061.0)</f>
        <v>1115061</v>
      </c>
      <c r="C356" s="14" t="str">
        <f>IFERROR(__xludf.DUMMYFUNCTION("""COMPUTED_VALUE"""),"王宣晴")</f>
        <v>王宣晴</v>
      </c>
      <c r="D356" s="16" t="str">
        <f>IFERROR(__xludf.DUMMYFUNCTION("""COMPUTED_VALUE"""),"950*****365.tsshs.ntpc.edu.tw")</f>
        <v>950*****365.tsshs.ntpc.edu.tw</v>
      </c>
      <c r="E356" s="17" t="str">
        <f>IFERROR(__xludf.DUMMYFUNCTION("""COMPUTED_VALUE"""),"辭修學校財團法人新北市私立辭修高級中學附設國中部")</f>
        <v>辭修學校財團法人新北市私立辭修高級中學附設國中部</v>
      </c>
      <c r="F356" s="14" t="str">
        <f>IFERROR(__xludf.DUMMYFUNCTION("""COMPUTED_VALUE"""),"九年級")</f>
        <v>九年級</v>
      </c>
      <c r="G356" s="14" t="str">
        <f>IFERROR(__xludf.DUMMYFUNCTION("""COMPUTED_VALUE"""),"獎狀")</f>
        <v>獎狀</v>
      </c>
      <c r="H356" s="8"/>
    </row>
    <row r="357">
      <c r="A357" s="18"/>
      <c r="B357" s="14">
        <f>IFERROR(__xludf.DUMMYFUNCTION("""COMPUTED_VALUE"""),1115043.0)</f>
        <v>1115043</v>
      </c>
      <c r="C357" s="14" t="str">
        <f>IFERROR(__xludf.DUMMYFUNCTION("""COMPUTED_VALUE"""),"連偉翔")</f>
        <v>連偉翔</v>
      </c>
      <c r="D357" s="16" t="str">
        <f>IFERROR(__xludf.DUMMYFUNCTION("""COMPUTED_VALUE"""),"955*****365.tsshs.ntpc.edu.tw")</f>
        <v>955*****365.tsshs.ntpc.edu.tw</v>
      </c>
      <c r="E357" s="17" t="str">
        <f>IFERROR(__xludf.DUMMYFUNCTION("""COMPUTED_VALUE"""),"辭修學校財團法人新北市私立辭修高級中學附設國中部")</f>
        <v>辭修學校財團法人新北市私立辭修高級中學附設國中部</v>
      </c>
      <c r="F357" s="14" t="str">
        <f>IFERROR(__xludf.DUMMYFUNCTION("""COMPUTED_VALUE"""),"九年級")</f>
        <v>九年級</v>
      </c>
      <c r="G357" s="14" t="str">
        <f>IFERROR(__xludf.DUMMYFUNCTION("""COMPUTED_VALUE"""),"獎狀")</f>
        <v>獎狀</v>
      </c>
      <c r="H357" s="8"/>
    </row>
    <row r="358">
      <c r="A358" s="18"/>
      <c r="B358" s="14">
        <f>IFERROR(__xludf.DUMMYFUNCTION("""COMPUTED_VALUE"""),1115072.0)</f>
        <v>1115072</v>
      </c>
      <c r="C358" s="14" t="str">
        <f>IFERROR(__xludf.DUMMYFUNCTION("""COMPUTED_VALUE"""),"陳乙馨")</f>
        <v>陳乙馨</v>
      </c>
      <c r="D358" s="16" t="str">
        <f>IFERROR(__xludf.DUMMYFUNCTION("""COMPUTED_VALUE"""),"950*****365.tsshs.ntpc.edu.tw")</f>
        <v>950*****365.tsshs.ntpc.edu.tw</v>
      </c>
      <c r="E358" s="17" t="str">
        <f>IFERROR(__xludf.DUMMYFUNCTION("""COMPUTED_VALUE"""),"辭修學校財團法人新北市私立辭修高級中學附設國中部")</f>
        <v>辭修學校財團法人新北市私立辭修高級中學附設國中部</v>
      </c>
      <c r="F358" s="14" t="str">
        <f>IFERROR(__xludf.DUMMYFUNCTION("""COMPUTED_VALUE"""),"九年級")</f>
        <v>九年級</v>
      </c>
      <c r="G358" s="14" t="str">
        <f>IFERROR(__xludf.DUMMYFUNCTION("""COMPUTED_VALUE"""),"獎狀")</f>
        <v>獎狀</v>
      </c>
      <c r="H358" s="8"/>
    </row>
    <row r="359">
      <c r="A359" s="18"/>
      <c r="B359" s="14">
        <f>IFERROR(__xludf.DUMMYFUNCTION("""COMPUTED_VALUE"""),1115065.0)</f>
        <v>1115065</v>
      </c>
      <c r="C359" s="14" t="str">
        <f>IFERROR(__xludf.DUMMYFUNCTION("""COMPUTED_VALUE"""),"陳羿如")</f>
        <v>陳羿如</v>
      </c>
      <c r="D359" s="16" t="str">
        <f>IFERROR(__xludf.DUMMYFUNCTION("""COMPUTED_VALUE"""),"950*****365.tsshs.ntpc.edu.tw")</f>
        <v>950*****365.tsshs.ntpc.edu.tw</v>
      </c>
      <c r="E359" s="17" t="str">
        <f>IFERROR(__xludf.DUMMYFUNCTION("""COMPUTED_VALUE"""),"辭修學校財團法人新北市私立辭修高級中學附設國中部")</f>
        <v>辭修學校財團法人新北市私立辭修高級中學附設國中部</v>
      </c>
      <c r="F359" s="14" t="str">
        <f>IFERROR(__xludf.DUMMYFUNCTION("""COMPUTED_VALUE"""),"九年級")</f>
        <v>九年級</v>
      </c>
      <c r="G359" s="14" t="str">
        <f>IFERROR(__xludf.DUMMYFUNCTION("""COMPUTED_VALUE"""),"獎狀")</f>
        <v>獎狀</v>
      </c>
      <c r="H359" s="8"/>
    </row>
    <row r="360">
      <c r="A360" s="18"/>
      <c r="B360" s="14">
        <f>IFERROR(__xludf.DUMMYFUNCTION("""COMPUTED_VALUE"""),1115063.0)</f>
        <v>1115063</v>
      </c>
      <c r="C360" s="14" t="str">
        <f>IFERROR(__xludf.DUMMYFUNCTION("""COMPUTED_VALUE"""),"曾品瑀")</f>
        <v>曾品瑀</v>
      </c>
      <c r="D360" s="16" t="str">
        <f>IFERROR(__xludf.DUMMYFUNCTION("""COMPUTED_VALUE"""),"950*****365.tsshs.ntpc.edu.tw")</f>
        <v>950*****365.tsshs.ntpc.edu.tw</v>
      </c>
      <c r="E360" s="17" t="str">
        <f>IFERROR(__xludf.DUMMYFUNCTION("""COMPUTED_VALUE"""),"辭修學校財團法人新北市私立辭修高級中學附設國中部")</f>
        <v>辭修學校財團法人新北市私立辭修高級中學附設國中部</v>
      </c>
      <c r="F360" s="14" t="str">
        <f>IFERROR(__xludf.DUMMYFUNCTION("""COMPUTED_VALUE"""),"九年級")</f>
        <v>九年級</v>
      </c>
      <c r="G360" s="14" t="str">
        <f>IFERROR(__xludf.DUMMYFUNCTION("""COMPUTED_VALUE"""),"獎狀")</f>
        <v>獎狀</v>
      </c>
      <c r="H360" s="8"/>
    </row>
    <row r="361">
      <c r="A361" s="18"/>
      <c r="B361" s="14">
        <f>IFERROR(__xludf.DUMMYFUNCTION("""COMPUTED_VALUE"""),1115057.0)</f>
        <v>1115057</v>
      </c>
      <c r="C361" s="14" t="str">
        <f>IFERROR(__xludf.DUMMYFUNCTION("""COMPUTED_VALUE"""),"游博允")</f>
        <v>游博允</v>
      </c>
      <c r="D361" s="16" t="str">
        <f>IFERROR(__xludf.DUMMYFUNCTION("""COMPUTED_VALUE"""),"955*****365.tsshs.ntpc.edu.tw")</f>
        <v>955*****365.tsshs.ntpc.edu.tw</v>
      </c>
      <c r="E361" s="17" t="str">
        <f>IFERROR(__xludf.DUMMYFUNCTION("""COMPUTED_VALUE"""),"辭修學校財團法人新北市私立辭修高級中學附設國中部")</f>
        <v>辭修學校財團法人新北市私立辭修高級中學附設國中部</v>
      </c>
      <c r="F361" s="14" t="str">
        <f>IFERROR(__xludf.DUMMYFUNCTION("""COMPUTED_VALUE"""),"九年級")</f>
        <v>九年級</v>
      </c>
      <c r="G361" s="14" t="str">
        <f>IFERROR(__xludf.DUMMYFUNCTION("""COMPUTED_VALUE"""),"獎狀")</f>
        <v>獎狀</v>
      </c>
      <c r="H361" s="8"/>
    </row>
    <row r="362">
      <c r="A362" s="18"/>
      <c r="B362" s="14">
        <f>IFERROR(__xludf.DUMMYFUNCTION("""COMPUTED_VALUE"""),1115046.0)</f>
        <v>1115046</v>
      </c>
      <c r="C362" s="14" t="str">
        <f>IFERROR(__xludf.DUMMYFUNCTION("""COMPUTED_VALUE"""),"楊濬瑋")</f>
        <v>楊濬瑋</v>
      </c>
      <c r="D362" s="16" t="str">
        <f>IFERROR(__xludf.DUMMYFUNCTION("""COMPUTED_VALUE"""),"955*****365.tsshs.ntpc.edu.tw")</f>
        <v>955*****365.tsshs.ntpc.edu.tw</v>
      </c>
      <c r="E362" s="17" t="str">
        <f>IFERROR(__xludf.DUMMYFUNCTION("""COMPUTED_VALUE"""),"辭修學校財團法人新北市私立辭修高級中學附設國中部")</f>
        <v>辭修學校財團法人新北市私立辭修高級中學附設國中部</v>
      </c>
      <c r="F362" s="14" t="str">
        <f>IFERROR(__xludf.DUMMYFUNCTION("""COMPUTED_VALUE"""),"九年級")</f>
        <v>九年級</v>
      </c>
      <c r="G362" s="14" t="str">
        <f>IFERROR(__xludf.DUMMYFUNCTION("""COMPUTED_VALUE"""),"獎狀")</f>
        <v>獎狀</v>
      </c>
      <c r="H362" s="8"/>
    </row>
    <row r="363">
      <c r="A363" s="18"/>
      <c r="B363" s="14">
        <f>IFERROR(__xludf.DUMMYFUNCTION("""COMPUTED_VALUE"""),1115064.0)</f>
        <v>1115064</v>
      </c>
      <c r="C363" s="14" t="str">
        <f>IFERROR(__xludf.DUMMYFUNCTION("""COMPUTED_VALUE"""),"蔡依岑")</f>
        <v>蔡依岑</v>
      </c>
      <c r="D363" s="16" t="str">
        <f>IFERROR(__xludf.DUMMYFUNCTION("""COMPUTED_VALUE"""),"950*****365.tsshs.ntpc.edu.tw")</f>
        <v>950*****365.tsshs.ntpc.edu.tw</v>
      </c>
      <c r="E363" s="17" t="str">
        <f>IFERROR(__xludf.DUMMYFUNCTION("""COMPUTED_VALUE"""),"辭修學校財團法人新北市私立辭修高級中學附設國中部")</f>
        <v>辭修學校財團法人新北市私立辭修高級中學附設國中部</v>
      </c>
      <c r="F363" s="14" t="str">
        <f>IFERROR(__xludf.DUMMYFUNCTION("""COMPUTED_VALUE"""),"九年級")</f>
        <v>九年級</v>
      </c>
      <c r="G363" s="14" t="str">
        <f>IFERROR(__xludf.DUMMYFUNCTION("""COMPUTED_VALUE"""),"獎狀")</f>
        <v>獎狀</v>
      </c>
      <c r="H363" s="8"/>
    </row>
    <row r="364">
      <c r="A364" s="18"/>
      <c r="B364" s="14">
        <f>IFERROR(__xludf.DUMMYFUNCTION("""COMPUTED_VALUE"""),1115058.0)</f>
        <v>1115058</v>
      </c>
      <c r="C364" s="14" t="str">
        <f>IFERROR(__xludf.DUMMYFUNCTION("""COMPUTED_VALUE"""),"蔡瑋宸")</f>
        <v>蔡瑋宸</v>
      </c>
      <c r="D364" s="16" t="str">
        <f>IFERROR(__xludf.DUMMYFUNCTION("""COMPUTED_VALUE"""),"955*****365.tsshs.ntpc.edu.tw")</f>
        <v>955*****365.tsshs.ntpc.edu.tw</v>
      </c>
      <c r="E364" s="17" t="str">
        <f>IFERROR(__xludf.DUMMYFUNCTION("""COMPUTED_VALUE"""),"辭修學校財團法人新北市私立辭修高級中學附設國中部")</f>
        <v>辭修學校財團法人新北市私立辭修高級中學附設國中部</v>
      </c>
      <c r="F364" s="14" t="str">
        <f>IFERROR(__xludf.DUMMYFUNCTION("""COMPUTED_VALUE"""),"九年級")</f>
        <v>九年級</v>
      </c>
      <c r="G364" s="14" t="str">
        <f>IFERROR(__xludf.DUMMYFUNCTION("""COMPUTED_VALUE"""),"獎狀")</f>
        <v>獎狀</v>
      </c>
      <c r="H364" s="8"/>
    </row>
    <row r="365">
      <c r="A365" s="18"/>
      <c r="B365" s="14">
        <f>IFERROR(__xludf.DUMMYFUNCTION("""COMPUTED_VALUE"""),1115070.0)</f>
        <v>1115070</v>
      </c>
      <c r="C365" s="14" t="str">
        <f>IFERROR(__xludf.DUMMYFUNCTION("""COMPUTED_VALUE"""),"簡筠融")</f>
        <v>簡筠融</v>
      </c>
      <c r="D365" s="16" t="str">
        <f>IFERROR(__xludf.DUMMYFUNCTION("""COMPUTED_VALUE"""),"950*****365.tsshs.ntpc.edu.tw")</f>
        <v>950*****365.tsshs.ntpc.edu.tw</v>
      </c>
      <c r="E365" s="17" t="str">
        <f>IFERROR(__xludf.DUMMYFUNCTION("""COMPUTED_VALUE"""),"辭修學校財團法人新北市私立辭修高級中學附設國中部")</f>
        <v>辭修學校財團法人新北市私立辭修高級中學附設國中部</v>
      </c>
      <c r="F365" s="14" t="str">
        <f>IFERROR(__xludf.DUMMYFUNCTION("""COMPUTED_VALUE"""),"九年級")</f>
        <v>九年級</v>
      </c>
      <c r="G365" s="14" t="str">
        <f>IFERROR(__xludf.DUMMYFUNCTION("""COMPUTED_VALUE"""),"獎狀")</f>
        <v>獎狀</v>
      </c>
      <c r="H365" s="8"/>
    </row>
    <row r="366">
      <c r="A366" s="18"/>
      <c r="B366" s="14">
        <f>IFERROR(__xludf.DUMMYFUNCTION("""COMPUTED_VALUE"""),1115071.0)</f>
        <v>1115071</v>
      </c>
      <c r="C366" s="14" t="str">
        <f>IFERROR(__xludf.DUMMYFUNCTION("""COMPUTED_VALUE"""),"鐘云佑")</f>
        <v>鐘云佑</v>
      </c>
      <c r="D366" s="16" t="str">
        <f>IFERROR(__xludf.DUMMYFUNCTION("""COMPUTED_VALUE"""),"950*****365.tsshs.ntpc.edu.tw")</f>
        <v>950*****365.tsshs.ntpc.edu.tw</v>
      </c>
      <c r="E366" s="17" t="str">
        <f>IFERROR(__xludf.DUMMYFUNCTION("""COMPUTED_VALUE"""),"辭修學校財團法人新北市私立辭修高級中學附設國中部")</f>
        <v>辭修學校財團法人新北市私立辭修高級中學附設國中部</v>
      </c>
      <c r="F366" s="14" t="str">
        <f>IFERROR(__xludf.DUMMYFUNCTION("""COMPUTED_VALUE"""),"九年級")</f>
        <v>九年級</v>
      </c>
      <c r="G366" s="14" t="str">
        <f>IFERROR(__xludf.DUMMYFUNCTION("""COMPUTED_VALUE"""),"獎狀")</f>
        <v>獎狀</v>
      </c>
      <c r="H366" s="8"/>
    </row>
    <row r="367">
      <c r="A367" s="18"/>
      <c r="B367" s="14">
        <f>IFERROR(__xludf.DUMMYFUNCTION("""COMPUTED_VALUE"""),1013959.0)</f>
        <v>1013959</v>
      </c>
      <c r="C367" s="14" t="str">
        <f>IFERROR(__xludf.DUMMYFUNCTION("""COMPUTED_VALUE"""),"林昱杉")</f>
        <v>林昱杉</v>
      </c>
      <c r="D367" s="16" t="str">
        <f>IFERROR(__xludf.DUMMYFUNCTION("""COMPUTED_VALUE"""),"955*****365.tsshs.ntpc.edu.tw")</f>
        <v>955*****365.tsshs.ntpc.edu.tw</v>
      </c>
      <c r="E367" s="17" t="str">
        <f>IFERROR(__xludf.DUMMYFUNCTION("""COMPUTED_VALUE"""),"辭修學校財團法人新北市私立辭修高級中學附設國中部")</f>
        <v>辭修學校財團法人新北市私立辭修高級中學附設國中部</v>
      </c>
      <c r="F367" s="14" t="str">
        <f>IFERROR(__xludf.DUMMYFUNCTION("""COMPUTED_VALUE"""),"九年級")</f>
        <v>九年級</v>
      </c>
      <c r="G367" s="14" t="str">
        <f>IFERROR(__xludf.DUMMYFUNCTION("""COMPUTED_VALUE"""),"●小禮物")</f>
        <v>●小禮物</v>
      </c>
      <c r="H367" s="8"/>
    </row>
    <row r="368">
      <c r="A368" s="18"/>
      <c r="B368" s="14">
        <f>IFERROR(__xludf.DUMMYFUNCTION("""COMPUTED_VALUE"""),1013960.0)</f>
        <v>1013960</v>
      </c>
      <c r="C368" s="14" t="str">
        <f>IFERROR(__xludf.DUMMYFUNCTION("""COMPUTED_VALUE"""),"林畇辰")</f>
        <v>林畇辰</v>
      </c>
      <c r="D368" s="16" t="str">
        <f>IFERROR(__xludf.DUMMYFUNCTION("""COMPUTED_VALUE"""),"955*****365.tsshs.ntpc.edu.tw")</f>
        <v>955*****365.tsshs.ntpc.edu.tw</v>
      </c>
      <c r="E368" s="17" t="str">
        <f>IFERROR(__xludf.DUMMYFUNCTION("""COMPUTED_VALUE"""),"辭修學校財團法人新北市私立辭修高級中學附設國中部")</f>
        <v>辭修學校財團法人新北市私立辭修高級中學附設國中部</v>
      </c>
      <c r="F368" s="14" t="str">
        <f>IFERROR(__xludf.DUMMYFUNCTION("""COMPUTED_VALUE"""),"九年級")</f>
        <v>九年級</v>
      </c>
      <c r="G368" s="14" t="str">
        <f>IFERROR(__xludf.DUMMYFUNCTION("""COMPUTED_VALUE"""),"●小禮物")</f>
        <v>●小禮物</v>
      </c>
      <c r="H368" s="8"/>
    </row>
    <row r="369">
      <c r="A369" s="18"/>
      <c r="B369" s="14">
        <f>IFERROR(__xludf.DUMMYFUNCTION("""COMPUTED_VALUE"""),1013970.0)</f>
        <v>1013970</v>
      </c>
      <c r="C369" s="14" t="str">
        <f>IFERROR(__xludf.DUMMYFUNCTION("""COMPUTED_VALUE"""),"張凱茹")</f>
        <v>張凱茹</v>
      </c>
      <c r="D369" s="16" t="str">
        <f>IFERROR(__xludf.DUMMYFUNCTION("""COMPUTED_VALUE"""),"950*****365.tsshs.ntpc.edu.tw")</f>
        <v>950*****365.tsshs.ntpc.edu.tw</v>
      </c>
      <c r="E369" s="17" t="str">
        <f>IFERROR(__xludf.DUMMYFUNCTION("""COMPUTED_VALUE"""),"辭修學校財團法人新北市私立辭修高級中學附設國中部")</f>
        <v>辭修學校財團法人新北市私立辭修高級中學附設國中部</v>
      </c>
      <c r="F369" s="14" t="str">
        <f>IFERROR(__xludf.DUMMYFUNCTION("""COMPUTED_VALUE"""),"九年級")</f>
        <v>九年級</v>
      </c>
      <c r="G369" s="14" t="str">
        <f>IFERROR(__xludf.DUMMYFUNCTION("""COMPUTED_VALUE"""),"●小禮物")</f>
        <v>●小禮物</v>
      </c>
      <c r="H369" s="8"/>
    </row>
    <row r="370">
      <c r="A370" s="18"/>
      <c r="B370" s="14">
        <f>IFERROR(__xludf.DUMMYFUNCTION("""COMPUTED_VALUE"""),1013973.0)</f>
        <v>1013973</v>
      </c>
      <c r="C370" s="14" t="str">
        <f>IFERROR(__xludf.DUMMYFUNCTION("""COMPUTED_VALUE"""),"廖思潔")</f>
        <v>廖思潔</v>
      </c>
      <c r="D370" s="16" t="str">
        <f>IFERROR(__xludf.DUMMYFUNCTION("""COMPUTED_VALUE"""),"950*****365.tsshs.ntpc.edu.tw")</f>
        <v>950*****365.tsshs.ntpc.edu.tw</v>
      </c>
      <c r="E370" s="17" t="str">
        <f>IFERROR(__xludf.DUMMYFUNCTION("""COMPUTED_VALUE"""),"辭修學校財團法人新北市私立辭修高級中學附設國中部")</f>
        <v>辭修學校財團法人新北市私立辭修高級中學附設國中部</v>
      </c>
      <c r="F370" s="14" t="str">
        <f>IFERROR(__xludf.DUMMYFUNCTION("""COMPUTED_VALUE"""),"九年級")</f>
        <v>九年級</v>
      </c>
      <c r="G370" s="14" t="str">
        <f>IFERROR(__xludf.DUMMYFUNCTION("""COMPUTED_VALUE"""),"●小禮物")</f>
        <v>●小禮物</v>
      </c>
      <c r="H370" s="8"/>
    </row>
    <row r="371">
      <c r="A371" s="18"/>
      <c r="B371" s="14">
        <f>IFERROR(__xludf.DUMMYFUNCTION("""COMPUTED_VALUE"""),1013980.0)</f>
        <v>1013980</v>
      </c>
      <c r="C371" s="14" t="str">
        <f>IFERROR(__xludf.DUMMYFUNCTION("""COMPUTED_VALUE"""),"謝寶儀")</f>
        <v>謝寶儀</v>
      </c>
      <c r="D371" s="16" t="str">
        <f>IFERROR(__xludf.DUMMYFUNCTION("""COMPUTED_VALUE"""),"950*****365.tsshs.ntpc.edu.tw")</f>
        <v>950*****365.tsshs.ntpc.edu.tw</v>
      </c>
      <c r="E371" s="17" t="str">
        <f>IFERROR(__xludf.DUMMYFUNCTION("""COMPUTED_VALUE"""),"辭修學校財團法人新北市私立辭修高級中學附設國中部")</f>
        <v>辭修學校財團法人新北市私立辭修高級中學附設國中部</v>
      </c>
      <c r="F371" s="14" t="str">
        <f>IFERROR(__xludf.DUMMYFUNCTION("""COMPUTED_VALUE"""),"九年級")</f>
        <v>九年級</v>
      </c>
      <c r="G371" s="14" t="str">
        <f>IFERROR(__xludf.DUMMYFUNCTION("""COMPUTED_VALUE"""),"●小禮物")</f>
        <v>●小禮物</v>
      </c>
      <c r="H371" s="8"/>
    </row>
    <row r="372">
      <c r="A372" s="18"/>
      <c r="B372" s="14">
        <f>IFERROR(__xludf.DUMMYFUNCTION("""COMPUTED_VALUE"""),1013978.0)</f>
        <v>1013978</v>
      </c>
      <c r="C372" s="14" t="str">
        <f>IFERROR(__xludf.DUMMYFUNCTION("""COMPUTED_VALUE"""),"吳宜諠")</f>
        <v>吳宜諠</v>
      </c>
      <c r="D372" s="16" t="str">
        <f>IFERROR(__xludf.DUMMYFUNCTION("""COMPUTED_VALUE"""),"950*****365.tsshs.ntpc.edu.tw")</f>
        <v>950*****365.tsshs.ntpc.edu.tw</v>
      </c>
      <c r="E372" s="17" t="str">
        <f>IFERROR(__xludf.DUMMYFUNCTION("""COMPUTED_VALUE"""),"辭修學校財團法人新北市私立辭修高級中學附設國中部")</f>
        <v>辭修學校財團法人新北市私立辭修高級中學附設國中部</v>
      </c>
      <c r="F372" s="14" t="str">
        <f>IFERROR(__xludf.DUMMYFUNCTION("""COMPUTED_VALUE"""),"九年級")</f>
        <v>九年級</v>
      </c>
      <c r="G372" s="14" t="str">
        <f>IFERROR(__xludf.DUMMYFUNCTION("""COMPUTED_VALUE"""),"獎狀")</f>
        <v>獎狀</v>
      </c>
      <c r="H372" s="8"/>
    </row>
    <row r="373">
      <c r="A373" s="18"/>
      <c r="B373" s="14">
        <f>IFERROR(__xludf.DUMMYFUNCTION("""COMPUTED_VALUE"""),1109172.0)</f>
        <v>1109172</v>
      </c>
      <c r="C373" s="14" t="str">
        <f>IFERROR(__xludf.DUMMYFUNCTION("""COMPUTED_VALUE"""),"呂季宇")</f>
        <v>呂季宇</v>
      </c>
      <c r="D373" s="16" t="str">
        <f>IFERROR(__xludf.DUMMYFUNCTION("""COMPUTED_VALUE"""),"955*****365.tsshs.ntpc.edu.tw")</f>
        <v>955*****365.tsshs.ntpc.edu.tw</v>
      </c>
      <c r="E373" s="17" t="str">
        <f>IFERROR(__xludf.DUMMYFUNCTION("""COMPUTED_VALUE"""),"辭修學校財團法人新北市私立辭修高級中學附設國中部")</f>
        <v>辭修學校財團法人新北市私立辭修高級中學附設國中部</v>
      </c>
      <c r="F373" s="14" t="str">
        <f>IFERROR(__xludf.DUMMYFUNCTION("""COMPUTED_VALUE"""),"九年級")</f>
        <v>九年級</v>
      </c>
      <c r="G373" s="14" t="str">
        <f>IFERROR(__xludf.DUMMYFUNCTION("""COMPUTED_VALUE"""),"獎狀")</f>
        <v>獎狀</v>
      </c>
      <c r="H373" s="8"/>
    </row>
    <row r="374">
      <c r="A374" s="18"/>
      <c r="B374" s="14">
        <f>IFERROR(__xludf.DUMMYFUNCTION("""COMPUTED_VALUE"""),1013963.0)</f>
        <v>1013963</v>
      </c>
      <c r="C374" s="14" t="str">
        <f>IFERROR(__xludf.DUMMYFUNCTION("""COMPUTED_VALUE"""),"張文境")</f>
        <v>張文境</v>
      </c>
      <c r="D374" s="16" t="str">
        <f>IFERROR(__xludf.DUMMYFUNCTION("""COMPUTED_VALUE"""),"955*****365.tsshs.ntpc.edu.tw")</f>
        <v>955*****365.tsshs.ntpc.edu.tw</v>
      </c>
      <c r="E374" s="17" t="str">
        <f>IFERROR(__xludf.DUMMYFUNCTION("""COMPUTED_VALUE"""),"辭修學校財團法人新北市私立辭修高級中學附設國中部")</f>
        <v>辭修學校財團法人新北市私立辭修高級中學附設國中部</v>
      </c>
      <c r="F374" s="14" t="str">
        <f>IFERROR(__xludf.DUMMYFUNCTION("""COMPUTED_VALUE"""),"九年級")</f>
        <v>九年級</v>
      </c>
      <c r="G374" s="14" t="str">
        <f>IFERROR(__xludf.DUMMYFUNCTION("""COMPUTED_VALUE"""),"獎狀")</f>
        <v>獎狀</v>
      </c>
      <c r="H374" s="8"/>
    </row>
    <row r="375">
      <c r="A375" s="18"/>
      <c r="B375" s="14">
        <f>IFERROR(__xludf.DUMMYFUNCTION("""COMPUTED_VALUE"""),1013954.0)</f>
        <v>1013954</v>
      </c>
      <c r="C375" s="14" t="str">
        <f>IFERROR(__xludf.DUMMYFUNCTION("""COMPUTED_VALUE"""),"張竣翔")</f>
        <v>張竣翔</v>
      </c>
      <c r="D375" s="16" t="str">
        <f>IFERROR(__xludf.DUMMYFUNCTION("""COMPUTED_VALUE"""),"955*****365.tsshs.ntpc.edu.tw")</f>
        <v>955*****365.tsshs.ntpc.edu.tw</v>
      </c>
      <c r="E375" s="17" t="str">
        <f>IFERROR(__xludf.DUMMYFUNCTION("""COMPUTED_VALUE"""),"辭修學校財團法人新北市私立辭修高級中學附設國中部")</f>
        <v>辭修學校財團法人新北市私立辭修高級中學附設國中部</v>
      </c>
      <c r="F375" s="14" t="str">
        <f>IFERROR(__xludf.DUMMYFUNCTION("""COMPUTED_VALUE"""),"九年級")</f>
        <v>九年級</v>
      </c>
      <c r="G375" s="14" t="str">
        <f>IFERROR(__xludf.DUMMYFUNCTION("""COMPUTED_VALUE"""),"獎狀")</f>
        <v>獎狀</v>
      </c>
      <c r="H375" s="8"/>
    </row>
    <row r="376">
      <c r="A376" s="18"/>
      <c r="B376" s="14">
        <f>IFERROR(__xludf.DUMMYFUNCTION("""COMPUTED_VALUE"""),1013961.0)</f>
        <v>1013961</v>
      </c>
      <c r="C376" s="14" t="str">
        <f>IFERROR(__xludf.DUMMYFUNCTION("""COMPUTED_VALUE"""),"郭育安")</f>
        <v>郭育安</v>
      </c>
      <c r="D376" s="16" t="str">
        <f>IFERROR(__xludf.DUMMYFUNCTION("""COMPUTED_VALUE"""),"955*****365.tsshs.ntpc.edu.tw")</f>
        <v>955*****365.tsshs.ntpc.edu.tw</v>
      </c>
      <c r="E376" s="17" t="str">
        <f>IFERROR(__xludf.DUMMYFUNCTION("""COMPUTED_VALUE"""),"辭修學校財團法人新北市私立辭修高級中學附設國中部")</f>
        <v>辭修學校財團法人新北市私立辭修高級中學附設國中部</v>
      </c>
      <c r="F376" s="14" t="str">
        <f>IFERROR(__xludf.DUMMYFUNCTION("""COMPUTED_VALUE"""),"九年級")</f>
        <v>九年級</v>
      </c>
      <c r="G376" s="14" t="str">
        <f>IFERROR(__xludf.DUMMYFUNCTION("""COMPUTED_VALUE"""),"獎狀")</f>
        <v>獎狀</v>
      </c>
      <c r="H376" s="8"/>
    </row>
    <row r="377">
      <c r="A377" s="18"/>
      <c r="B377" s="14">
        <f>IFERROR(__xludf.DUMMYFUNCTION("""COMPUTED_VALUE"""),1204204.0)</f>
        <v>1204204</v>
      </c>
      <c r="C377" s="14" t="str">
        <f>IFERROR(__xludf.DUMMYFUNCTION("""COMPUTED_VALUE"""),"余米琦")</f>
        <v>余米琦</v>
      </c>
      <c r="D377" s="16" t="str">
        <f>IFERROR(__xludf.DUMMYFUNCTION("""COMPUTED_VALUE"""),"f68*****ps.ntpc.edu.tw")</f>
        <v>f68*****ps.ntpc.edu.tw</v>
      </c>
      <c r="E377" s="17" t="str">
        <f>IFERROR(__xludf.DUMMYFUNCTION("""COMPUTED_VALUE"""),"新北市立三多國民中學")</f>
        <v>新北市立三多國民中學</v>
      </c>
      <c r="F377" s="14" t="str">
        <f>IFERROR(__xludf.DUMMYFUNCTION("""COMPUTED_VALUE"""),"八年級")</f>
        <v>八年級</v>
      </c>
      <c r="G377" s="14" t="str">
        <f>IFERROR(__xludf.DUMMYFUNCTION("""COMPUTED_VALUE"""),"●小禮物")</f>
        <v>●小禮物</v>
      </c>
      <c r="H377" s="8"/>
    </row>
    <row r="378">
      <c r="A378" s="18"/>
      <c r="B378" s="14">
        <f>IFERROR(__xludf.DUMMYFUNCTION("""COMPUTED_VALUE"""),1203399.0)</f>
        <v>1203399</v>
      </c>
      <c r="C378" s="14" t="str">
        <f>IFERROR(__xludf.DUMMYFUNCTION("""COMPUTED_VALUE"""),"彭賢睿")</f>
        <v>彭賢睿</v>
      </c>
      <c r="D378" s="16" t="str">
        <f>IFERROR(__xludf.DUMMYFUNCTION("""COMPUTED_VALUE"""),"wu1*****@apps.ntpc.edu.tw")</f>
        <v>wu1*****@apps.ntpc.edu.tw</v>
      </c>
      <c r="E378" s="17" t="str">
        <f>IFERROR(__xludf.DUMMYFUNCTION("""COMPUTED_VALUE"""),"新北市立三多國民中學")</f>
        <v>新北市立三多國民中學</v>
      </c>
      <c r="F378" s="14" t="str">
        <f>IFERROR(__xludf.DUMMYFUNCTION("""COMPUTED_VALUE"""),"八年級")</f>
        <v>八年級</v>
      </c>
      <c r="G378" s="14" t="str">
        <f>IFERROR(__xludf.DUMMYFUNCTION("""COMPUTED_VALUE"""),"●小禮物")</f>
        <v>●小禮物</v>
      </c>
      <c r="H378" s="8"/>
    </row>
    <row r="379">
      <c r="A379" s="18"/>
      <c r="B379" s="14">
        <f>IFERROR(__xludf.DUMMYFUNCTION("""COMPUTED_VALUE"""),1200750.0)</f>
        <v>1200750</v>
      </c>
      <c r="C379" s="14" t="str">
        <f>IFERROR(__xludf.DUMMYFUNCTION("""COMPUTED_VALUE"""),"黃品瑜")</f>
        <v>黃品瑜</v>
      </c>
      <c r="D379" s="16" t="str">
        <f>IFERROR(__xludf.DUMMYFUNCTION("""COMPUTED_VALUE"""),"w10*****apps.ntpc.edu.tw")</f>
        <v>w10*****apps.ntpc.edu.tw</v>
      </c>
      <c r="E379" s="17" t="str">
        <f>IFERROR(__xludf.DUMMYFUNCTION("""COMPUTED_VALUE"""),"新北市立三多國民中學")</f>
        <v>新北市立三多國民中學</v>
      </c>
      <c r="F379" s="14" t="str">
        <f>IFERROR(__xludf.DUMMYFUNCTION("""COMPUTED_VALUE"""),"八年級")</f>
        <v>八年級</v>
      </c>
      <c r="G379" s="14" t="str">
        <f>IFERROR(__xludf.DUMMYFUNCTION("""COMPUTED_VALUE"""),"●小禮物")</f>
        <v>●小禮物</v>
      </c>
      <c r="H379" s="8"/>
    </row>
    <row r="380">
      <c r="A380" s="18"/>
      <c r="B380" s="14">
        <f>IFERROR(__xludf.DUMMYFUNCTION("""COMPUTED_VALUE"""),271839.0)</f>
        <v>271839</v>
      </c>
      <c r="C380" s="14" t="str">
        <f>IFERROR(__xludf.DUMMYFUNCTION("""COMPUTED_VALUE"""),"葉宛儒")</f>
        <v>葉宛儒</v>
      </c>
      <c r="D380" s="16" t="str">
        <f>IFERROR(__xludf.DUMMYFUNCTION("""COMPUTED_VALUE"""),"mil*****208@apps.ntpc.edu.tw")</f>
        <v>mil*****208@apps.ntpc.edu.tw</v>
      </c>
      <c r="E380" s="17" t="str">
        <f>IFERROR(__xludf.DUMMYFUNCTION("""COMPUTED_VALUE"""),"新北市立三多國民中學")</f>
        <v>新北市立三多國民中學</v>
      </c>
      <c r="F380" s="14" t="str">
        <f>IFERROR(__xludf.DUMMYFUNCTION("""COMPUTED_VALUE"""),"八年級")</f>
        <v>八年級</v>
      </c>
      <c r="G380" s="14" t="str">
        <f>IFERROR(__xludf.DUMMYFUNCTION("""COMPUTED_VALUE"""),"●小禮物")</f>
        <v>●小禮物</v>
      </c>
      <c r="H380" s="8"/>
    </row>
    <row r="381">
      <c r="A381" s="18"/>
      <c r="B381" s="14">
        <f>IFERROR(__xludf.DUMMYFUNCTION("""COMPUTED_VALUE"""),1204785.0)</f>
        <v>1204785</v>
      </c>
      <c r="C381" s="14" t="str">
        <f>IFERROR(__xludf.DUMMYFUNCTION("""COMPUTED_VALUE"""),"陳冠廷")</f>
        <v>陳冠廷</v>
      </c>
      <c r="D381" s="16" t="str">
        <f>IFERROR(__xludf.DUMMYFUNCTION("""COMPUTED_VALUE"""),"wu1*****@apps.ntpc.edu.tw")</f>
        <v>wu1*****@apps.ntpc.edu.tw</v>
      </c>
      <c r="E381" s="17" t="str">
        <f>IFERROR(__xludf.DUMMYFUNCTION("""COMPUTED_VALUE"""),"新北市立三多國民中學")</f>
        <v>新北市立三多國民中學</v>
      </c>
      <c r="F381" s="14" t="str">
        <f>IFERROR(__xludf.DUMMYFUNCTION("""COMPUTED_VALUE"""),"八年級")</f>
        <v>八年級</v>
      </c>
      <c r="G381" s="14" t="str">
        <f>IFERROR(__xludf.DUMMYFUNCTION("""COMPUTED_VALUE"""),"獎狀")</f>
        <v>獎狀</v>
      </c>
      <c r="H381" s="8"/>
    </row>
    <row r="382">
      <c r="A382" s="18"/>
      <c r="B382" s="14">
        <f>IFERROR(__xludf.DUMMYFUNCTION("""COMPUTED_VALUE"""),1204782.0)</f>
        <v>1204782</v>
      </c>
      <c r="C382" s="14" t="str">
        <f>IFERROR(__xludf.DUMMYFUNCTION("""COMPUTED_VALUE"""),"錢家瑀")</f>
        <v>錢家瑀</v>
      </c>
      <c r="D382" s="16" t="str">
        <f>IFERROR(__xludf.DUMMYFUNCTION("""COMPUTED_VALUE"""),"wu1*****@apps.ntpc.edu.tw")</f>
        <v>wu1*****@apps.ntpc.edu.tw</v>
      </c>
      <c r="E382" s="17" t="str">
        <f>IFERROR(__xludf.DUMMYFUNCTION("""COMPUTED_VALUE"""),"新北市立三多國民中學")</f>
        <v>新北市立三多國民中學</v>
      </c>
      <c r="F382" s="14" t="str">
        <f>IFERROR(__xludf.DUMMYFUNCTION("""COMPUTED_VALUE"""),"八年級")</f>
        <v>八年級</v>
      </c>
      <c r="G382" s="14" t="str">
        <f>IFERROR(__xludf.DUMMYFUNCTION("""COMPUTED_VALUE"""),"獎狀")</f>
        <v>獎狀</v>
      </c>
      <c r="H382" s="8"/>
    </row>
    <row r="383">
      <c r="A383" s="18"/>
      <c r="B383" s="14">
        <f>IFERROR(__xludf.DUMMYFUNCTION("""COMPUTED_VALUE"""),1204766.0)</f>
        <v>1204766</v>
      </c>
      <c r="C383" s="14" t="str">
        <f>IFERROR(__xludf.DUMMYFUNCTION("""COMPUTED_VALUE"""),"王丞翰")</f>
        <v>王丞翰</v>
      </c>
      <c r="D383" s="16" t="str">
        <f>IFERROR(__xludf.DUMMYFUNCTION("""COMPUTED_VALUE"""),"sd1*****328@apps.ntpc.edu.tw")</f>
        <v>sd1*****328@apps.ntpc.edu.tw</v>
      </c>
      <c r="E383" s="17" t="str">
        <f>IFERROR(__xludf.DUMMYFUNCTION("""COMPUTED_VALUE"""),"新北市立三多國民中學")</f>
        <v>新北市立三多國民中學</v>
      </c>
      <c r="F383" s="14" t="str">
        <f>IFERROR(__xludf.DUMMYFUNCTION("""COMPUTED_VALUE"""),"八年級")</f>
        <v>八年級</v>
      </c>
      <c r="G383" s="14" t="str">
        <f>IFERROR(__xludf.DUMMYFUNCTION("""COMPUTED_VALUE"""),"獎狀")</f>
        <v>獎狀</v>
      </c>
      <c r="H383" s="8"/>
    </row>
    <row r="384">
      <c r="A384" s="18"/>
      <c r="B384" s="14">
        <f>IFERROR(__xludf.DUMMYFUNCTION("""COMPUTED_VALUE"""),1204778.0)</f>
        <v>1204778</v>
      </c>
      <c r="C384" s="14" t="str">
        <f>IFERROR(__xludf.DUMMYFUNCTION("""COMPUTED_VALUE"""),"吳宇軒")</f>
        <v>吳宇軒</v>
      </c>
      <c r="D384" s="16" t="str">
        <f>IFERROR(__xludf.DUMMYFUNCTION("""COMPUTED_VALUE"""),"wu1*****@apps.ntpc.edu.tw")</f>
        <v>wu1*****@apps.ntpc.edu.tw</v>
      </c>
      <c r="E384" s="17" t="str">
        <f>IFERROR(__xludf.DUMMYFUNCTION("""COMPUTED_VALUE"""),"新北市立三多國民中學")</f>
        <v>新北市立三多國民中學</v>
      </c>
      <c r="F384" s="14" t="str">
        <f>IFERROR(__xludf.DUMMYFUNCTION("""COMPUTED_VALUE"""),"八年級")</f>
        <v>八年級</v>
      </c>
      <c r="G384" s="14" t="str">
        <f>IFERROR(__xludf.DUMMYFUNCTION("""COMPUTED_VALUE"""),"獎狀")</f>
        <v>獎狀</v>
      </c>
      <c r="H384" s="8"/>
    </row>
    <row r="385">
      <c r="A385" s="18"/>
      <c r="B385" s="14">
        <f>IFERROR(__xludf.DUMMYFUNCTION("""COMPUTED_VALUE"""),1204779.0)</f>
        <v>1204779</v>
      </c>
      <c r="C385" s="14" t="str">
        <f>IFERROR(__xludf.DUMMYFUNCTION("""COMPUTED_VALUE"""),"張麒君")</f>
        <v>張麒君</v>
      </c>
      <c r="D385" s="16" t="str">
        <f>IFERROR(__xludf.DUMMYFUNCTION("""COMPUTED_VALUE"""),"nic*****@apps.ntpc.edu.tw")</f>
        <v>nic*****@apps.ntpc.edu.tw</v>
      </c>
      <c r="E385" s="17" t="str">
        <f>IFERROR(__xludf.DUMMYFUNCTION("""COMPUTED_VALUE"""),"新北市立三多國民中學")</f>
        <v>新北市立三多國民中學</v>
      </c>
      <c r="F385" s="14" t="str">
        <f>IFERROR(__xludf.DUMMYFUNCTION("""COMPUTED_VALUE"""),"八年級")</f>
        <v>八年級</v>
      </c>
      <c r="G385" s="14" t="str">
        <f>IFERROR(__xludf.DUMMYFUNCTION("""COMPUTED_VALUE"""),"獎狀")</f>
        <v>獎狀</v>
      </c>
      <c r="H385" s="8"/>
    </row>
    <row r="386">
      <c r="A386" s="18"/>
      <c r="B386" s="14">
        <f>IFERROR(__xludf.DUMMYFUNCTION("""COMPUTED_VALUE"""),688566.0)</f>
        <v>688566</v>
      </c>
      <c r="C386" s="14" t="str">
        <f>IFERROR(__xludf.DUMMYFUNCTION("""COMPUTED_VALUE"""),"王貞蘊")</f>
        <v>王貞蘊</v>
      </c>
      <c r="D386" s="16" t="str">
        <f>IFERROR(__xludf.DUMMYFUNCTION("""COMPUTED_VALUE"""),"jja*****pps.ntpc.edu.tw")</f>
        <v>jja*****pps.ntpc.edu.tw</v>
      </c>
      <c r="E386" s="17" t="str">
        <f>IFERROR(__xludf.DUMMYFUNCTION("""COMPUTED_VALUE"""),"新北市立三多國民中學")</f>
        <v>新北市立三多國民中學</v>
      </c>
      <c r="F386" s="14" t="str">
        <f>IFERROR(__xludf.DUMMYFUNCTION("""COMPUTED_VALUE"""),"九年級")</f>
        <v>九年級</v>
      </c>
      <c r="G386" s="14" t="str">
        <f>IFERROR(__xludf.DUMMYFUNCTION("""COMPUTED_VALUE"""),"●小禮物")</f>
        <v>●小禮物</v>
      </c>
      <c r="H386" s="8"/>
    </row>
    <row r="387">
      <c r="A387" s="18"/>
      <c r="B387" s="14">
        <f>IFERROR(__xludf.DUMMYFUNCTION("""COMPUTED_VALUE"""),1205910.0)</f>
        <v>1205910</v>
      </c>
      <c r="C387" s="14" t="str">
        <f>IFERROR(__xludf.DUMMYFUNCTION("""COMPUTED_VALUE"""),"王靖婷")</f>
        <v>王靖婷</v>
      </c>
      <c r="D387" s="16" t="str">
        <f>IFERROR(__xludf.DUMMYFUNCTION("""COMPUTED_VALUE"""),"wu1*****@apps.ntpc.edu.tw")</f>
        <v>wu1*****@apps.ntpc.edu.tw</v>
      </c>
      <c r="E387" s="17" t="str">
        <f>IFERROR(__xludf.DUMMYFUNCTION("""COMPUTED_VALUE"""),"新北市立三多國民中學")</f>
        <v>新北市立三多國民中學</v>
      </c>
      <c r="F387" s="14" t="str">
        <f>IFERROR(__xludf.DUMMYFUNCTION("""COMPUTED_VALUE"""),"九年級")</f>
        <v>九年級</v>
      </c>
      <c r="G387" s="14" t="str">
        <f>IFERROR(__xludf.DUMMYFUNCTION("""COMPUTED_VALUE"""),"●小禮物")</f>
        <v>●小禮物</v>
      </c>
      <c r="H387" s="8"/>
    </row>
    <row r="388">
      <c r="A388" s="18"/>
      <c r="B388" s="14">
        <f>IFERROR(__xludf.DUMMYFUNCTION("""COMPUTED_VALUE"""),1203556.0)</f>
        <v>1203556</v>
      </c>
      <c r="C388" s="14" t="str">
        <f>IFERROR(__xludf.DUMMYFUNCTION("""COMPUTED_VALUE"""),"吳宗樺")</f>
        <v>吳宗樺</v>
      </c>
      <c r="D388" s="16" t="str">
        <f>IFERROR(__xludf.DUMMYFUNCTION("""COMPUTED_VALUE"""),"car*****@apps.ntpc.edu.tw")</f>
        <v>car*****@apps.ntpc.edu.tw</v>
      </c>
      <c r="E388" s="17" t="str">
        <f>IFERROR(__xludf.DUMMYFUNCTION("""COMPUTED_VALUE"""),"新北市立三多國民中學")</f>
        <v>新北市立三多國民中學</v>
      </c>
      <c r="F388" s="14" t="str">
        <f>IFERROR(__xludf.DUMMYFUNCTION("""COMPUTED_VALUE"""),"九年級")</f>
        <v>九年級</v>
      </c>
      <c r="G388" s="14" t="str">
        <f>IFERROR(__xludf.DUMMYFUNCTION("""COMPUTED_VALUE"""),"●小禮物")</f>
        <v>●小禮物</v>
      </c>
      <c r="H388" s="8"/>
    </row>
    <row r="389">
      <c r="A389" s="18"/>
      <c r="B389" s="14">
        <f>IFERROR(__xludf.DUMMYFUNCTION("""COMPUTED_VALUE"""),1207343.0)</f>
        <v>1207343</v>
      </c>
      <c r="C389" s="14" t="str">
        <f>IFERROR(__xludf.DUMMYFUNCTION("""COMPUTED_VALUE"""),"吳昕穎")</f>
        <v>吳昕穎</v>
      </c>
      <c r="D389" s="16" t="str">
        <f>IFERROR(__xludf.DUMMYFUNCTION("""COMPUTED_VALUE"""),"wul*****130@apps.ntpc.edu.tw")</f>
        <v>wul*****130@apps.ntpc.edu.tw</v>
      </c>
      <c r="E389" s="17" t="str">
        <f>IFERROR(__xludf.DUMMYFUNCTION("""COMPUTED_VALUE"""),"新北市立三多國民中學")</f>
        <v>新北市立三多國民中學</v>
      </c>
      <c r="F389" s="14" t="str">
        <f>IFERROR(__xludf.DUMMYFUNCTION("""COMPUTED_VALUE"""),"九年級")</f>
        <v>九年級</v>
      </c>
      <c r="G389" s="14" t="str">
        <f>IFERROR(__xludf.DUMMYFUNCTION("""COMPUTED_VALUE"""),"●小禮物")</f>
        <v>●小禮物</v>
      </c>
      <c r="H389" s="8"/>
    </row>
    <row r="390">
      <c r="A390" s="18"/>
      <c r="B390" s="14">
        <f>IFERROR(__xludf.DUMMYFUNCTION("""COMPUTED_VALUE"""),1200054.0)</f>
        <v>1200054</v>
      </c>
      <c r="C390" s="14" t="str">
        <f>IFERROR(__xludf.DUMMYFUNCTION("""COMPUTED_VALUE"""),"宋利雄")</f>
        <v>宋利雄</v>
      </c>
      <c r="D390" s="16" t="str">
        <f>IFERROR(__xludf.DUMMYFUNCTION("""COMPUTED_VALUE"""),"wu1*****@apps.ntpc.edu.tw")</f>
        <v>wu1*****@apps.ntpc.edu.tw</v>
      </c>
      <c r="E390" s="17" t="str">
        <f>IFERROR(__xludf.DUMMYFUNCTION("""COMPUTED_VALUE"""),"新北市立三多國民中學")</f>
        <v>新北市立三多國民中學</v>
      </c>
      <c r="F390" s="14" t="str">
        <f>IFERROR(__xludf.DUMMYFUNCTION("""COMPUTED_VALUE"""),"九年級")</f>
        <v>九年級</v>
      </c>
      <c r="G390" s="14" t="str">
        <f>IFERROR(__xludf.DUMMYFUNCTION("""COMPUTED_VALUE"""),"●小禮物")</f>
        <v>●小禮物</v>
      </c>
      <c r="H390" s="8"/>
    </row>
    <row r="391">
      <c r="A391" s="18"/>
      <c r="B391" s="14">
        <f>IFERROR(__xludf.DUMMYFUNCTION("""COMPUTED_VALUE"""),688590.0)</f>
        <v>688590</v>
      </c>
      <c r="C391" s="14" t="str">
        <f>IFERROR(__xludf.DUMMYFUNCTION("""COMPUTED_VALUE"""),"林佳諭")</f>
        <v>林佳諭</v>
      </c>
      <c r="D391" s="16" t="str">
        <f>IFERROR(__xludf.DUMMYFUNCTION("""COMPUTED_VALUE"""),"kit*****28@apps.ntpc.edu.tw")</f>
        <v>kit*****28@apps.ntpc.edu.tw</v>
      </c>
      <c r="E391" s="17" t="str">
        <f>IFERROR(__xludf.DUMMYFUNCTION("""COMPUTED_VALUE"""),"新北市立三多國民中學")</f>
        <v>新北市立三多國民中學</v>
      </c>
      <c r="F391" s="14" t="str">
        <f>IFERROR(__xludf.DUMMYFUNCTION("""COMPUTED_VALUE"""),"九年級")</f>
        <v>九年級</v>
      </c>
      <c r="G391" s="14" t="str">
        <f>IFERROR(__xludf.DUMMYFUNCTION("""COMPUTED_VALUE"""),"●小禮物")</f>
        <v>●小禮物</v>
      </c>
      <c r="H391" s="8"/>
    </row>
    <row r="392">
      <c r="A392" s="18"/>
      <c r="B392" s="14">
        <f>IFERROR(__xludf.DUMMYFUNCTION("""COMPUTED_VALUE"""),263321.0)</f>
        <v>263321</v>
      </c>
      <c r="C392" s="14" t="str">
        <f>IFERROR(__xludf.DUMMYFUNCTION("""COMPUTED_VALUE"""),"林宜榛")</f>
        <v>林宜榛</v>
      </c>
      <c r="D392" s="16" t="str">
        <f>IFERROR(__xludf.DUMMYFUNCTION("""COMPUTED_VALUE"""),"yiz*****19@apps.ntpc.edu.tw")</f>
        <v>yiz*****19@apps.ntpc.edu.tw</v>
      </c>
      <c r="E392" s="17" t="str">
        <f>IFERROR(__xludf.DUMMYFUNCTION("""COMPUTED_VALUE"""),"新北市立三多國民中學")</f>
        <v>新北市立三多國民中學</v>
      </c>
      <c r="F392" s="14" t="str">
        <f>IFERROR(__xludf.DUMMYFUNCTION("""COMPUTED_VALUE"""),"九年級")</f>
        <v>九年級</v>
      </c>
      <c r="G392" s="14" t="str">
        <f>IFERROR(__xludf.DUMMYFUNCTION("""COMPUTED_VALUE"""),"●小禮物")</f>
        <v>●小禮物</v>
      </c>
      <c r="H392" s="8"/>
    </row>
    <row r="393">
      <c r="A393" s="18"/>
      <c r="B393" s="14">
        <f>IFERROR(__xludf.DUMMYFUNCTION("""COMPUTED_VALUE"""),1207342.0)</f>
        <v>1207342</v>
      </c>
      <c r="C393" s="14" t="str">
        <f>IFERROR(__xludf.DUMMYFUNCTION("""COMPUTED_VALUE"""),"柯俊安")</f>
        <v>柯俊安</v>
      </c>
      <c r="D393" s="16" t="str">
        <f>IFERROR(__xludf.DUMMYFUNCTION("""COMPUTED_VALUE"""),"sta*****@apps.ntpc.edu.tw")</f>
        <v>sta*****@apps.ntpc.edu.tw</v>
      </c>
      <c r="E393" s="17" t="str">
        <f>IFERROR(__xludf.DUMMYFUNCTION("""COMPUTED_VALUE"""),"新北市立三多國民中學")</f>
        <v>新北市立三多國民中學</v>
      </c>
      <c r="F393" s="14" t="str">
        <f>IFERROR(__xludf.DUMMYFUNCTION("""COMPUTED_VALUE"""),"九年級")</f>
        <v>九年級</v>
      </c>
      <c r="G393" s="14" t="str">
        <f>IFERROR(__xludf.DUMMYFUNCTION("""COMPUTED_VALUE"""),"●小禮物")</f>
        <v>●小禮物</v>
      </c>
      <c r="H393" s="8"/>
    </row>
    <row r="394">
      <c r="A394" s="18"/>
      <c r="B394" s="14">
        <f>IFERROR(__xludf.DUMMYFUNCTION("""COMPUTED_VALUE"""),1200061.0)</f>
        <v>1200061</v>
      </c>
      <c r="C394" s="14" t="str">
        <f>IFERROR(__xludf.DUMMYFUNCTION("""COMPUTED_VALUE"""),"唐楷鈞")</f>
        <v>唐楷鈞</v>
      </c>
      <c r="D394" s="16" t="str">
        <f>IFERROR(__xludf.DUMMYFUNCTION("""COMPUTED_VALUE"""),"wu1*****@apps.ntpc.edu.tw")</f>
        <v>wu1*****@apps.ntpc.edu.tw</v>
      </c>
      <c r="E394" s="17" t="str">
        <f>IFERROR(__xludf.DUMMYFUNCTION("""COMPUTED_VALUE"""),"新北市立三多國民中學")</f>
        <v>新北市立三多國民中學</v>
      </c>
      <c r="F394" s="14" t="str">
        <f>IFERROR(__xludf.DUMMYFUNCTION("""COMPUTED_VALUE"""),"九年級")</f>
        <v>九年級</v>
      </c>
      <c r="G394" s="14" t="str">
        <f>IFERROR(__xludf.DUMMYFUNCTION("""COMPUTED_VALUE"""),"●小禮物")</f>
        <v>●小禮物</v>
      </c>
      <c r="H394" s="8"/>
    </row>
    <row r="395">
      <c r="A395" s="18"/>
      <c r="B395" s="14">
        <f>IFERROR(__xludf.DUMMYFUNCTION("""COMPUTED_VALUE"""),687809.0)</f>
        <v>687809</v>
      </c>
      <c r="C395" s="14" t="str">
        <f>IFERROR(__xludf.DUMMYFUNCTION("""COMPUTED_VALUE"""),"張恩綺")</f>
        <v>張恩綺</v>
      </c>
      <c r="D395" s="16" t="str">
        <f>IFERROR(__xludf.DUMMYFUNCTION("""COMPUTED_VALUE"""),"wu1*****@apps.ntpc.edu.tw")</f>
        <v>wu1*****@apps.ntpc.edu.tw</v>
      </c>
      <c r="E395" s="17" t="str">
        <f>IFERROR(__xludf.DUMMYFUNCTION("""COMPUTED_VALUE"""),"新北市立三多國民中學")</f>
        <v>新北市立三多國民中學</v>
      </c>
      <c r="F395" s="14" t="str">
        <f>IFERROR(__xludf.DUMMYFUNCTION("""COMPUTED_VALUE"""),"九年級")</f>
        <v>九年級</v>
      </c>
      <c r="G395" s="14" t="str">
        <f>IFERROR(__xludf.DUMMYFUNCTION("""COMPUTED_VALUE"""),"●小禮物")</f>
        <v>●小禮物</v>
      </c>
      <c r="H395" s="8"/>
    </row>
    <row r="396">
      <c r="A396" s="18"/>
      <c r="B396" s="14">
        <f>IFERROR(__xludf.DUMMYFUNCTION("""COMPUTED_VALUE"""),1207344.0)</f>
        <v>1207344</v>
      </c>
      <c r="C396" s="14" t="str">
        <f>IFERROR(__xludf.DUMMYFUNCTION("""COMPUTED_VALUE"""),"連娸菱")</f>
        <v>連娸菱</v>
      </c>
      <c r="D396" s="16" t="str">
        <f>IFERROR(__xludf.DUMMYFUNCTION("""COMPUTED_VALUE"""),"wu1*****@apps.ntpc.edu.tw")</f>
        <v>wu1*****@apps.ntpc.edu.tw</v>
      </c>
      <c r="E396" s="17" t="str">
        <f>IFERROR(__xludf.DUMMYFUNCTION("""COMPUTED_VALUE"""),"新北市立三多國民中學")</f>
        <v>新北市立三多國民中學</v>
      </c>
      <c r="F396" s="14" t="str">
        <f>IFERROR(__xludf.DUMMYFUNCTION("""COMPUTED_VALUE"""),"九年級")</f>
        <v>九年級</v>
      </c>
      <c r="G396" s="14" t="str">
        <f>IFERROR(__xludf.DUMMYFUNCTION("""COMPUTED_VALUE"""),"●小禮物")</f>
        <v>●小禮物</v>
      </c>
      <c r="H396" s="8"/>
    </row>
    <row r="397">
      <c r="A397" s="18"/>
      <c r="B397" s="14">
        <f>IFERROR(__xludf.DUMMYFUNCTION("""COMPUTED_VALUE"""),1205570.0)</f>
        <v>1205570</v>
      </c>
      <c r="C397" s="14" t="str">
        <f>IFERROR(__xludf.DUMMYFUNCTION("""COMPUTED_VALUE"""),"陳昱愷")</f>
        <v>陳昱愷</v>
      </c>
      <c r="D397" s="16" t="str">
        <f>IFERROR(__xludf.DUMMYFUNCTION("""COMPUTED_VALUE"""),"edg*****7@apps.ntpc.edu.tw")</f>
        <v>edg*****7@apps.ntpc.edu.tw</v>
      </c>
      <c r="E397" s="17" t="str">
        <f>IFERROR(__xludf.DUMMYFUNCTION("""COMPUTED_VALUE"""),"新北市立三多國民中學")</f>
        <v>新北市立三多國民中學</v>
      </c>
      <c r="F397" s="14" t="str">
        <f>IFERROR(__xludf.DUMMYFUNCTION("""COMPUTED_VALUE"""),"九年級")</f>
        <v>九年級</v>
      </c>
      <c r="G397" s="14" t="str">
        <f>IFERROR(__xludf.DUMMYFUNCTION("""COMPUTED_VALUE"""),"●小禮物")</f>
        <v>●小禮物</v>
      </c>
      <c r="H397" s="8"/>
    </row>
    <row r="398">
      <c r="A398" s="18"/>
      <c r="B398" s="14">
        <f>IFERROR(__xludf.DUMMYFUNCTION("""COMPUTED_VALUE"""),1200873.0)</f>
        <v>1200873</v>
      </c>
      <c r="C398" s="14" t="str">
        <f>IFERROR(__xludf.DUMMYFUNCTION("""COMPUTED_VALUE"""),"陳瀚丰")</f>
        <v>陳瀚丰</v>
      </c>
      <c r="D398" s="16" t="str">
        <f>IFERROR(__xludf.DUMMYFUNCTION("""COMPUTED_VALUE"""),"wu1*****@apps.ntpc.edu.tw")</f>
        <v>wu1*****@apps.ntpc.edu.tw</v>
      </c>
      <c r="E398" s="17" t="str">
        <f>IFERROR(__xludf.DUMMYFUNCTION("""COMPUTED_VALUE"""),"新北市立三多國民中學")</f>
        <v>新北市立三多國民中學</v>
      </c>
      <c r="F398" s="14" t="str">
        <f>IFERROR(__xludf.DUMMYFUNCTION("""COMPUTED_VALUE"""),"九年級")</f>
        <v>九年級</v>
      </c>
      <c r="G398" s="14" t="str">
        <f>IFERROR(__xludf.DUMMYFUNCTION("""COMPUTED_VALUE"""),"●小禮物")</f>
        <v>●小禮物</v>
      </c>
      <c r="H398" s="8"/>
    </row>
    <row r="399">
      <c r="A399" s="18"/>
      <c r="B399" s="14">
        <f>IFERROR(__xludf.DUMMYFUNCTION("""COMPUTED_VALUE"""),1205558.0)</f>
        <v>1205558</v>
      </c>
      <c r="C399" s="14" t="str">
        <f>IFERROR(__xludf.DUMMYFUNCTION("""COMPUTED_VALUE"""),"黃紹頡")</f>
        <v>黃紹頡</v>
      </c>
      <c r="D399" s="16" t="str">
        <f>IFERROR(__xludf.DUMMYFUNCTION("""COMPUTED_VALUE"""),"sje*****21@apps.ntpc.edu.tw")</f>
        <v>sje*****21@apps.ntpc.edu.tw</v>
      </c>
      <c r="E399" s="17" t="str">
        <f>IFERROR(__xludf.DUMMYFUNCTION("""COMPUTED_VALUE"""),"新北市立三多國民中學")</f>
        <v>新北市立三多國民中學</v>
      </c>
      <c r="F399" s="14" t="str">
        <f>IFERROR(__xludf.DUMMYFUNCTION("""COMPUTED_VALUE"""),"九年級")</f>
        <v>九年級</v>
      </c>
      <c r="G399" s="14" t="str">
        <f>IFERROR(__xludf.DUMMYFUNCTION("""COMPUTED_VALUE"""),"●小禮物")</f>
        <v>●小禮物</v>
      </c>
      <c r="H399" s="8"/>
    </row>
    <row r="400">
      <c r="A400" s="18"/>
      <c r="B400" s="14">
        <f>IFERROR(__xludf.DUMMYFUNCTION("""COMPUTED_VALUE"""),1200870.0)</f>
        <v>1200870</v>
      </c>
      <c r="C400" s="14" t="str">
        <f>IFERROR(__xludf.DUMMYFUNCTION("""COMPUTED_VALUE"""),"黃莉涵")</f>
        <v>黃莉涵</v>
      </c>
      <c r="D400" s="16" t="str">
        <f>IFERROR(__xludf.DUMMYFUNCTION("""COMPUTED_VALUE"""),"mar*****9@apps.ntpc.edu.tw")</f>
        <v>mar*****9@apps.ntpc.edu.tw</v>
      </c>
      <c r="E400" s="17" t="str">
        <f>IFERROR(__xludf.DUMMYFUNCTION("""COMPUTED_VALUE"""),"新北市立三多國民中學")</f>
        <v>新北市立三多國民中學</v>
      </c>
      <c r="F400" s="14" t="str">
        <f>IFERROR(__xludf.DUMMYFUNCTION("""COMPUTED_VALUE"""),"九年級")</f>
        <v>九年級</v>
      </c>
      <c r="G400" s="14" t="str">
        <f>IFERROR(__xludf.DUMMYFUNCTION("""COMPUTED_VALUE"""),"●小禮物")</f>
        <v>●小禮物</v>
      </c>
      <c r="H400" s="8"/>
    </row>
    <row r="401">
      <c r="A401" s="18"/>
      <c r="B401" s="14">
        <f>IFERROR(__xludf.DUMMYFUNCTION("""COMPUTED_VALUE"""),1200051.0)</f>
        <v>1200051</v>
      </c>
      <c r="C401" s="14" t="str">
        <f>IFERROR(__xludf.DUMMYFUNCTION("""COMPUTED_VALUE"""),"廖敏妤")</f>
        <v>廖敏妤</v>
      </c>
      <c r="D401" s="16" t="str">
        <f>IFERROR(__xludf.DUMMYFUNCTION("""COMPUTED_VALUE"""),"wu1*****@apps.ntpc.edu.tw")</f>
        <v>wu1*****@apps.ntpc.edu.tw</v>
      </c>
      <c r="E401" s="17" t="str">
        <f>IFERROR(__xludf.DUMMYFUNCTION("""COMPUTED_VALUE"""),"新北市立三多國民中學")</f>
        <v>新北市立三多國民中學</v>
      </c>
      <c r="F401" s="14" t="str">
        <f>IFERROR(__xludf.DUMMYFUNCTION("""COMPUTED_VALUE"""),"九年級")</f>
        <v>九年級</v>
      </c>
      <c r="G401" s="14" t="str">
        <f>IFERROR(__xludf.DUMMYFUNCTION("""COMPUTED_VALUE"""),"●小禮物")</f>
        <v>●小禮物</v>
      </c>
      <c r="H401" s="8"/>
    </row>
    <row r="402">
      <c r="A402" s="18"/>
      <c r="B402" s="14">
        <f>IFERROR(__xludf.DUMMYFUNCTION("""COMPUTED_VALUE"""),1200048.0)</f>
        <v>1200048</v>
      </c>
      <c r="C402" s="14" t="str">
        <f>IFERROR(__xludf.DUMMYFUNCTION("""COMPUTED_VALUE"""),"趙宥惟")</f>
        <v>趙宥惟</v>
      </c>
      <c r="D402" s="16" t="str">
        <f>IFERROR(__xludf.DUMMYFUNCTION("""COMPUTED_VALUE"""),"rya*****1029@apps.ntpc.edu.tw")</f>
        <v>rya*****1029@apps.ntpc.edu.tw</v>
      </c>
      <c r="E402" s="17" t="str">
        <f>IFERROR(__xludf.DUMMYFUNCTION("""COMPUTED_VALUE"""),"新北市立三多國民中學")</f>
        <v>新北市立三多國民中學</v>
      </c>
      <c r="F402" s="14" t="str">
        <f>IFERROR(__xludf.DUMMYFUNCTION("""COMPUTED_VALUE"""),"九年級")</f>
        <v>九年級</v>
      </c>
      <c r="G402" s="14" t="str">
        <f>IFERROR(__xludf.DUMMYFUNCTION("""COMPUTED_VALUE"""),"●小禮物")</f>
        <v>●小禮物</v>
      </c>
      <c r="H402" s="8"/>
    </row>
    <row r="403">
      <c r="A403" s="18"/>
      <c r="B403" s="14">
        <f>IFERROR(__xludf.DUMMYFUNCTION("""COMPUTED_VALUE"""),1200876.0)</f>
        <v>1200876</v>
      </c>
      <c r="C403" s="14" t="str">
        <f>IFERROR(__xludf.DUMMYFUNCTION("""COMPUTED_VALUE"""),"劉政傑")</f>
        <v>劉政傑</v>
      </c>
      <c r="D403" s="16" t="str">
        <f>IFERROR(__xludf.DUMMYFUNCTION("""COMPUTED_VALUE"""),"wu1*****@apps.ntpc.edu.tw")</f>
        <v>wu1*****@apps.ntpc.edu.tw</v>
      </c>
      <c r="E403" s="17" t="str">
        <f>IFERROR(__xludf.DUMMYFUNCTION("""COMPUTED_VALUE"""),"新北市立三多國民中學")</f>
        <v>新北市立三多國民中學</v>
      </c>
      <c r="F403" s="14" t="str">
        <f>IFERROR(__xludf.DUMMYFUNCTION("""COMPUTED_VALUE"""),"九年級")</f>
        <v>九年級</v>
      </c>
      <c r="G403" s="14" t="str">
        <f>IFERROR(__xludf.DUMMYFUNCTION("""COMPUTED_VALUE"""),"●小禮物")</f>
        <v>●小禮物</v>
      </c>
      <c r="H403" s="8"/>
    </row>
    <row r="404">
      <c r="A404" s="18"/>
      <c r="B404" s="14">
        <f>IFERROR(__xludf.DUMMYFUNCTION("""COMPUTED_VALUE"""),1205560.0)</f>
        <v>1205560</v>
      </c>
      <c r="C404" s="14" t="str">
        <f>IFERROR(__xludf.DUMMYFUNCTION("""COMPUTED_VALUE"""),"劉若沂")</f>
        <v>劉若沂</v>
      </c>
      <c r="D404" s="16" t="str">
        <f>IFERROR(__xludf.DUMMYFUNCTION("""COMPUTED_VALUE"""),"zoe*****apps.ntpc.edu.tw")</f>
        <v>zoe*****apps.ntpc.edu.tw</v>
      </c>
      <c r="E404" s="17" t="str">
        <f>IFERROR(__xludf.DUMMYFUNCTION("""COMPUTED_VALUE"""),"新北市立三多國民中學")</f>
        <v>新北市立三多國民中學</v>
      </c>
      <c r="F404" s="14" t="str">
        <f>IFERROR(__xludf.DUMMYFUNCTION("""COMPUTED_VALUE"""),"九年級")</f>
        <v>九年級</v>
      </c>
      <c r="G404" s="14" t="str">
        <f>IFERROR(__xludf.DUMMYFUNCTION("""COMPUTED_VALUE"""),"●小禮物")</f>
        <v>●小禮物</v>
      </c>
      <c r="H404" s="8"/>
    </row>
    <row r="405">
      <c r="A405" s="18"/>
      <c r="B405" s="14">
        <f>IFERROR(__xludf.DUMMYFUNCTION("""COMPUTED_VALUE"""),1200891.0)</f>
        <v>1200891</v>
      </c>
      <c r="C405" s="14" t="str">
        <f>IFERROR(__xludf.DUMMYFUNCTION("""COMPUTED_VALUE"""),"劉燿銘")</f>
        <v>劉燿銘</v>
      </c>
      <c r="D405" s="16" t="str">
        <f>IFERROR(__xludf.DUMMYFUNCTION("""COMPUTED_VALUE"""),"wu1*****@apps.ntpc.edu.tw")</f>
        <v>wu1*****@apps.ntpc.edu.tw</v>
      </c>
      <c r="E405" s="17" t="str">
        <f>IFERROR(__xludf.DUMMYFUNCTION("""COMPUTED_VALUE"""),"新北市立三多國民中學")</f>
        <v>新北市立三多國民中學</v>
      </c>
      <c r="F405" s="14" t="str">
        <f>IFERROR(__xludf.DUMMYFUNCTION("""COMPUTED_VALUE"""),"九年級")</f>
        <v>九年級</v>
      </c>
      <c r="G405" s="14" t="str">
        <f>IFERROR(__xludf.DUMMYFUNCTION("""COMPUTED_VALUE"""),"●小禮物")</f>
        <v>●小禮物</v>
      </c>
      <c r="H405" s="8"/>
    </row>
    <row r="406">
      <c r="A406" s="18"/>
      <c r="B406" s="14">
        <f>IFERROR(__xludf.DUMMYFUNCTION("""COMPUTED_VALUE"""),1200059.0)</f>
        <v>1200059</v>
      </c>
      <c r="C406" s="14" t="str">
        <f>IFERROR(__xludf.DUMMYFUNCTION("""COMPUTED_VALUE"""),"潘瑨威")</f>
        <v>潘瑨威</v>
      </c>
      <c r="D406" s="16" t="str">
        <f>IFERROR(__xludf.DUMMYFUNCTION("""COMPUTED_VALUE"""),"wil*****596@apps.ntpc.edu.tw")</f>
        <v>wil*****596@apps.ntpc.edu.tw</v>
      </c>
      <c r="E406" s="17" t="str">
        <f>IFERROR(__xludf.DUMMYFUNCTION("""COMPUTED_VALUE"""),"新北市立三多國民中學")</f>
        <v>新北市立三多國民中學</v>
      </c>
      <c r="F406" s="14" t="str">
        <f>IFERROR(__xludf.DUMMYFUNCTION("""COMPUTED_VALUE"""),"九年級")</f>
        <v>九年級</v>
      </c>
      <c r="G406" s="14" t="str">
        <f>IFERROR(__xludf.DUMMYFUNCTION("""COMPUTED_VALUE"""),"●小禮物")</f>
        <v>●小禮物</v>
      </c>
      <c r="H406" s="8"/>
    </row>
    <row r="407">
      <c r="A407" s="18"/>
      <c r="B407" s="14">
        <f>IFERROR(__xludf.DUMMYFUNCTION("""COMPUTED_VALUE"""),1207356.0)</f>
        <v>1207356</v>
      </c>
      <c r="C407" s="14" t="str">
        <f>IFERROR(__xludf.DUMMYFUNCTION("""COMPUTED_VALUE"""),"蔡睿恩")</f>
        <v>蔡睿恩</v>
      </c>
      <c r="D407" s="16" t="str">
        <f>IFERROR(__xludf.DUMMYFUNCTION("""COMPUTED_VALUE"""),"slp*****98@apps.ntpc.edu.tw")</f>
        <v>slp*****98@apps.ntpc.edu.tw</v>
      </c>
      <c r="E407" s="17" t="str">
        <f>IFERROR(__xludf.DUMMYFUNCTION("""COMPUTED_VALUE"""),"新北市立三多國民中學")</f>
        <v>新北市立三多國民中學</v>
      </c>
      <c r="F407" s="14" t="str">
        <f>IFERROR(__xludf.DUMMYFUNCTION("""COMPUTED_VALUE"""),"九年級")</f>
        <v>九年級</v>
      </c>
      <c r="G407" s="14" t="str">
        <f>IFERROR(__xludf.DUMMYFUNCTION("""COMPUTED_VALUE"""),"●小禮物")</f>
        <v>●小禮物</v>
      </c>
      <c r="H407" s="8"/>
    </row>
    <row r="408">
      <c r="A408" s="18"/>
      <c r="B408" s="14">
        <f>IFERROR(__xludf.DUMMYFUNCTION("""COMPUTED_VALUE"""),1200049.0)</f>
        <v>1200049</v>
      </c>
      <c r="C408" s="14" t="str">
        <f>IFERROR(__xludf.DUMMYFUNCTION("""COMPUTED_VALUE"""),"薛安舜")</f>
        <v>薛安舜</v>
      </c>
      <c r="D408" s="16" t="str">
        <f>IFERROR(__xludf.DUMMYFUNCTION("""COMPUTED_VALUE"""),"eri*****542435@apps.ntpc.edu.tw")</f>
        <v>eri*****542435@apps.ntpc.edu.tw</v>
      </c>
      <c r="E408" s="17" t="str">
        <f>IFERROR(__xludf.DUMMYFUNCTION("""COMPUTED_VALUE"""),"新北市立三多國民中學")</f>
        <v>新北市立三多國民中學</v>
      </c>
      <c r="F408" s="14" t="str">
        <f>IFERROR(__xludf.DUMMYFUNCTION("""COMPUTED_VALUE"""),"九年級")</f>
        <v>九年級</v>
      </c>
      <c r="G408" s="14" t="str">
        <f>IFERROR(__xludf.DUMMYFUNCTION("""COMPUTED_VALUE"""),"●小禮物")</f>
        <v>●小禮物</v>
      </c>
      <c r="H408" s="8"/>
    </row>
    <row r="409">
      <c r="A409" s="18"/>
      <c r="B409" s="14">
        <f>IFERROR(__xludf.DUMMYFUNCTION("""COMPUTED_VALUE"""),1200057.0)</f>
        <v>1200057</v>
      </c>
      <c r="C409" s="14" t="str">
        <f>IFERROR(__xludf.DUMMYFUNCTION("""COMPUTED_VALUE"""),"鍾芷軒")</f>
        <v>鍾芷軒</v>
      </c>
      <c r="D409" s="16" t="str">
        <f>IFERROR(__xludf.DUMMYFUNCTION("""COMPUTED_VALUE"""),"slp*****57@apps.ntpc.edu.tw")</f>
        <v>slp*****57@apps.ntpc.edu.tw</v>
      </c>
      <c r="E409" s="17" t="str">
        <f>IFERROR(__xludf.DUMMYFUNCTION("""COMPUTED_VALUE"""),"新北市立三多國民中學")</f>
        <v>新北市立三多國民中學</v>
      </c>
      <c r="F409" s="14" t="str">
        <f>IFERROR(__xludf.DUMMYFUNCTION("""COMPUTED_VALUE"""),"九年級")</f>
        <v>九年級</v>
      </c>
      <c r="G409" s="14" t="str">
        <f>IFERROR(__xludf.DUMMYFUNCTION("""COMPUTED_VALUE"""),"●小禮物")</f>
        <v>●小禮物</v>
      </c>
      <c r="H409" s="8"/>
    </row>
    <row r="410">
      <c r="A410" s="18"/>
      <c r="B410" s="14">
        <f>IFERROR(__xludf.DUMMYFUNCTION("""COMPUTED_VALUE"""),272317.0)</f>
        <v>272317</v>
      </c>
      <c r="C410" s="14" t="str">
        <f>IFERROR(__xludf.DUMMYFUNCTION("""COMPUTED_VALUE"""),"蘇于鈴")</f>
        <v>蘇于鈴</v>
      </c>
      <c r="D410" s="16" t="str">
        <f>IFERROR(__xludf.DUMMYFUNCTION("""COMPUTED_VALUE"""),"su2*****07@apps.ntpc.edu.tw")</f>
        <v>su2*****07@apps.ntpc.edu.tw</v>
      </c>
      <c r="E410" s="17" t="str">
        <f>IFERROR(__xludf.DUMMYFUNCTION("""COMPUTED_VALUE"""),"新北市立三多國民中學")</f>
        <v>新北市立三多國民中學</v>
      </c>
      <c r="F410" s="14" t="str">
        <f>IFERROR(__xludf.DUMMYFUNCTION("""COMPUTED_VALUE"""),"九年級")</f>
        <v>九年級</v>
      </c>
      <c r="G410" s="14" t="str">
        <f>IFERROR(__xludf.DUMMYFUNCTION("""COMPUTED_VALUE"""),"●小禮物")</f>
        <v>●小禮物</v>
      </c>
      <c r="H410" s="8"/>
    </row>
    <row r="411">
      <c r="A411" s="18"/>
      <c r="B411" s="14">
        <f>IFERROR(__xludf.DUMMYFUNCTION("""COMPUTED_VALUE"""),159205.0)</f>
        <v>159205</v>
      </c>
      <c r="C411" s="14" t="str">
        <f>IFERROR(__xludf.DUMMYFUNCTION("""COMPUTED_VALUE"""),"柯宇桀")</f>
        <v>柯宇桀</v>
      </c>
      <c r="D411" s="16" t="str">
        <f>IFERROR(__xludf.DUMMYFUNCTION("""COMPUTED_VALUE"""),"jer*****28@apps.ntpc.edu.tw")</f>
        <v>jer*****28@apps.ntpc.edu.tw</v>
      </c>
      <c r="E411" s="17" t="str">
        <f>IFERROR(__xludf.DUMMYFUNCTION("""COMPUTED_VALUE"""),"新北市立三多國民中學")</f>
        <v>新北市立三多國民中學</v>
      </c>
      <c r="F411" s="14" t="str">
        <f>IFERROR(__xludf.DUMMYFUNCTION("""COMPUTED_VALUE"""),"九年級")</f>
        <v>九年級</v>
      </c>
      <c r="G411" s="14" t="str">
        <f>IFERROR(__xludf.DUMMYFUNCTION("""COMPUTED_VALUE"""),"★禮券$200")</f>
        <v>★禮券$200</v>
      </c>
      <c r="H411" s="8"/>
    </row>
    <row r="412">
      <c r="A412" s="18"/>
      <c r="B412" s="14">
        <f>IFERROR(__xludf.DUMMYFUNCTION("""COMPUTED_VALUE"""),1200065.0)</f>
        <v>1200065</v>
      </c>
      <c r="C412" s="14" t="str">
        <f>IFERROR(__xludf.DUMMYFUNCTION("""COMPUTED_VALUE"""),"徐霈妮")</f>
        <v>徐霈妮</v>
      </c>
      <c r="D412" s="16" t="str">
        <f>IFERROR(__xludf.DUMMYFUNCTION("""COMPUTED_VALUE"""),"ww3*****apps.ntpc.edu.tw")</f>
        <v>ww3*****apps.ntpc.edu.tw</v>
      </c>
      <c r="E412" s="17" t="str">
        <f>IFERROR(__xludf.DUMMYFUNCTION("""COMPUTED_VALUE"""),"新北市立三多國民中學")</f>
        <v>新北市立三多國民中學</v>
      </c>
      <c r="F412" s="14" t="str">
        <f>IFERROR(__xludf.DUMMYFUNCTION("""COMPUTED_VALUE"""),"九年級")</f>
        <v>九年級</v>
      </c>
      <c r="G412" s="14" t="str">
        <f>IFERROR(__xludf.DUMMYFUNCTION("""COMPUTED_VALUE"""),"★禮券$200")</f>
        <v>★禮券$200</v>
      </c>
      <c r="H412" s="8"/>
    </row>
    <row r="413">
      <c r="A413" s="18"/>
      <c r="B413" s="14">
        <f>IFERROR(__xludf.DUMMYFUNCTION("""COMPUTED_VALUE"""),1200060.0)</f>
        <v>1200060</v>
      </c>
      <c r="C413" s="14" t="str">
        <f>IFERROR(__xludf.DUMMYFUNCTION("""COMPUTED_VALUE"""),"吳佳怡")</f>
        <v>吳佳怡</v>
      </c>
      <c r="D413" s="16" t="str">
        <f>IFERROR(__xludf.DUMMYFUNCTION("""COMPUTED_VALUE"""),"wu1*****@apps.ntpc.edu.tw")</f>
        <v>wu1*****@apps.ntpc.edu.tw</v>
      </c>
      <c r="E413" s="17" t="str">
        <f>IFERROR(__xludf.DUMMYFUNCTION("""COMPUTED_VALUE"""),"新北市立三多國民中學")</f>
        <v>新北市立三多國民中學</v>
      </c>
      <c r="F413" s="14" t="str">
        <f>IFERROR(__xludf.DUMMYFUNCTION("""COMPUTED_VALUE"""),"九年級")</f>
        <v>九年級</v>
      </c>
      <c r="G413" s="14" t="str">
        <f>IFERROR(__xludf.DUMMYFUNCTION("""COMPUTED_VALUE"""),"獎狀")</f>
        <v>獎狀</v>
      </c>
      <c r="H413" s="8"/>
    </row>
    <row r="414">
      <c r="A414" s="18"/>
      <c r="B414" s="14">
        <f>IFERROR(__xludf.DUMMYFUNCTION("""COMPUTED_VALUE"""),1204905.0)</f>
        <v>1204905</v>
      </c>
      <c r="C414" s="14" t="str">
        <f>IFERROR(__xludf.DUMMYFUNCTION("""COMPUTED_VALUE"""),"李坤泰")</f>
        <v>李坤泰</v>
      </c>
      <c r="D414" s="16" t="str">
        <f>IFERROR(__xludf.DUMMYFUNCTION("""COMPUTED_VALUE"""),"tal*****2@apps.ntpc.edu.tw")</f>
        <v>tal*****2@apps.ntpc.edu.tw</v>
      </c>
      <c r="E414" s="17" t="str">
        <f>IFERROR(__xludf.DUMMYFUNCTION("""COMPUTED_VALUE"""),"新北市立三多國民中學")</f>
        <v>新北市立三多國民中學</v>
      </c>
      <c r="F414" s="14" t="str">
        <f>IFERROR(__xludf.DUMMYFUNCTION("""COMPUTED_VALUE"""),"九年級")</f>
        <v>九年級</v>
      </c>
      <c r="G414" s="14" t="str">
        <f>IFERROR(__xludf.DUMMYFUNCTION("""COMPUTED_VALUE"""),"獎狀")</f>
        <v>獎狀</v>
      </c>
      <c r="H414" s="8"/>
    </row>
    <row r="415">
      <c r="A415" s="18"/>
      <c r="B415" s="14">
        <f>IFERROR(__xludf.DUMMYFUNCTION("""COMPUTED_VALUE"""),1200058.0)</f>
        <v>1200058</v>
      </c>
      <c r="C415" s="14" t="str">
        <f>IFERROR(__xludf.DUMMYFUNCTION("""COMPUTED_VALUE"""),"李姿瑩")</f>
        <v>李姿瑩</v>
      </c>
      <c r="D415" s="16" t="str">
        <f>IFERROR(__xludf.DUMMYFUNCTION("""COMPUTED_VALUE"""),"wu1*****@apps.ntpc.edu.tw")</f>
        <v>wu1*****@apps.ntpc.edu.tw</v>
      </c>
      <c r="E415" s="17" t="str">
        <f>IFERROR(__xludf.DUMMYFUNCTION("""COMPUTED_VALUE"""),"新北市立三多國民中學")</f>
        <v>新北市立三多國民中學</v>
      </c>
      <c r="F415" s="14" t="str">
        <f>IFERROR(__xludf.DUMMYFUNCTION("""COMPUTED_VALUE"""),"九年級")</f>
        <v>九年級</v>
      </c>
      <c r="G415" s="14" t="str">
        <f>IFERROR(__xludf.DUMMYFUNCTION("""COMPUTED_VALUE"""),"獎狀")</f>
        <v>獎狀</v>
      </c>
      <c r="H415" s="8"/>
    </row>
    <row r="416">
      <c r="A416" s="18"/>
      <c r="B416" s="14">
        <f>IFERROR(__xludf.DUMMYFUNCTION("""COMPUTED_VALUE"""),1200075.0)</f>
        <v>1200075</v>
      </c>
      <c r="C416" s="14" t="str">
        <f>IFERROR(__xludf.DUMMYFUNCTION("""COMPUTED_VALUE"""),"林姿廷")</f>
        <v>林姿廷</v>
      </c>
      <c r="D416" s="16" t="str">
        <f>IFERROR(__xludf.DUMMYFUNCTION("""COMPUTED_VALUE"""),"wu1*****@apps.ntpc.edu.tw")</f>
        <v>wu1*****@apps.ntpc.edu.tw</v>
      </c>
      <c r="E416" s="17" t="str">
        <f>IFERROR(__xludf.DUMMYFUNCTION("""COMPUTED_VALUE"""),"新北市立三多國民中學")</f>
        <v>新北市立三多國民中學</v>
      </c>
      <c r="F416" s="14" t="str">
        <f>IFERROR(__xludf.DUMMYFUNCTION("""COMPUTED_VALUE"""),"九年級")</f>
        <v>九年級</v>
      </c>
      <c r="G416" s="14" t="str">
        <f>IFERROR(__xludf.DUMMYFUNCTION("""COMPUTED_VALUE"""),"獎狀")</f>
        <v>獎狀</v>
      </c>
      <c r="H416" s="8"/>
    </row>
    <row r="417">
      <c r="A417" s="18"/>
      <c r="B417" s="14">
        <f>IFERROR(__xludf.DUMMYFUNCTION("""COMPUTED_VALUE"""),638457.0)</f>
        <v>638457</v>
      </c>
      <c r="C417" s="14" t="str">
        <f>IFERROR(__xludf.DUMMYFUNCTION("""COMPUTED_VALUE"""),"邱銘彥")</f>
        <v>邱銘彥</v>
      </c>
      <c r="D417" s="16" t="str">
        <f>IFERROR(__xludf.DUMMYFUNCTION("""COMPUTED_VALUE"""),"jer*****316@apps.ntpc.edu.tw")</f>
        <v>jer*****316@apps.ntpc.edu.tw</v>
      </c>
      <c r="E417" s="17" t="str">
        <f>IFERROR(__xludf.DUMMYFUNCTION("""COMPUTED_VALUE"""),"新北市立三多國民中學")</f>
        <v>新北市立三多國民中學</v>
      </c>
      <c r="F417" s="14" t="str">
        <f>IFERROR(__xludf.DUMMYFUNCTION("""COMPUTED_VALUE"""),"九年級")</f>
        <v>九年級</v>
      </c>
      <c r="G417" s="14" t="str">
        <f>IFERROR(__xludf.DUMMYFUNCTION("""COMPUTED_VALUE"""),"獎狀")</f>
        <v>獎狀</v>
      </c>
      <c r="H417" s="8"/>
    </row>
    <row r="418">
      <c r="A418" s="18"/>
      <c r="B418" s="14">
        <f>IFERROR(__xludf.DUMMYFUNCTION("""COMPUTED_VALUE"""),208025.0)</f>
        <v>208025</v>
      </c>
      <c r="C418" s="14" t="str">
        <f>IFERROR(__xludf.DUMMYFUNCTION("""COMPUTED_VALUE"""),"洪欣寧")</f>
        <v>洪欣寧</v>
      </c>
      <c r="D418" s="16" t="str">
        <f>IFERROR(__xludf.DUMMYFUNCTION("""COMPUTED_VALUE"""),"app*****8@apps.ntpc.edu.tw")</f>
        <v>app*****8@apps.ntpc.edu.tw</v>
      </c>
      <c r="E418" s="17" t="str">
        <f>IFERROR(__xludf.DUMMYFUNCTION("""COMPUTED_VALUE"""),"新北市立三多國民中學")</f>
        <v>新北市立三多國民中學</v>
      </c>
      <c r="F418" s="14" t="str">
        <f>IFERROR(__xludf.DUMMYFUNCTION("""COMPUTED_VALUE"""),"九年級")</f>
        <v>九年級</v>
      </c>
      <c r="G418" s="14" t="str">
        <f>IFERROR(__xludf.DUMMYFUNCTION("""COMPUTED_VALUE"""),"獎狀")</f>
        <v>獎狀</v>
      </c>
      <c r="H418" s="8"/>
    </row>
    <row r="419">
      <c r="A419" s="18"/>
      <c r="B419" s="14">
        <f>IFERROR(__xludf.DUMMYFUNCTION("""COMPUTED_VALUE"""),1203560.0)</f>
        <v>1203560</v>
      </c>
      <c r="C419" s="14" t="str">
        <f>IFERROR(__xludf.DUMMYFUNCTION("""COMPUTED_VALUE"""),"張子謙")</f>
        <v>張子謙</v>
      </c>
      <c r="D419" s="16" t="str">
        <f>IFERROR(__xludf.DUMMYFUNCTION("""COMPUTED_VALUE"""),"iph*****max@apps.ntpc.edu.tw")</f>
        <v>iph*****max@apps.ntpc.edu.tw</v>
      </c>
      <c r="E419" s="17" t="str">
        <f>IFERROR(__xludf.DUMMYFUNCTION("""COMPUTED_VALUE"""),"新北市立三多國民中學")</f>
        <v>新北市立三多國民中學</v>
      </c>
      <c r="F419" s="14" t="str">
        <f>IFERROR(__xludf.DUMMYFUNCTION("""COMPUTED_VALUE"""),"九年級")</f>
        <v>九年級</v>
      </c>
      <c r="G419" s="14" t="str">
        <f>IFERROR(__xludf.DUMMYFUNCTION("""COMPUTED_VALUE"""),"獎狀")</f>
        <v>獎狀</v>
      </c>
      <c r="H419" s="8"/>
    </row>
    <row r="420">
      <c r="A420" s="18"/>
      <c r="B420" s="14">
        <f>IFERROR(__xludf.DUMMYFUNCTION("""COMPUTED_VALUE"""),688552.0)</f>
        <v>688552</v>
      </c>
      <c r="C420" s="14" t="str">
        <f>IFERROR(__xludf.DUMMYFUNCTION("""COMPUTED_VALUE"""),"張兆毅")</f>
        <v>張兆毅</v>
      </c>
      <c r="D420" s="16" t="str">
        <f>IFERROR(__xludf.DUMMYFUNCTION("""COMPUTED_VALUE"""),"dob*****550222@apps.ntpc.edu.tw")</f>
        <v>dob*****550222@apps.ntpc.edu.tw</v>
      </c>
      <c r="E420" s="17" t="str">
        <f>IFERROR(__xludf.DUMMYFUNCTION("""COMPUTED_VALUE"""),"新北市立三多國民中學")</f>
        <v>新北市立三多國民中學</v>
      </c>
      <c r="F420" s="14" t="str">
        <f>IFERROR(__xludf.DUMMYFUNCTION("""COMPUTED_VALUE"""),"九年級")</f>
        <v>九年級</v>
      </c>
      <c r="G420" s="14" t="str">
        <f>IFERROR(__xludf.DUMMYFUNCTION("""COMPUTED_VALUE"""),"獎狀")</f>
        <v>獎狀</v>
      </c>
      <c r="H420" s="8"/>
    </row>
    <row r="421">
      <c r="A421" s="18"/>
      <c r="B421" s="14">
        <f>IFERROR(__xludf.DUMMYFUNCTION("""COMPUTED_VALUE"""),1205917.0)</f>
        <v>1205917</v>
      </c>
      <c r="C421" s="14" t="str">
        <f>IFERROR(__xludf.DUMMYFUNCTION("""COMPUTED_VALUE"""),"張秉畯")</f>
        <v>張秉畯</v>
      </c>
      <c r="D421" s="16" t="str">
        <f>IFERROR(__xludf.DUMMYFUNCTION("""COMPUTED_VALUE"""),"tt9*****969@apps.ntpc.edu.tw")</f>
        <v>tt9*****969@apps.ntpc.edu.tw</v>
      </c>
      <c r="E421" s="17" t="str">
        <f>IFERROR(__xludf.DUMMYFUNCTION("""COMPUTED_VALUE"""),"新北市立三多國民中學")</f>
        <v>新北市立三多國民中學</v>
      </c>
      <c r="F421" s="14" t="str">
        <f>IFERROR(__xludf.DUMMYFUNCTION("""COMPUTED_VALUE"""),"九年級")</f>
        <v>九年級</v>
      </c>
      <c r="G421" s="14" t="str">
        <f>IFERROR(__xludf.DUMMYFUNCTION("""COMPUTED_VALUE"""),"獎狀")</f>
        <v>獎狀</v>
      </c>
      <c r="H421" s="8"/>
    </row>
    <row r="422">
      <c r="A422" s="18"/>
      <c r="B422" s="14">
        <f>IFERROR(__xludf.DUMMYFUNCTION("""COMPUTED_VALUE"""),1200064.0)</f>
        <v>1200064</v>
      </c>
      <c r="C422" s="14" t="str">
        <f>IFERROR(__xludf.DUMMYFUNCTION("""COMPUTED_VALUE"""),"張鈞葉")</f>
        <v>張鈞葉</v>
      </c>
      <c r="D422" s="16" t="str">
        <f>IFERROR(__xludf.DUMMYFUNCTION("""COMPUTED_VALUE"""),"wu1*****@apps.ntpc.edu.tw")</f>
        <v>wu1*****@apps.ntpc.edu.tw</v>
      </c>
      <c r="E422" s="17" t="str">
        <f>IFERROR(__xludf.DUMMYFUNCTION("""COMPUTED_VALUE"""),"新北市立三多國民中學")</f>
        <v>新北市立三多國民中學</v>
      </c>
      <c r="F422" s="14" t="str">
        <f>IFERROR(__xludf.DUMMYFUNCTION("""COMPUTED_VALUE"""),"九年級")</f>
        <v>九年級</v>
      </c>
      <c r="G422" s="14" t="str">
        <f>IFERROR(__xludf.DUMMYFUNCTION("""COMPUTED_VALUE"""),"獎狀")</f>
        <v>獎狀</v>
      </c>
      <c r="H422" s="8"/>
    </row>
    <row r="423">
      <c r="A423" s="18"/>
      <c r="B423" s="14">
        <f>IFERROR(__xludf.DUMMYFUNCTION("""COMPUTED_VALUE"""),1200886.0)</f>
        <v>1200886</v>
      </c>
      <c r="C423" s="14" t="str">
        <f>IFERROR(__xludf.DUMMYFUNCTION("""COMPUTED_VALUE"""),"張閎凱")</f>
        <v>張閎凱</v>
      </c>
      <c r="D423" s="16" t="str">
        <f>IFERROR(__xludf.DUMMYFUNCTION("""COMPUTED_VALUE"""),"wu1*****@apps.ntpc.edu.tw")</f>
        <v>wu1*****@apps.ntpc.edu.tw</v>
      </c>
      <c r="E423" s="17" t="str">
        <f>IFERROR(__xludf.DUMMYFUNCTION("""COMPUTED_VALUE"""),"新北市立三多國民中學")</f>
        <v>新北市立三多國民中學</v>
      </c>
      <c r="F423" s="14" t="str">
        <f>IFERROR(__xludf.DUMMYFUNCTION("""COMPUTED_VALUE"""),"九年級")</f>
        <v>九年級</v>
      </c>
      <c r="G423" s="14" t="str">
        <f>IFERROR(__xludf.DUMMYFUNCTION("""COMPUTED_VALUE"""),"獎狀")</f>
        <v>獎狀</v>
      </c>
      <c r="H423" s="8"/>
    </row>
    <row r="424">
      <c r="A424" s="18"/>
      <c r="B424" s="14">
        <f>IFERROR(__xludf.DUMMYFUNCTION("""COMPUTED_VALUE"""),687804.0)</f>
        <v>687804</v>
      </c>
      <c r="C424" s="14" t="str">
        <f>IFERROR(__xludf.DUMMYFUNCTION("""COMPUTED_VALUE"""),"莊宏意")</f>
        <v>莊宏意</v>
      </c>
      <c r="D424" s="16" t="str">
        <f>IFERROR(__xludf.DUMMYFUNCTION("""COMPUTED_VALUE"""),"wu1*****@apps.ntpc.edu.tw")</f>
        <v>wu1*****@apps.ntpc.edu.tw</v>
      </c>
      <c r="E424" s="17" t="str">
        <f>IFERROR(__xludf.DUMMYFUNCTION("""COMPUTED_VALUE"""),"新北市立三多國民中學")</f>
        <v>新北市立三多國民中學</v>
      </c>
      <c r="F424" s="14" t="str">
        <f>IFERROR(__xludf.DUMMYFUNCTION("""COMPUTED_VALUE"""),"九年級")</f>
        <v>九年級</v>
      </c>
      <c r="G424" s="14" t="str">
        <f>IFERROR(__xludf.DUMMYFUNCTION("""COMPUTED_VALUE"""),"獎狀")</f>
        <v>獎狀</v>
      </c>
      <c r="H424" s="8"/>
    </row>
    <row r="425">
      <c r="A425" s="18"/>
      <c r="B425" s="14">
        <f>IFERROR(__xludf.DUMMYFUNCTION("""COMPUTED_VALUE"""),1207345.0)</f>
        <v>1207345</v>
      </c>
      <c r="C425" s="14" t="str">
        <f>IFERROR(__xludf.DUMMYFUNCTION("""COMPUTED_VALUE"""),"郭展宏")</f>
        <v>郭展宏</v>
      </c>
      <c r="D425" s="16" t="str">
        <f>IFERROR(__xludf.DUMMYFUNCTION("""COMPUTED_VALUE"""),"wu1*****@apps.ntpc.edu.tw")</f>
        <v>wu1*****@apps.ntpc.edu.tw</v>
      </c>
      <c r="E425" s="17" t="str">
        <f>IFERROR(__xludf.DUMMYFUNCTION("""COMPUTED_VALUE"""),"新北市立三多國民中學")</f>
        <v>新北市立三多國民中學</v>
      </c>
      <c r="F425" s="14" t="str">
        <f>IFERROR(__xludf.DUMMYFUNCTION("""COMPUTED_VALUE"""),"九年級")</f>
        <v>九年級</v>
      </c>
      <c r="G425" s="14" t="str">
        <f>IFERROR(__xludf.DUMMYFUNCTION("""COMPUTED_VALUE"""),"獎狀")</f>
        <v>獎狀</v>
      </c>
      <c r="H425" s="8"/>
    </row>
    <row r="426">
      <c r="A426" s="18"/>
      <c r="B426" s="14">
        <f>IFERROR(__xludf.DUMMYFUNCTION("""COMPUTED_VALUE"""),1199611.0)</f>
        <v>1199611</v>
      </c>
      <c r="C426" s="14" t="str">
        <f>IFERROR(__xludf.DUMMYFUNCTION("""COMPUTED_VALUE"""),"陳柏諺")</f>
        <v>陳柏諺</v>
      </c>
      <c r="D426" s="16" t="str">
        <f>IFERROR(__xludf.DUMMYFUNCTION("""COMPUTED_VALUE"""),"l43*****1@apps.ntpc.edu.tw")</f>
        <v>l43*****1@apps.ntpc.edu.tw</v>
      </c>
      <c r="E426" s="17" t="str">
        <f>IFERROR(__xludf.DUMMYFUNCTION("""COMPUTED_VALUE"""),"新北市立三多國民中學")</f>
        <v>新北市立三多國民中學</v>
      </c>
      <c r="F426" s="14" t="str">
        <f>IFERROR(__xludf.DUMMYFUNCTION("""COMPUTED_VALUE"""),"九年級")</f>
        <v>九年級</v>
      </c>
      <c r="G426" s="14" t="str">
        <f>IFERROR(__xludf.DUMMYFUNCTION("""COMPUTED_VALUE"""),"獎狀")</f>
        <v>獎狀</v>
      </c>
      <c r="H426" s="8"/>
    </row>
    <row r="427">
      <c r="A427" s="18"/>
      <c r="B427" s="14">
        <f>IFERROR(__xludf.DUMMYFUNCTION("""COMPUTED_VALUE"""),1205557.0)</f>
        <v>1205557</v>
      </c>
      <c r="C427" s="14" t="str">
        <f>IFERROR(__xludf.DUMMYFUNCTION("""COMPUTED_VALUE"""),"黃慧琳")</f>
        <v>黃慧琳</v>
      </c>
      <c r="D427" s="16" t="str">
        <f>IFERROR(__xludf.DUMMYFUNCTION("""COMPUTED_VALUE"""),"tw7*****@apps.ntpc.edu.tw")</f>
        <v>tw7*****@apps.ntpc.edu.tw</v>
      </c>
      <c r="E427" s="17" t="str">
        <f>IFERROR(__xludf.DUMMYFUNCTION("""COMPUTED_VALUE"""),"新北市立三多國民中學")</f>
        <v>新北市立三多國民中學</v>
      </c>
      <c r="F427" s="14" t="str">
        <f>IFERROR(__xludf.DUMMYFUNCTION("""COMPUTED_VALUE"""),"九年級")</f>
        <v>九年級</v>
      </c>
      <c r="G427" s="14" t="str">
        <f>IFERROR(__xludf.DUMMYFUNCTION("""COMPUTED_VALUE"""),"獎狀")</f>
        <v>獎狀</v>
      </c>
      <c r="H427" s="8"/>
    </row>
    <row r="428">
      <c r="A428" s="18"/>
      <c r="B428" s="14">
        <f>IFERROR(__xludf.DUMMYFUNCTION("""COMPUTED_VALUE"""),688581.0)</f>
        <v>688581</v>
      </c>
      <c r="C428" s="14" t="str">
        <f>IFERROR(__xludf.DUMMYFUNCTION("""COMPUTED_VALUE"""),"楊復貴")</f>
        <v>楊復貴</v>
      </c>
      <c r="D428" s="16" t="str">
        <f>IFERROR(__xludf.DUMMYFUNCTION("""COMPUTED_VALUE"""),"w10*****apps.ntpc.edu.tw")</f>
        <v>w10*****apps.ntpc.edu.tw</v>
      </c>
      <c r="E428" s="17" t="str">
        <f>IFERROR(__xludf.DUMMYFUNCTION("""COMPUTED_VALUE"""),"新北市立三多國民中學")</f>
        <v>新北市立三多國民中學</v>
      </c>
      <c r="F428" s="14" t="str">
        <f>IFERROR(__xludf.DUMMYFUNCTION("""COMPUTED_VALUE"""),"九年級")</f>
        <v>九年級</v>
      </c>
      <c r="G428" s="14" t="str">
        <f>IFERROR(__xludf.DUMMYFUNCTION("""COMPUTED_VALUE"""),"獎狀")</f>
        <v>獎狀</v>
      </c>
      <c r="H428" s="8"/>
    </row>
    <row r="429">
      <c r="A429" s="18"/>
      <c r="B429" s="14">
        <f>IFERROR(__xludf.DUMMYFUNCTION("""COMPUTED_VALUE"""),1203552.0)</f>
        <v>1203552</v>
      </c>
      <c r="C429" s="14" t="str">
        <f>IFERROR(__xludf.DUMMYFUNCTION("""COMPUTED_VALUE"""),"溫兆龍")</f>
        <v>溫兆龍</v>
      </c>
      <c r="D429" s="16" t="str">
        <f>IFERROR(__xludf.DUMMYFUNCTION("""COMPUTED_VALUE"""),"wu1*****@apps.ntpc.edu.tw")</f>
        <v>wu1*****@apps.ntpc.edu.tw</v>
      </c>
      <c r="E429" s="17" t="str">
        <f>IFERROR(__xludf.DUMMYFUNCTION("""COMPUTED_VALUE"""),"新北市立三多國民中學")</f>
        <v>新北市立三多國民中學</v>
      </c>
      <c r="F429" s="14" t="str">
        <f>IFERROR(__xludf.DUMMYFUNCTION("""COMPUTED_VALUE"""),"九年級")</f>
        <v>九年級</v>
      </c>
      <c r="G429" s="14" t="str">
        <f>IFERROR(__xludf.DUMMYFUNCTION("""COMPUTED_VALUE"""),"獎狀")</f>
        <v>獎狀</v>
      </c>
      <c r="H429" s="8"/>
    </row>
    <row r="430">
      <c r="A430" s="18"/>
      <c r="B430" s="14">
        <f>IFERROR(__xludf.DUMMYFUNCTION("""COMPUTED_VALUE"""),688753.0)</f>
        <v>688753</v>
      </c>
      <c r="C430" s="14" t="str">
        <f>IFERROR(__xludf.DUMMYFUNCTION("""COMPUTED_VALUE"""),"廖文郁")</f>
        <v>廖文郁</v>
      </c>
      <c r="D430" s="16" t="str">
        <f>IFERROR(__xludf.DUMMYFUNCTION("""COMPUTED_VALUE"""),"lov*****0829@apps.ntpc.edu.tw")</f>
        <v>lov*****0829@apps.ntpc.edu.tw</v>
      </c>
      <c r="E430" s="17" t="str">
        <f>IFERROR(__xludf.DUMMYFUNCTION("""COMPUTED_VALUE"""),"新北市立三多國民中學")</f>
        <v>新北市立三多國民中學</v>
      </c>
      <c r="F430" s="14" t="str">
        <f>IFERROR(__xludf.DUMMYFUNCTION("""COMPUTED_VALUE"""),"九年級")</f>
        <v>九年級</v>
      </c>
      <c r="G430" s="14" t="str">
        <f>IFERROR(__xludf.DUMMYFUNCTION("""COMPUTED_VALUE"""),"獎狀")</f>
        <v>獎狀</v>
      </c>
      <c r="H430" s="8"/>
    </row>
    <row r="431">
      <c r="A431" s="18"/>
      <c r="B431" s="14">
        <f>IFERROR(__xludf.DUMMYFUNCTION("""COMPUTED_VALUE"""),1200070.0)</f>
        <v>1200070</v>
      </c>
      <c r="C431" s="14" t="str">
        <f>IFERROR(__xludf.DUMMYFUNCTION("""COMPUTED_VALUE"""),"廖譽翔")</f>
        <v>廖譽翔</v>
      </c>
      <c r="D431" s="16" t="str">
        <f>IFERROR(__xludf.DUMMYFUNCTION("""COMPUTED_VALUE"""),"jul*****28@apps.ntpc.edu.tw")</f>
        <v>jul*****28@apps.ntpc.edu.tw</v>
      </c>
      <c r="E431" s="17" t="str">
        <f>IFERROR(__xludf.DUMMYFUNCTION("""COMPUTED_VALUE"""),"新北市立三多國民中學")</f>
        <v>新北市立三多國民中學</v>
      </c>
      <c r="F431" s="14" t="str">
        <f>IFERROR(__xludf.DUMMYFUNCTION("""COMPUTED_VALUE"""),"九年級")</f>
        <v>九年級</v>
      </c>
      <c r="G431" s="14" t="str">
        <f>IFERROR(__xludf.DUMMYFUNCTION("""COMPUTED_VALUE"""),"獎狀")</f>
        <v>獎狀</v>
      </c>
      <c r="H431" s="8"/>
    </row>
    <row r="432">
      <c r="A432" s="18"/>
      <c r="B432" s="14">
        <f>IFERROR(__xludf.DUMMYFUNCTION("""COMPUTED_VALUE"""),1200875.0)</f>
        <v>1200875</v>
      </c>
      <c r="C432" s="14" t="str">
        <f>IFERROR(__xludf.DUMMYFUNCTION("""COMPUTED_VALUE"""),"簡靖芸")</f>
        <v>簡靖芸</v>
      </c>
      <c r="D432" s="16" t="str">
        <f>IFERROR(__xludf.DUMMYFUNCTION("""COMPUTED_VALUE"""),"ja6*****4@apps.ntpc.edu.tw")</f>
        <v>ja6*****4@apps.ntpc.edu.tw</v>
      </c>
      <c r="E432" s="17" t="str">
        <f>IFERROR(__xludf.DUMMYFUNCTION("""COMPUTED_VALUE"""),"新北市立三多國民中學")</f>
        <v>新北市立三多國民中學</v>
      </c>
      <c r="F432" s="14" t="str">
        <f>IFERROR(__xludf.DUMMYFUNCTION("""COMPUTED_VALUE"""),"九年級")</f>
        <v>九年級</v>
      </c>
      <c r="G432" s="14" t="str">
        <f>IFERROR(__xludf.DUMMYFUNCTION("""COMPUTED_VALUE"""),"獎狀")</f>
        <v>獎狀</v>
      </c>
      <c r="H432" s="8"/>
    </row>
    <row r="433">
      <c r="A433" s="18"/>
      <c r="B433" s="14">
        <f>IFERROR(__xludf.DUMMYFUNCTION("""COMPUTED_VALUE"""),787217.0)</f>
        <v>787217</v>
      </c>
      <c r="C433" s="14" t="str">
        <f>IFERROR(__xludf.DUMMYFUNCTION("""COMPUTED_VALUE"""),"李箐箐")</f>
        <v>李箐箐</v>
      </c>
      <c r="D433" s="16" t="str">
        <f>IFERROR(__xludf.DUMMYFUNCTION("""COMPUTED_VALUE"""),"dt1*****.ntpc@mail.edu.tw")</f>
        <v>dt1*****.ntpc@mail.edu.tw</v>
      </c>
      <c r="E433" s="17" t="str">
        <f>IFERROR(__xludf.DUMMYFUNCTION("""COMPUTED_VALUE"""),"新北市立育林國民中學")</f>
        <v>新北市立育林國民中學</v>
      </c>
      <c r="F433" s="14" t="str">
        <f>IFERROR(__xludf.DUMMYFUNCTION("""COMPUTED_VALUE"""),"七年級")</f>
        <v>七年級</v>
      </c>
      <c r="G433" s="14" t="str">
        <f>IFERROR(__xludf.DUMMYFUNCTION("""COMPUTED_VALUE"""),"●小禮物")</f>
        <v>●小禮物</v>
      </c>
      <c r="H433" s="8"/>
    </row>
    <row r="434">
      <c r="A434" s="18"/>
      <c r="B434" s="14">
        <f>IFERROR(__xludf.DUMMYFUNCTION("""COMPUTED_VALUE"""),1176583.0)</f>
        <v>1176583</v>
      </c>
      <c r="C434" s="14" t="str">
        <f>IFERROR(__xludf.DUMMYFUNCTION("""COMPUTED_VALUE"""),"温彥勳")</f>
        <v>温彥勳</v>
      </c>
      <c r="D434" s="16" t="str">
        <f>IFERROR(__xludf.DUMMYFUNCTION("""COMPUTED_VALUE"""),"slp*****94.ntpc@mail.edu.tw")</f>
        <v>slp*****94.ntpc@mail.edu.tw</v>
      </c>
      <c r="E434" s="17" t="str">
        <f>IFERROR(__xludf.DUMMYFUNCTION("""COMPUTED_VALUE"""),"新北市立育林國民中學")</f>
        <v>新北市立育林國民中學</v>
      </c>
      <c r="F434" s="14" t="str">
        <f>IFERROR(__xludf.DUMMYFUNCTION("""COMPUTED_VALUE"""),"七年級")</f>
        <v>七年級</v>
      </c>
      <c r="G434" s="14" t="str">
        <f>IFERROR(__xludf.DUMMYFUNCTION("""COMPUTED_VALUE"""),"●小禮物")</f>
        <v>●小禮物</v>
      </c>
      <c r="H434" s="8"/>
    </row>
    <row r="435">
      <c r="A435" s="18"/>
      <c r="B435" s="14">
        <f>IFERROR(__xludf.DUMMYFUNCTION("""COMPUTED_VALUE"""),1176461.0)</f>
        <v>1176461</v>
      </c>
      <c r="C435" s="14" t="str">
        <f>IFERROR(__xludf.DUMMYFUNCTION("""COMPUTED_VALUE"""),"王昱傑")</f>
        <v>王昱傑</v>
      </c>
      <c r="D435" s="16" t="str">
        <f>IFERROR(__xludf.DUMMYFUNCTION("""COMPUTED_VALUE"""),"y10*****.ntpc@mail.edu.tw")</f>
        <v>y10*****.ntpc@mail.edu.tw</v>
      </c>
      <c r="E435" s="17" t="str">
        <f>IFERROR(__xludf.DUMMYFUNCTION("""COMPUTED_VALUE"""),"新北市立育林國民中學")</f>
        <v>新北市立育林國民中學</v>
      </c>
      <c r="F435" s="14" t="str">
        <f>IFERROR(__xludf.DUMMYFUNCTION("""COMPUTED_VALUE"""),"七年級")</f>
        <v>七年級</v>
      </c>
      <c r="G435" s="14" t="str">
        <f>IFERROR(__xludf.DUMMYFUNCTION("""COMPUTED_VALUE"""),"●小禮物")</f>
        <v>●小禮物</v>
      </c>
      <c r="H435" s="8"/>
    </row>
    <row r="436">
      <c r="A436" s="18"/>
      <c r="B436" s="14">
        <f>IFERROR(__xludf.DUMMYFUNCTION("""COMPUTED_VALUE"""),817060.0)</f>
        <v>817060</v>
      </c>
      <c r="C436" s="14" t="str">
        <f>IFERROR(__xludf.DUMMYFUNCTION("""COMPUTED_VALUE"""),"吳柏儒")</f>
        <v>吳柏儒</v>
      </c>
      <c r="D436" s="16" t="str">
        <f>IFERROR(__xludf.DUMMYFUNCTION("""COMPUTED_VALUE"""),"y10*****.ntpc@mail.edu.tw")</f>
        <v>y10*****.ntpc@mail.edu.tw</v>
      </c>
      <c r="E436" s="17" t="str">
        <f>IFERROR(__xludf.DUMMYFUNCTION("""COMPUTED_VALUE"""),"新北市立育林國民中學")</f>
        <v>新北市立育林國民中學</v>
      </c>
      <c r="F436" s="14" t="str">
        <f>IFERROR(__xludf.DUMMYFUNCTION("""COMPUTED_VALUE"""),"七年級")</f>
        <v>七年級</v>
      </c>
      <c r="G436" s="14" t="str">
        <f>IFERROR(__xludf.DUMMYFUNCTION("""COMPUTED_VALUE"""),"●小禮物")</f>
        <v>●小禮物</v>
      </c>
      <c r="H436" s="8"/>
    </row>
    <row r="437">
      <c r="A437" s="18"/>
      <c r="B437" s="14">
        <f>IFERROR(__xludf.DUMMYFUNCTION("""COMPUTED_VALUE"""),1176469.0)</f>
        <v>1176469</v>
      </c>
      <c r="C437" s="14" t="str">
        <f>IFERROR(__xludf.DUMMYFUNCTION("""COMPUTED_VALUE"""),"李禹霆")</f>
        <v>李禹霆</v>
      </c>
      <c r="D437" s="16" t="str">
        <f>IFERROR(__xludf.DUMMYFUNCTION("""COMPUTED_VALUE"""),"slp*****42.ntpc@mail.edu.tw")</f>
        <v>slp*****42.ntpc@mail.edu.tw</v>
      </c>
      <c r="E437" s="17" t="str">
        <f>IFERROR(__xludf.DUMMYFUNCTION("""COMPUTED_VALUE"""),"新北市立育林國民中學")</f>
        <v>新北市立育林國民中學</v>
      </c>
      <c r="F437" s="14" t="str">
        <f>IFERROR(__xludf.DUMMYFUNCTION("""COMPUTED_VALUE"""),"七年級")</f>
        <v>七年級</v>
      </c>
      <c r="G437" s="14" t="str">
        <f>IFERROR(__xludf.DUMMYFUNCTION("""COMPUTED_VALUE"""),"●小禮物")</f>
        <v>●小禮物</v>
      </c>
      <c r="H437" s="8"/>
    </row>
    <row r="438">
      <c r="A438" s="18"/>
      <c r="B438" s="14">
        <f>IFERROR(__xludf.DUMMYFUNCTION("""COMPUTED_VALUE"""),1075716.0)</f>
        <v>1075716</v>
      </c>
      <c r="C438" s="14" t="str">
        <f>IFERROR(__xludf.DUMMYFUNCTION("""COMPUTED_VALUE"""),"陳艾蓮")</f>
        <v>陳艾蓮</v>
      </c>
      <c r="D438" s="16" t="str">
        <f>IFERROR(__xludf.DUMMYFUNCTION("""COMPUTED_VALUE"""),"y10*****.ntpc@mail.edu.tw")</f>
        <v>y10*****.ntpc@mail.edu.tw</v>
      </c>
      <c r="E438" s="17" t="str">
        <f>IFERROR(__xludf.DUMMYFUNCTION("""COMPUTED_VALUE"""),"新北市立育林國民中學")</f>
        <v>新北市立育林國民中學</v>
      </c>
      <c r="F438" s="14" t="str">
        <f>IFERROR(__xludf.DUMMYFUNCTION("""COMPUTED_VALUE"""),"七年級")</f>
        <v>七年級</v>
      </c>
      <c r="G438" s="14" t="str">
        <f>IFERROR(__xludf.DUMMYFUNCTION("""COMPUTED_VALUE"""),"●小禮物")</f>
        <v>●小禮物</v>
      </c>
      <c r="H438" s="8"/>
    </row>
    <row r="439">
      <c r="A439" s="18"/>
      <c r="B439" s="14">
        <f>IFERROR(__xludf.DUMMYFUNCTION("""COMPUTED_VALUE"""),1176467.0)</f>
        <v>1176467</v>
      </c>
      <c r="C439" s="14" t="str">
        <f>IFERROR(__xludf.DUMMYFUNCTION("""COMPUTED_VALUE"""),"陶柏樺")</f>
        <v>陶柏樺</v>
      </c>
      <c r="D439" s="16" t="str">
        <f>IFERROR(__xludf.DUMMYFUNCTION("""COMPUTED_VALUE"""),"slp*****19.ntpc@mail.edu.tw")</f>
        <v>slp*****19.ntpc@mail.edu.tw</v>
      </c>
      <c r="E439" s="17" t="str">
        <f>IFERROR(__xludf.DUMMYFUNCTION("""COMPUTED_VALUE"""),"新北市立育林國民中學")</f>
        <v>新北市立育林國民中學</v>
      </c>
      <c r="F439" s="14" t="str">
        <f>IFERROR(__xludf.DUMMYFUNCTION("""COMPUTED_VALUE"""),"七年級")</f>
        <v>七年級</v>
      </c>
      <c r="G439" s="14" t="str">
        <f>IFERROR(__xludf.DUMMYFUNCTION("""COMPUTED_VALUE"""),"●小禮物")</f>
        <v>●小禮物</v>
      </c>
      <c r="H439" s="8"/>
    </row>
    <row r="440">
      <c r="A440" s="18"/>
      <c r="B440" s="14">
        <f>IFERROR(__xludf.DUMMYFUNCTION("""COMPUTED_VALUE"""),1176449.0)</f>
        <v>1176449</v>
      </c>
      <c r="C440" s="14" t="str">
        <f>IFERROR(__xludf.DUMMYFUNCTION("""COMPUTED_VALUE"""),"詹承恩")</f>
        <v>詹承恩</v>
      </c>
      <c r="D440" s="16" t="str">
        <f>IFERROR(__xludf.DUMMYFUNCTION("""COMPUTED_VALUE"""),"slp*****74.ntpc@mail.edu.tw")</f>
        <v>slp*****74.ntpc@mail.edu.tw</v>
      </c>
      <c r="E440" s="17" t="str">
        <f>IFERROR(__xludf.DUMMYFUNCTION("""COMPUTED_VALUE"""),"新北市立育林國民中學")</f>
        <v>新北市立育林國民中學</v>
      </c>
      <c r="F440" s="14" t="str">
        <f>IFERROR(__xludf.DUMMYFUNCTION("""COMPUTED_VALUE"""),"七年級")</f>
        <v>七年級</v>
      </c>
      <c r="G440" s="14" t="str">
        <f>IFERROR(__xludf.DUMMYFUNCTION("""COMPUTED_VALUE"""),"●小禮物")</f>
        <v>●小禮物</v>
      </c>
      <c r="H440" s="8"/>
    </row>
    <row r="441">
      <c r="A441" s="18"/>
      <c r="B441" s="14">
        <f>IFERROR(__xludf.DUMMYFUNCTION("""COMPUTED_VALUE"""),1176478.0)</f>
        <v>1176478</v>
      </c>
      <c r="C441" s="14" t="str">
        <f>IFERROR(__xludf.DUMMYFUNCTION("""COMPUTED_VALUE"""),"鄧心如")</f>
        <v>鄧心如</v>
      </c>
      <c r="D441" s="16" t="str">
        <f>IFERROR(__xludf.DUMMYFUNCTION("""COMPUTED_VALUE"""),"ttp*****59.ntpc@mail.edu.tw")</f>
        <v>ttp*****59.ntpc@mail.edu.tw</v>
      </c>
      <c r="E441" s="17" t="str">
        <f>IFERROR(__xludf.DUMMYFUNCTION("""COMPUTED_VALUE"""),"新北市立育林國民中學")</f>
        <v>新北市立育林國民中學</v>
      </c>
      <c r="F441" s="14" t="str">
        <f>IFERROR(__xludf.DUMMYFUNCTION("""COMPUTED_VALUE"""),"七年級")</f>
        <v>七年級</v>
      </c>
      <c r="G441" s="14" t="str">
        <f>IFERROR(__xludf.DUMMYFUNCTION("""COMPUTED_VALUE"""),"●小禮物")</f>
        <v>●小禮物</v>
      </c>
      <c r="H441" s="8"/>
    </row>
    <row r="442">
      <c r="A442" s="18"/>
      <c r="B442" s="14">
        <f>IFERROR(__xludf.DUMMYFUNCTION("""COMPUTED_VALUE"""),1188671.0)</f>
        <v>1188671</v>
      </c>
      <c r="C442" s="14" t="str">
        <f>IFERROR(__xludf.DUMMYFUNCTION("""COMPUTED_VALUE"""),"簡佑庭")</f>
        <v>簡佑庭</v>
      </c>
      <c r="D442" s="16" t="str">
        <f>IFERROR(__xludf.DUMMYFUNCTION("""COMPUTED_VALUE"""),"slp*****28.ntpc@mail.edu.tw")</f>
        <v>slp*****28.ntpc@mail.edu.tw</v>
      </c>
      <c r="E442" s="17" t="str">
        <f>IFERROR(__xludf.DUMMYFUNCTION("""COMPUTED_VALUE"""),"新北市立育林國民中學")</f>
        <v>新北市立育林國民中學</v>
      </c>
      <c r="F442" s="14" t="str">
        <f>IFERROR(__xludf.DUMMYFUNCTION("""COMPUTED_VALUE"""),"七年級")</f>
        <v>七年級</v>
      </c>
      <c r="G442" s="14" t="str">
        <f>IFERROR(__xludf.DUMMYFUNCTION("""COMPUTED_VALUE"""),"●小禮物")</f>
        <v>●小禮物</v>
      </c>
      <c r="H442" s="8"/>
    </row>
    <row r="443">
      <c r="A443" s="18"/>
      <c r="B443" s="14">
        <f>IFERROR(__xludf.DUMMYFUNCTION("""COMPUTED_VALUE"""),1176524.0)</f>
        <v>1176524</v>
      </c>
      <c r="C443" s="14" t="str">
        <f>IFERROR(__xludf.DUMMYFUNCTION("""COMPUTED_VALUE"""),"林易勳")</f>
        <v>林易勳</v>
      </c>
      <c r="D443" s="16" t="str">
        <f>IFERROR(__xludf.DUMMYFUNCTION("""COMPUTED_VALUE"""),"sip*****05.ntpc@mail.edu.tw")</f>
        <v>sip*****05.ntpc@mail.edu.tw</v>
      </c>
      <c r="E443" s="17" t="str">
        <f>IFERROR(__xludf.DUMMYFUNCTION("""COMPUTED_VALUE"""),"新北市立育林國民中學")</f>
        <v>新北市立育林國民中學</v>
      </c>
      <c r="F443" s="14" t="str">
        <f>IFERROR(__xludf.DUMMYFUNCTION("""COMPUTED_VALUE"""),"七年級")</f>
        <v>七年級</v>
      </c>
      <c r="G443" s="14" t="str">
        <f>IFERROR(__xludf.DUMMYFUNCTION("""COMPUTED_VALUE"""),"★禮券$500")</f>
        <v>★禮券$500</v>
      </c>
      <c r="H443" s="8"/>
    </row>
    <row r="444">
      <c r="A444" s="18"/>
      <c r="B444" s="14">
        <f>IFERROR(__xludf.DUMMYFUNCTION("""COMPUTED_VALUE"""),423402.0)</f>
        <v>423402</v>
      </c>
      <c r="C444" s="14" t="str">
        <f>IFERROR(__xludf.DUMMYFUNCTION("""COMPUTED_VALUE"""),"林易辰")</f>
        <v>林易辰</v>
      </c>
      <c r="D444" s="16" t="str">
        <f>IFERROR(__xludf.DUMMYFUNCTION("""COMPUTED_VALUE"""),"ttp*****85.ntpc@mail.edu.tw")</f>
        <v>ttp*****85.ntpc@mail.edu.tw</v>
      </c>
      <c r="E444" s="17" t="str">
        <f>IFERROR(__xludf.DUMMYFUNCTION("""COMPUTED_VALUE"""),"新北市立育林國民中學")</f>
        <v>新北市立育林國民中學</v>
      </c>
      <c r="F444" s="14" t="str">
        <f>IFERROR(__xludf.DUMMYFUNCTION("""COMPUTED_VALUE"""),"七年級")</f>
        <v>七年級</v>
      </c>
      <c r="G444" s="14" t="str">
        <f>IFERROR(__xludf.DUMMYFUNCTION("""COMPUTED_VALUE"""),"獎狀")</f>
        <v>獎狀</v>
      </c>
      <c r="H444" s="8"/>
    </row>
    <row r="445">
      <c r="A445" s="18"/>
      <c r="B445" s="14">
        <f>IFERROR(__xludf.DUMMYFUNCTION("""COMPUTED_VALUE"""),1182325.0)</f>
        <v>1182325</v>
      </c>
      <c r="C445" s="14" t="str">
        <f>IFERROR(__xludf.DUMMYFUNCTION("""COMPUTED_VALUE"""),"徐書非")</f>
        <v>徐書非</v>
      </c>
      <c r="D445" s="16" t="str">
        <f>IFERROR(__xludf.DUMMYFUNCTION("""COMPUTED_VALUE"""),"sje*****19.ntpc@mail.edu.tw")</f>
        <v>sje*****19.ntpc@mail.edu.tw</v>
      </c>
      <c r="E445" s="17" t="str">
        <f>IFERROR(__xludf.DUMMYFUNCTION("""COMPUTED_VALUE"""),"新北市立育林國民中學")</f>
        <v>新北市立育林國民中學</v>
      </c>
      <c r="F445" s="14" t="str">
        <f>IFERROR(__xludf.DUMMYFUNCTION("""COMPUTED_VALUE"""),"七年級")</f>
        <v>七年級</v>
      </c>
      <c r="G445" s="14" t="str">
        <f>IFERROR(__xludf.DUMMYFUNCTION("""COMPUTED_VALUE"""),"●小禮物")</f>
        <v>●小禮物</v>
      </c>
      <c r="H445" s="8"/>
    </row>
    <row r="446">
      <c r="A446" s="18"/>
      <c r="B446" s="14">
        <f>IFERROR(__xludf.DUMMYFUNCTION("""COMPUTED_VALUE"""),1182329.0)</f>
        <v>1182329</v>
      </c>
      <c r="C446" s="14" t="str">
        <f>IFERROR(__xludf.DUMMYFUNCTION("""COMPUTED_VALUE"""),"王煜崴")</f>
        <v>王煜崴</v>
      </c>
      <c r="D446" s="16" t="str">
        <f>IFERROR(__xludf.DUMMYFUNCTION("""COMPUTED_VALUE"""),"jan*****g0813@mail.edu.tw")</f>
        <v>jan*****g0813@mail.edu.tw</v>
      </c>
      <c r="E446" s="17" t="str">
        <f>IFERROR(__xludf.DUMMYFUNCTION("""COMPUTED_VALUE"""),"新北市立育林國民中學")</f>
        <v>新北市立育林國民中學</v>
      </c>
      <c r="F446" s="14" t="str">
        <f>IFERROR(__xludf.DUMMYFUNCTION("""COMPUTED_VALUE"""),"七年級")</f>
        <v>七年級</v>
      </c>
      <c r="G446" s="14" t="str">
        <f>IFERROR(__xludf.DUMMYFUNCTION("""COMPUTED_VALUE"""),"●小禮物")</f>
        <v>●小禮物</v>
      </c>
      <c r="H446" s="8"/>
    </row>
    <row r="447">
      <c r="A447" s="18"/>
      <c r="B447" s="14">
        <f>IFERROR(__xludf.DUMMYFUNCTION("""COMPUTED_VALUE"""),1182344.0)</f>
        <v>1182344</v>
      </c>
      <c r="C447" s="14" t="str">
        <f>IFERROR(__xludf.DUMMYFUNCTION("""COMPUTED_VALUE"""),"李宛倩")</f>
        <v>李宛倩</v>
      </c>
      <c r="D447" s="16" t="str">
        <f>IFERROR(__xludf.DUMMYFUNCTION("""COMPUTED_VALUE"""),"ttp*****82.ntpc@mail.edu.tw")</f>
        <v>ttp*****82.ntpc@mail.edu.tw</v>
      </c>
      <c r="E447" s="17" t="str">
        <f>IFERROR(__xludf.DUMMYFUNCTION("""COMPUTED_VALUE"""),"新北市立育林國民中學")</f>
        <v>新北市立育林國民中學</v>
      </c>
      <c r="F447" s="14" t="str">
        <f>IFERROR(__xludf.DUMMYFUNCTION("""COMPUTED_VALUE"""),"七年級")</f>
        <v>七年級</v>
      </c>
      <c r="G447" s="14" t="str">
        <f>IFERROR(__xludf.DUMMYFUNCTION("""COMPUTED_VALUE"""),"●小禮物")</f>
        <v>●小禮物</v>
      </c>
      <c r="H447" s="8"/>
    </row>
    <row r="448">
      <c r="A448" s="18"/>
      <c r="B448" s="14">
        <f>IFERROR(__xludf.DUMMYFUNCTION("""COMPUTED_VALUE"""),1182331.0)</f>
        <v>1182331</v>
      </c>
      <c r="C448" s="14" t="str">
        <f>IFERROR(__xludf.DUMMYFUNCTION("""COMPUTED_VALUE"""),"李豐霖")</f>
        <v>李豐霖</v>
      </c>
      <c r="D448" s="16" t="str">
        <f>IFERROR(__xludf.DUMMYFUNCTION("""COMPUTED_VALUE"""),"slp*****90.ntpc@mail.edu.tw")</f>
        <v>slp*****90.ntpc@mail.edu.tw</v>
      </c>
      <c r="E448" s="17" t="str">
        <f>IFERROR(__xludf.DUMMYFUNCTION("""COMPUTED_VALUE"""),"新北市立育林國民中學")</f>
        <v>新北市立育林國民中學</v>
      </c>
      <c r="F448" s="14" t="str">
        <f>IFERROR(__xludf.DUMMYFUNCTION("""COMPUTED_VALUE"""),"七年級")</f>
        <v>七年級</v>
      </c>
      <c r="G448" s="14" t="str">
        <f>IFERROR(__xludf.DUMMYFUNCTION("""COMPUTED_VALUE"""),"●小禮物")</f>
        <v>●小禮物</v>
      </c>
      <c r="H448" s="8"/>
    </row>
    <row r="449">
      <c r="A449" s="18"/>
      <c r="B449" s="14">
        <f>IFERROR(__xludf.DUMMYFUNCTION("""COMPUTED_VALUE"""),1182318.0)</f>
        <v>1182318</v>
      </c>
      <c r="C449" s="14" t="str">
        <f>IFERROR(__xludf.DUMMYFUNCTION("""COMPUTED_VALUE"""),"林巧臻")</f>
        <v>林巧臻</v>
      </c>
      <c r="D449" s="16" t="str">
        <f>IFERROR(__xludf.DUMMYFUNCTION("""COMPUTED_VALUE"""),"tc.*****9@mail.edu.tw")</f>
        <v>tc.*****9@mail.edu.tw</v>
      </c>
      <c r="E449" s="17" t="str">
        <f>IFERROR(__xludf.DUMMYFUNCTION("""COMPUTED_VALUE"""),"新北市立育林國民中學")</f>
        <v>新北市立育林國民中學</v>
      </c>
      <c r="F449" s="14" t="str">
        <f>IFERROR(__xludf.DUMMYFUNCTION("""COMPUTED_VALUE"""),"七年級")</f>
        <v>七年級</v>
      </c>
      <c r="G449" s="14" t="str">
        <f>IFERROR(__xludf.DUMMYFUNCTION("""COMPUTED_VALUE"""),"●小禮物")</f>
        <v>●小禮物</v>
      </c>
      <c r="H449" s="8"/>
    </row>
    <row r="450">
      <c r="A450" s="18"/>
      <c r="B450" s="14">
        <f>IFERROR(__xludf.DUMMYFUNCTION("""COMPUTED_VALUE"""),737347.0)</f>
        <v>737347</v>
      </c>
      <c r="C450" s="14" t="str">
        <f>IFERROR(__xludf.DUMMYFUNCTION("""COMPUTED_VALUE"""),"邱丹妍")</f>
        <v>邱丹妍</v>
      </c>
      <c r="D450" s="16" t="str">
        <f>IFERROR(__xludf.DUMMYFUNCTION("""COMPUTED_VALUE"""),"dt1*****.ntpc@mail.edu.tw")</f>
        <v>dt1*****.ntpc@mail.edu.tw</v>
      </c>
      <c r="E450" s="17" t="str">
        <f>IFERROR(__xludf.DUMMYFUNCTION("""COMPUTED_VALUE"""),"新北市立育林國民中學")</f>
        <v>新北市立育林國民中學</v>
      </c>
      <c r="F450" s="14" t="str">
        <f>IFERROR(__xludf.DUMMYFUNCTION("""COMPUTED_VALUE"""),"七年級")</f>
        <v>七年級</v>
      </c>
      <c r="G450" s="14" t="str">
        <f>IFERROR(__xludf.DUMMYFUNCTION("""COMPUTED_VALUE"""),"●小禮物")</f>
        <v>●小禮物</v>
      </c>
      <c r="H450" s="8"/>
    </row>
    <row r="451">
      <c r="A451" s="18"/>
      <c r="B451" s="14">
        <f>IFERROR(__xludf.DUMMYFUNCTION("""COMPUTED_VALUE"""),1182324.0)</f>
        <v>1182324</v>
      </c>
      <c r="C451" s="14" t="str">
        <f>IFERROR(__xludf.DUMMYFUNCTION("""COMPUTED_VALUE"""),"張宇樂")</f>
        <v>張宇樂</v>
      </c>
      <c r="D451" s="16" t="str">
        <f>IFERROR(__xludf.DUMMYFUNCTION("""COMPUTED_VALUE"""),"y10*****.ntpc@mail.edu.tw")</f>
        <v>y10*****.ntpc@mail.edu.tw</v>
      </c>
      <c r="E451" s="17" t="str">
        <f>IFERROR(__xludf.DUMMYFUNCTION("""COMPUTED_VALUE"""),"新北市立育林國民中學")</f>
        <v>新北市立育林國民中學</v>
      </c>
      <c r="F451" s="14" t="str">
        <f>IFERROR(__xludf.DUMMYFUNCTION("""COMPUTED_VALUE"""),"七年級")</f>
        <v>七年級</v>
      </c>
      <c r="G451" s="14" t="str">
        <f>IFERROR(__xludf.DUMMYFUNCTION("""COMPUTED_VALUE"""),"●小禮物")</f>
        <v>●小禮物</v>
      </c>
      <c r="H451" s="8"/>
    </row>
    <row r="452">
      <c r="A452" s="18"/>
      <c r="B452" s="14">
        <f>IFERROR(__xludf.DUMMYFUNCTION("""COMPUTED_VALUE"""),1194872.0)</f>
        <v>1194872</v>
      </c>
      <c r="C452" s="14" t="str">
        <f>IFERROR(__xludf.DUMMYFUNCTION("""COMPUTED_VALUE"""),"陳冠中")</f>
        <v>陳冠中</v>
      </c>
      <c r="D452" s="16" t="str">
        <f>IFERROR(__xludf.DUMMYFUNCTION("""COMPUTED_VALUE"""),"slp*****38.ntpc@mail.edu.tw")</f>
        <v>slp*****38.ntpc@mail.edu.tw</v>
      </c>
      <c r="E452" s="17" t="str">
        <f>IFERROR(__xludf.DUMMYFUNCTION("""COMPUTED_VALUE"""),"新北市立育林國民中學")</f>
        <v>新北市立育林國民中學</v>
      </c>
      <c r="F452" s="14" t="str">
        <f>IFERROR(__xludf.DUMMYFUNCTION("""COMPUTED_VALUE"""),"七年級")</f>
        <v>七年級</v>
      </c>
      <c r="G452" s="14" t="str">
        <f>IFERROR(__xludf.DUMMYFUNCTION("""COMPUTED_VALUE"""),"●小禮物")</f>
        <v>●小禮物</v>
      </c>
      <c r="H452" s="8"/>
    </row>
    <row r="453">
      <c r="A453" s="18"/>
      <c r="B453" s="14">
        <f>IFERROR(__xludf.DUMMYFUNCTION("""COMPUTED_VALUE"""),1182322.0)</f>
        <v>1182322</v>
      </c>
      <c r="C453" s="14" t="str">
        <f>IFERROR(__xludf.DUMMYFUNCTION("""COMPUTED_VALUE"""),"陳諺群")</f>
        <v>陳諺群</v>
      </c>
      <c r="D453" s="16" t="str">
        <f>IFERROR(__xludf.DUMMYFUNCTION("""COMPUTED_VALUE"""),"sip*****67.ntpc@mail.edu.tw")</f>
        <v>sip*****67.ntpc@mail.edu.tw</v>
      </c>
      <c r="E453" s="17" t="str">
        <f>IFERROR(__xludf.DUMMYFUNCTION("""COMPUTED_VALUE"""),"新北市立育林國民中學")</f>
        <v>新北市立育林國民中學</v>
      </c>
      <c r="F453" s="14" t="str">
        <f>IFERROR(__xludf.DUMMYFUNCTION("""COMPUTED_VALUE"""),"七年級")</f>
        <v>七年級</v>
      </c>
      <c r="G453" s="14" t="str">
        <f>IFERROR(__xludf.DUMMYFUNCTION("""COMPUTED_VALUE"""),"●小禮物")</f>
        <v>●小禮物</v>
      </c>
      <c r="H453" s="8"/>
    </row>
    <row r="454">
      <c r="A454" s="18"/>
      <c r="B454" s="14">
        <f>IFERROR(__xludf.DUMMYFUNCTION("""COMPUTED_VALUE"""),1182339.0)</f>
        <v>1182339</v>
      </c>
      <c r="C454" s="14" t="str">
        <f>IFERROR(__xludf.DUMMYFUNCTION("""COMPUTED_VALUE"""),"劉品瑜")</f>
        <v>劉品瑜</v>
      </c>
      <c r="D454" s="16" t="str">
        <f>IFERROR(__xludf.DUMMYFUNCTION("""COMPUTED_VALUE"""),"slp*****26.ntpc@mail.edu.tw")</f>
        <v>slp*****26.ntpc@mail.edu.tw</v>
      </c>
      <c r="E454" s="17" t="str">
        <f>IFERROR(__xludf.DUMMYFUNCTION("""COMPUTED_VALUE"""),"新北市立育林國民中學")</f>
        <v>新北市立育林國民中學</v>
      </c>
      <c r="F454" s="14" t="str">
        <f>IFERROR(__xludf.DUMMYFUNCTION("""COMPUTED_VALUE"""),"七年級")</f>
        <v>七年級</v>
      </c>
      <c r="G454" s="14" t="str">
        <f>IFERROR(__xludf.DUMMYFUNCTION("""COMPUTED_VALUE"""),"●小禮物")</f>
        <v>●小禮物</v>
      </c>
      <c r="H454" s="8"/>
    </row>
    <row r="455">
      <c r="A455" s="18"/>
      <c r="B455" s="14">
        <f>IFERROR(__xludf.DUMMYFUNCTION("""COMPUTED_VALUE"""),1182330.0)</f>
        <v>1182330</v>
      </c>
      <c r="C455" s="14" t="str">
        <f>IFERROR(__xludf.DUMMYFUNCTION("""COMPUTED_VALUE"""),"謝柔貞")</f>
        <v>謝柔貞</v>
      </c>
      <c r="D455" s="16" t="str">
        <f>IFERROR(__xludf.DUMMYFUNCTION("""COMPUTED_VALUE"""),"slp*****09.ntpc@mail.edu.tw")</f>
        <v>slp*****09.ntpc@mail.edu.tw</v>
      </c>
      <c r="E455" s="17" t="str">
        <f>IFERROR(__xludf.DUMMYFUNCTION("""COMPUTED_VALUE"""),"新北市立育林國民中學")</f>
        <v>新北市立育林國民中學</v>
      </c>
      <c r="F455" s="14" t="str">
        <f>IFERROR(__xludf.DUMMYFUNCTION("""COMPUTED_VALUE"""),"七年級")</f>
        <v>七年級</v>
      </c>
      <c r="G455" s="14" t="str">
        <f>IFERROR(__xludf.DUMMYFUNCTION("""COMPUTED_VALUE"""),"●小禮物")</f>
        <v>●小禮物</v>
      </c>
      <c r="H455" s="8"/>
    </row>
    <row r="456">
      <c r="A456" s="18"/>
      <c r="B456" s="14">
        <f>IFERROR(__xludf.DUMMYFUNCTION("""COMPUTED_VALUE"""),1182332.0)</f>
        <v>1182332</v>
      </c>
      <c r="C456" s="14" t="str">
        <f>IFERROR(__xludf.DUMMYFUNCTION("""COMPUTED_VALUE"""),"顏石連")</f>
        <v>顏石連</v>
      </c>
      <c r="D456" s="16" t="str">
        <f>IFERROR(__xludf.DUMMYFUNCTION("""COMPUTED_VALUE"""),"ysl*****ntpc@mail.edu.tw")</f>
        <v>ysl*****ntpc@mail.edu.tw</v>
      </c>
      <c r="E456" s="17" t="str">
        <f>IFERROR(__xludf.DUMMYFUNCTION("""COMPUTED_VALUE"""),"新北市立育林國民中學")</f>
        <v>新北市立育林國民中學</v>
      </c>
      <c r="F456" s="14" t="str">
        <f>IFERROR(__xludf.DUMMYFUNCTION("""COMPUTED_VALUE"""),"七年級")</f>
        <v>七年級</v>
      </c>
      <c r="G456" s="14" t="str">
        <f>IFERROR(__xludf.DUMMYFUNCTION("""COMPUTED_VALUE"""),"●小禮物")</f>
        <v>●小禮物</v>
      </c>
      <c r="H456" s="8"/>
    </row>
    <row r="457">
      <c r="A457" s="18"/>
      <c r="B457" s="14">
        <f>IFERROR(__xludf.DUMMYFUNCTION("""COMPUTED_VALUE"""),1182321.0)</f>
        <v>1182321</v>
      </c>
      <c r="C457" s="14" t="str">
        <f>IFERROR(__xludf.DUMMYFUNCTION("""COMPUTED_VALUE"""),"邱凱揚")</f>
        <v>邱凱揚</v>
      </c>
      <c r="D457" s="16" t="str">
        <f>IFERROR(__xludf.DUMMYFUNCTION("""COMPUTED_VALUE"""),"tyc*****77@mail.edu.tw")</f>
        <v>tyc*****77@mail.edu.tw</v>
      </c>
      <c r="E457" s="17" t="str">
        <f>IFERROR(__xludf.DUMMYFUNCTION("""COMPUTED_VALUE"""),"新北市立育林國民中學")</f>
        <v>新北市立育林國民中學</v>
      </c>
      <c r="F457" s="14" t="str">
        <f>IFERROR(__xludf.DUMMYFUNCTION("""COMPUTED_VALUE"""),"七年級")</f>
        <v>七年級</v>
      </c>
      <c r="G457" s="14" t="str">
        <f>IFERROR(__xludf.DUMMYFUNCTION("""COMPUTED_VALUE"""),"獎狀")</f>
        <v>獎狀</v>
      </c>
      <c r="H457" s="8"/>
    </row>
    <row r="458">
      <c r="A458" s="18"/>
      <c r="B458" s="14">
        <f>IFERROR(__xludf.DUMMYFUNCTION("""COMPUTED_VALUE"""),1182340.0)</f>
        <v>1182340</v>
      </c>
      <c r="C458" s="14" t="str">
        <f>IFERROR(__xludf.DUMMYFUNCTION("""COMPUTED_VALUE"""),"邱湘婷")</f>
        <v>邱湘婷</v>
      </c>
      <c r="D458" s="16" t="str">
        <f>IFERROR(__xludf.DUMMYFUNCTION("""COMPUTED_VALUE"""),"tyc*****78@mail.edu.tw")</f>
        <v>tyc*****78@mail.edu.tw</v>
      </c>
      <c r="E458" s="17" t="str">
        <f>IFERROR(__xludf.DUMMYFUNCTION("""COMPUTED_VALUE"""),"新北市立育林國民中學")</f>
        <v>新北市立育林國民中學</v>
      </c>
      <c r="F458" s="14" t="str">
        <f>IFERROR(__xludf.DUMMYFUNCTION("""COMPUTED_VALUE"""),"七年級")</f>
        <v>七年級</v>
      </c>
      <c r="G458" s="14" t="str">
        <f>IFERROR(__xludf.DUMMYFUNCTION("""COMPUTED_VALUE"""),"獎狀")</f>
        <v>獎狀</v>
      </c>
      <c r="H458" s="8"/>
    </row>
    <row r="459">
      <c r="A459" s="18"/>
      <c r="B459" s="14">
        <f>IFERROR(__xludf.DUMMYFUNCTION("""COMPUTED_VALUE"""),923521.0)</f>
        <v>923521</v>
      </c>
      <c r="C459" s="14" t="str">
        <f>IFERROR(__xludf.DUMMYFUNCTION("""COMPUTED_VALUE"""),"陳姿廷")</f>
        <v>陳姿廷</v>
      </c>
      <c r="D459" s="16" t="str">
        <f>IFERROR(__xludf.DUMMYFUNCTION("""COMPUTED_VALUE"""),"ddt*****.ntpc@mail.edu.tw")</f>
        <v>ddt*****.ntpc@mail.edu.tw</v>
      </c>
      <c r="E459" s="17" t="str">
        <f>IFERROR(__xludf.DUMMYFUNCTION("""COMPUTED_VALUE"""),"新北市立育林國民中學")</f>
        <v>新北市立育林國民中學</v>
      </c>
      <c r="F459" s="14" t="str">
        <f>IFERROR(__xludf.DUMMYFUNCTION("""COMPUTED_VALUE"""),"七年級")</f>
        <v>七年級</v>
      </c>
      <c r="G459" s="14" t="str">
        <f>IFERROR(__xludf.DUMMYFUNCTION("""COMPUTED_VALUE"""),"獎狀")</f>
        <v>獎狀</v>
      </c>
      <c r="H459" s="8"/>
    </row>
    <row r="460">
      <c r="A460" s="18"/>
      <c r="B460" s="14">
        <f>IFERROR(__xludf.DUMMYFUNCTION("""COMPUTED_VALUE"""),1182319.0)</f>
        <v>1182319</v>
      </c>
      <c r="C460" s="14" t="str">
        <f>IFERROR(__xludf.DUMMYFUNCTION("""COMPUTED_VALUE"""),"陳宥欣")</f>
        <v>陳宥欣</v>
      </c>
      <c r="D460" s="16" t="str">
        <f>IFERROR(__xludf.DUMMYFUNCTION("""COMPUTED_VALUE"""),"ddt*****.ntpc@mail.edu.tw")</f>
        <v>ddt*****.ntpc@mail.edu.tw</v>
      </c>
      <c r="E460" s="17" t="str">
        <f>IFERROR(__xludf.DUMMYFUNCTION("""COMPUTED_VALUE"""),"新北市立育林國民中學")</f>
        <v>新北市立育林國民中學</v>
      </c>
      <c r="F460" s="14" t="str">
        <f>IFERROR(__xludf.DUMMYFUNCTION("""COMPUTED_VALUE"""),"七年級")</f>
        <v>七年級</v>
      </c>
      <c r="G460" s="14" t="str">
        <f>IFERROR(__xludf.DUMMYFUNCTION("""COMPUTED_VALUE"""),"獎狀")</f>
        <v>獎狀</v>
      </c>
      <c r="H460" s="8"/>
    </row>
    <row r="461">
      <c r="A461" s="18"/>
      <c r="B461" s="14">
        <f>IFERROR(__xludf.DUMMYFUNCTION("""COMPUTED_VALUE"""),1214128.0)</f>
        <v>1214128</v>
      </c>
      <c r="C461" s="14" t="str">
        <f>IFERROR(__xludf.DUMMYFUNCTION("""COMPUTED_VALUE"""),"陳宥威")</f>
        <v>陳宥威</v>
      </c>
      <c r="D461" s="16" t="str">
        <f>IFERROR(__xludf.DUMMYFUNCTION("""COMPUTED_VALUE"""),"slp*****46@apps.ntpc.edu.tw")</f>
        <v>slp*****46@apps.ntpc.edu.tw</v>
      </c>
      <c r="E461" s="17" t="str">
        <f>IFERROR(__xludf.DUMMYFUNCTION("""COMPUTED_VALUE"""),"新北市立育林國民中學")</f>
        <v>新北市立育林國民中學</v>
      </c>
      <c r="F461" s="14" t="str">
        <f>IFERROR(__xludf.DUMMYFUNCTION("""COMPUTED_VALUE"""),"七年級")</f>
        <v>七年級</v>
      </c>
      <c r="G461" s="14" t="str">
        <f>IFERROR(__xludf.DUMMYFUNCTION("""COMPUTED_VALUE"""),"獎狀")</f>
        <v>獎狀</v>
      </c>
      <c r="H461" s="8"/>
    </row>
    <row r="462">
      <c r="A462" s="18"/>
      <c r="B462" s="14">
        <f>IFERROR(__xludf.DUMMYFUNCTION("""COMPUTED_VALUE"""),1182385.0)</f>
        <v>1182385</v>
      </c>
      <c r="C462" s="14" t="str">
        <f>IFERROR(__xludf.DUMMYFUNCTION("""COMPUTED_VALUE"""),"陳鈺文")</f>
        <v>陳鈺文</v>
      </c>
      <c r="D462" s="16" t="str">
        <f>IFERROR(__xludf.DUMMYFUNCTION("""COMPUTED_VALUE"""),"y10*****.ntpc@mail.edu.tw")</f>
        <v>y10*****.ntpc@mail.edu.tw</v>
      </c>
      <c r="E462" s="17" t="str">
        <f>IFERROR(__xludf.DUMMYFUNCTION("""COMPUTED_VALUE"""),"新北市立育林國民中學")</f>
        <v>新北市立育林國民中學</v>
      </c>
      <c r="F462" s="14" t="str">
        <f>IFERROR(__xludf.DUMMYFUNCTION("""COMPUTED_VALUE"""),"七年級")</f>
        <v>七年級</v>
      </c>
      <c r="G462" s="14" t="str">
        <f>IFERROR(__xludf.DUMMYFUNCTION("""COMPUTED_VALUE"""),"獎狀")</f>
        <v>獎狀</v>
      </c>
      <c r="H462" s="8"/>
    </row>
    <row r="463">
      <c r="A463" s="18"/>
      <c r="B463" s="14">
        <f>IFERROR(__xludf.DUMMYFUNCTION("""COMPUTED_VALUE"""),1182335.0)</f>
        <v>1182335</v>
      </c>
      <c r="C463" s="14" t="str">
        <f>IFERROR(__xludf.DUMMYFUNCTION("""COMPUTED_VALUE"""),"楊博承")</f>
        <v>楊博承</v>
      </c>
      <c r="D463" s="16" t="str">
        <f>IFERROR(__xludf.DUMMYFUNCTION("""COMPUTED_VALUE"""),"slp*****68.ntpc@mail.edu.tw")</f>
        <v>slp*****68.ntpc@mail.edu.tw</v>
      </c>
      <c r="E463" s="17" t="str">
        <f>IFERROR(__xludf.DUMMYFUNCTION("""COMPUTED_VALUE"""),"新北市立育林國民中學")</f>
        <v>新北市立育林國民中學</v>
      </c>
      <c r="F463" s="14" t="str">
        <f>IFERROR(__xludf.DUMMYFUNCTION("""COMPUTED_VALUE"""),"七年級")</f>
        <v>七年級</v>
      </c>
      <c r="G463" s="14" t="str">
        <f>IFERROR(__xludf.DUMMYFUNCTION("""COMPUTED_VALUE"""),"獎狀")</f>
        <v>獎狀</v>
      </c>
      <c r="H463" s="8"/>
    </row>
    <row r="464">
      <c r="A464" s="18"/>
      <c r="B464" s="14">
        <f>IFERROR(__xludf.DUMMYFUNCTION("""COMPUTED_VALUE"""),1182320.0)</f>
        <v>1182320</v>
      </c>
      <c r="C464" s="14" t="str">
        <f>IFERROR(__xludf.DUMMYFUNCTION("""COMPUTED_VALUE"""),"繆翊汶")</f>
        <v>繆翊汶</v>
      </c>
      <c r="D464" s="16" t="str">
        <f>IFERROR(__xludf.DUMMYFUNCTION("""COMPUTED_VALUE"""),"slp*****88.ntpc@mail.edu.tw")</f>
        <v>slp*****88.ntpc@mail.edu.tw</v>
      </c>
      <c r="E464" s="17" t="str">
        <f>IFERROR(__xludf.DUMMYFUNCTION("""COMPUTED_VALUE"""),"新北市立育林國民中學")</f>
        <v>新北市立育林國民中學</v>
      </c>
      <c r="F464" s="14" t="str">
        <f>IFERROR(__xludf.DUMMYFUNCTION("""COMPUTED_VALUE"""),"七年級")</f>
        <v>七年級</v>
      </c>
      <c r="G464" s="14" t="str">
        <f>IFERROR(__xludf.DUMMYFUNCTION("""COMPUTED_VALUE"""),"獎狀")</f>
        <v>獎狀</v>
      </c>
      <c r="H464" s="8"/>
    </row>
    <row r="465">
      <c r="A465" s="18"/>
      <c r="B465" s="14">
        <f>IFERROR(__xludf.DUMMYFUNCTION("""COMPUTED_VALUE"""),824208.0)</f>
        <v>824208</v>
      </c>
      <c r="C465" s="14" t="str">
        <f>IFERROR(__xludf.DUMMYFUNCTION("""COMPUTED_VALUE"""),"楊稚樺")</f>
        <v>楊稚樺</v>
      </c>
      <c r="D465" s="16" t="str">
        <f>IFERROR(__xludf.DUMMYFUNCTION("""COMPUTED_VALUE"""),"slp*****94.ntpc@mail.edu.tw")</f>
        <v>slp*****94.ntpc@mail.edu.tw</v>
      </c>
      <c r="E465" s="17" t="str">
        <f>IFERROR(__xludf.DUMMYFUNCTION("""COMPUTED_VALUE"""),"新北市立育林國民中學")</f>
        <v>新北市立育林國民中學</v>
      </c>
      <c r="F465" s="14" t="str">
        <f>IFERROR(__xludf.DUMMYFUNCTION("""COMPUTED_VALUE"""),"九年級")</f>
        <v>九年級</v>
      </c>
      <c r="G465" s="14" t="str">
        <f>IFERROR(__xludf.DUMMYFUNCTION("""COMPUTED_VALUE"""),"●小禮物")</f>
        <v>●小禮物</v>
      </c>
      <c r="H465" s="8"/>
    </row>
    <row r="466">
      <c r="A466" s="18"/>
      <c r="B466" s="14">
        <f>IFERROR(__xludf.DUMMYFUNCTION("""COMPUTED_VALUE"""),1176119.0)</f>
        <v>1176119</v>
      </c>
      <c r="C466" s="14" t="str">
        <f>IFERROR(__xludf.DUMMYFUNCTION("""COMPUTED_VALUE"""),"林靖傑")</f>
        <v>林靖傑</v>
      </c>
      <c r="D466" s="16" t="str">
        <f>IFERROR(__xludf.DUMMYFUNCTION("""COMPUTED_VALUE"""),"slp*****66.ntpc@mail.edu.tw")</f>
        <v>slp*****66.ntpc@mail.edu.tw</v>
      </c>
      <c r="E466" s="17" t="str">
        <f>IFERROR(__xludf.DUMMYFUNCTION("""COMPUTED_VALUE"""),"新北市立育林國民中學")</f>
        <v>新北市立育林國民中學</v>
      </c>
      <c r="F466" s="14" t="str">
        <f>IFERROR(__xludf.DUMMYFUNCTION("""COMPUTED_VALUE"""),"九年級")</f>
        <v>九年級</v>
      </c>
      <c r="G466" s="14" t="str">
        <f>IFERROR(__xludf.DUMMYFUNCTION("""COMPUTED_VALUE"""),"獎狀")</f>
        <v>獎狀</v>
      </c>
      <c r="H466" s="8"/>
    </row>
    <row r="467">
      <c r="A467" s="18"/>
      <c r="B467" s="14">
        <f>IFERROR(__xludf.DUMMYFUNCTION("""COMPUTED_VALUE"""),1180553.0)</f>
        <v>1180553</v>
      </c>
      <c r="C467" s="14" t="str">
        <f>IFERROR(__xludf.DUMMYFUNCTION("""COMPUTED_VALUE"""),"彭嬿諭")</f>
        <v>彭嬿諭</v>
      </c>
      <c r="D467" s="16" t="str">
        <f>IFERROR(__xludf.DUMMYFUNCTION("""COMPUTED_VALUE"""),"gye*****55.ntpc@mail.edu.tw")</f>
        <v>gye*****55.ntpc@mail.edu.tw</v>
      </c>
      <c r="E467" s="17" t="str">
        <f>IFERROR(__xludf.DUMMYFUNCTION("""COMPUTED_VALUE"""),"新北市立育林國民中學")</f>
        <v>新北市立育林國民中學</v>
      </c>
      <c r="F467" s="14" t="str">
        <f>IFERROR(__xludf.DUMMYFUNCTION("""COMPUTED_VALUE"""),"九年級")</f>
        <v>九年級</v>
      </c>
      <c r="G467" s="14" t="str">
        <f>IFERROR(__xludf.DUMMYFUNCTION("""COMPUTED_VALUE"""),"●小禮物")</f>
        <v>●小禮物</v>
      </c>
      <c r="H467" s="8"/>
    </row>
    <row r="468">
      <c r="A468" s="18"/>
      <c r="B468" s="14">
        <f>IFERROR(__xludf.DUMMYFUNCTION("""COMPUTED_VALUE"""),1176140.0)</f>
        <v>1176140</v>
      </c>
      <c r="C468" s="14" t="str">
        <f>IFERROR(__xludf.DUMMYFUNCTION("""COMPUTED_VALUE"""),"余竑彣")</f>
        <v>余竑彣</v>
      </c>
      <c r="D468" s="16" t="str">
        <f>IFERROR(__xludf.DUMMYFUNCTION("""COMPUTED_VALUE"""),"slp*****16.ntpc@mail.edu.tw")</f>
        <v>slp*****16.ntpc@mail.edu.tw</v>
      </c>
      <c r="E468" s="17" t="str">
        <f>IFERROR(__xludf.DUMMYFUNCTION("""COMPUTED_VALUE"""),"新北市立育林國民中學")</f>
        <v>新北市立育林國民中學</v>
      </c>
      <c r="F468" s="14" t="str">
        <f>IFERROR(__xludf.DUMMYFUNCTION("""COMPUTED_VALUE"""),"九年級")</f>
        <v>九年級</v>
      </c>
      <c r="G468" s="14" t="str">
        <f>IFERROR(__xludf.DUMMYFUNCTION("""COMPUTED_VALUE"""),"●小禮物")</f>
        <v>●小禮物</v>
      </c>
      <c r="H468" s="8"/>
    </row>
    <row r="469">
      <c r="A469" s="18"/>
      <c r="B469" s="14">
        <f>IFERROR(__xludf.DUMMYFUNCTION("""COMPUTED_VALUE"""),827545.0)</f>
        <v>827545</v>
      </c>
      <c r="C469" s="14" t="str">
        <f>IFERROR(__xludf.DUMMYFUNCTION("""COMPUTED_VALUE"""),"羅葦涵")</f>
        <v>羅葦涵</v>
      </c>
      <c r="D469" s="16" t="str">
        <f>IFERROR(__xludf.DUMMYFUNCTION("""COMPUTED_VALUE"""),"slp*****02@mail.edu.tw")</f>
        <v>slp*****02@mail.edu.tw</v>
      </c>
      <c r="E469" s="17" t="str">
        <f>IFERROR(__xludf.DUMMYFUNCTION("""COMPUTED_VALUE"""),"新北市立育林國民中學")</f>
        <v>新北市立育林國民中學</v>
      </c>
      <c r="F469" s="14" t="str">
        <f>IFERROR(__xludf.DUMMYFUNCTION("""COMPUTED_VALUE"""),"九年級")</f>
        <v>九年級</v>
      </c>
      <c r="G469" s="14" t="str">
        <f>IFERROR(__xludf.DUMMYFUNCTION("""COMPUTED_VALUE"""),"●小禮物")</f>
        <v>●小禮物</v>
      </c>
      <c r="H469" s="8"/>
    </row>
    <row r="470">
      <c r="A470" s="18"/>
      <c r="B470" s="14">
        <f>IFERROR(__xludf.DUMMYFUNCTION("""COMPUTED_VALUE"""),824221.0)</f>
        <v>824221</v>
      </c>
      <c r="C470" s="14" t="str">
        <f>IFERROR(__xludf.DUMMYFUNCTION("""COMPUTED_VALUE"""),"唐永錡")</f>
        <v>唐永錡</v>
      </c>
      <c r="D470" s="16" t="str">
        <f>IFERROR(__xludf.DUMMYFUNCTION("""COMPUTED_VALUE"""),"sje*****07.ntpc@mail.edu.tw")</f>
        <v>sje*****07.ntpc@mail.edu.tw</v>
      </c>
      <c r="E470" s="17" t="str">
        <f>IFERROR(__xludf.DUMMYFUNCTION("""COMPUTED_VALUE"""),"新北市立育林國民中學")</f>
        <v>新北市立育林國民中學</v>
      </c>
      <c r="F470" s="14" t="str">
        <f>IFERROR(__xludf.DUMMYFUNCTION("""COMPUTED_VALUE"""),"九年級")</f>
        <v>九年級</v>
      </c>
      <c r="G470" s="14" t="str">
        <f>IFERROR(__xludf.DUMMYFUNCTION("""COMPUTED_VALUE"""),"獎狀")</f>
        <v>獎狀</v>
      </c>
      <c r="H470" s="8"/>
    </row>
    <row r="471">
      <c r="A471" s="18"/>
      <c r="B471" s="14">
        <f>IFERROR(__xludf.DUMMYFUNCTION("""COMPUTED_VALUE"""),824200.0)</f>
        <v>824200</v>
      </c>
      <c r="C471" s="14" t="str">
        <f>IFERROR(__xludf.DUMMYFUNCTION("""COMPUTED_VALUE"""),"徐颉瑜")</f>
        <v>徐颉瑜</v>
      </c>
      <c r="D471" s="16" t="str">
        <f>IFERROR(__xludf.DUMMYFUNCTION("""COMPUTED_VALUE"""),"slp*****66.ntpc@mail.edu.tw")</f>
        <v>slp*****66.ntpc@mail.edu.tw</v>
      </c>
      <c r="E471" s="17" t="str">
        <f>IFERROR(__xludf.DUMMYFUNCTION("""COMPUTED_VALUE"""),"新北市立育林國民中學")</f>
        <v>新北市立育林國民中學</v>
      </c>
      <c r="F471" s="14" t="str">
        <f>IFERROR(__xludf.DUMMYFUNCTION("""COMPUTED_VALUE"""),"九年級")</f>
        <v>九年級</v>
      </c>
      <c r="G471" s="14" t="str">
        <f>IFERROR(__xludf.DUMMYFUNCTION("""COMPUTED_VALUE"""),"獎狀")</f>
        <v>獎狀</v>
      </c>
      <c r="H471" s="8"/>
    </row>
    <row r="472">
      <c r="A472" s="18"/>
      <c r="B472" s="14">
        <f>IFERROR(__xludf.DUMMYFUNCTION("""COMPUTED_VALUE"""),827537.0)</f>
        <v>827537</v>
      </c>
      <c r="C472" s="14" t="str">
        <f>IFERROR(__xludf.DUMMYFUNCTION("""COMPUTED_VALUE"""),"黃科橙")</f>
        <v>黃科橙</v>
      </c>
      <c r="D472" s="16" t="str">
        <f>IFERROR(__xludf.DUMMYFUNCTION("""COMPUTED_VALUE"""),"slp*****14.corn@mail.edu.tw")</f>
        <v>slp*****14.corn@mail.edu.tw</v>
      </c>
      <c r="E472" s="17" t="str">
        <f>IFERROR(__xludf.DUMMYFUNCTION("""COMPUTED_VALUE"""),"新北市立育林國民中學")</f>
        <v>新北市立育林國民中學</v>
      </c>
      <c r="F472" s="14" t="str">
        <f>IFERROR(__xludf.DUMMYFUNCTION("""COMPUTED_VALUE"""),"九年級")</f>
        <v>九年級</v>
      </c>
      <c r="G472" s="14" t="str">
        <f>IFERROR(__xludf.DUMMYFUNCTION("""COMPUTED_VALUE"""),"●小禮物")</f>
        <v>●小禮物</v>
      </c>
      <c r="H472" s="8"/>
    </row>
    <row r="473">
      <c r="A473" s="18"/>
      <c r="B473" s="14">
        <f>IFERROR(__xludf.DUMMYFUNCTION("""COMPUTED_VALUE"""),608630.0)</f>
        <v>608630</v>
      </c>
      <c r="C473" s="14" t="str">
        <f>IFERROR(__xludf.DUMMYFUNCTION("""COMPUTED_VALUE"""),"王鈺馨")</f>
        <v>王鈺馨</v>
      </c>
      <c r="D473" s="16" t="str">
        <f>IFERROR(__xludf.DUMMYFUNCTION("""COMPUTED_VALUE"""),"fqn*****320@apps.ntpc.edu.tw")</f>
        <v>fqn*****320@apps.ntpc.edu.tw</v>
      </c>
      <c r="E473" s="17" t="str">
        <f>IFERROR(__xludf.DUMMYFUNCTION("""COMPUTED_VALUE"""),"新北市立育林國民中學")</f>
        <v>新北市立育林國民中學</v>
      </c>
      <c r="F473" s="14" t="str">
        <f>IFERROR(__xludf.DUMMYFUNCTION("""COMPUTED_VALUE"""),"九年級")</f>
        <v>九年級</v>
      </c>
      <c r="G473" s="14" t="str">
        <f>IFERROR(__xludf.DUMMYFUNCTION("""COMPUTED_VALUE"""),"●小禮物")</f>
        <v>●小禮物</v>
      </c>
      <c r="H473" s="8"/>
    </row>
    <row r="474">
      <c r="A474" s="18"/>
      <c r="B474" s="14">
        <f>IFERROR(__xludf.DUMMYFUNCTION("""COMPUTED_VALUE"""),827541.0)</f>
        <v>827541</v>
      </c>
      <c r="C474" s="14" t="str">
        <f>IFERROR(__xludf.DUMMYFUNCTION("""COMPUTED_VALUE"""),"朱柏源")</f>
        <v>朱柏源</v>
      </c>
      <c r="D474" s="16" t="str">
        <f>IFERROR(__xludf.DUMMYFUNCTION("""COMPUTED_VALUE"""),"slp*****04.ntpc@mail.edu.tw")</f>
        <v>slp*****04.ntpc@mail.edu.tw</v>
      </c>
      <c r="E474" s="17" t="str">
        <f>IFERROR(__xludf.DUMMYFUNCTION("""COMPUTED_VALUE"""),"新北市立育林國民中學")</f>
        <v>新北市立育林國民中學</v>
      </c>
      <c r="F474" s="14" t="str">
        <f>IFERROR(__xludf.DUMMYFUNCTION("""COMPUTED_VALUE"""),"九年級")</f>
        <v>九年級</v>
      </c>
      <c r="G474" s="14" t="str">
        <f>IFERROR(__xludf.DUMMYFUNCTION("""COMPUTED_VALUE"""),"●小禮物")</f>
        <v>●小禮物</v>
      </c>
      <c r="H474" s="8"/>
    </row>
    <row r="475">
      <c r="A475" s="18"/>
      <c r="B475" s="14">
        <f>IFERROR(__xludf.DUMMYFUNCTION("""COMPUTED_VALUE"""),827536.0)</f>
        <v>827536</v>
      </c>
      <c r="C475" s="14" t="str">
        <f>IFERROR(__xludf.DUMMYFUNCTION("""COMPUTED_VALUE"""),"卓宥妡")</f>
        <v>卓宥妡</v>
      </c>
      <c r="D475" s="16" t="str">
        <f>IFERROR(__xludf.DUMMYFUNCTION("""COMPUTED_VALUE"""),"www*****.ntpc@mail.edu.tw")</f>
        <v>www*****.ntpc@mail.edu.tw</v>
      </c>
      <c r="E475" s="17" t="str">
        <f>IFERROR(__xludf.DUMMYFUNCTION("""COMPUTED_VALUE"""),"新北市立育林國民中學")</f>
        <v>新北市立育林國民中學</v>
      </c>
      <c r="F475" s="14" t="str">
        <f>IFERROR(__xludf.DUMMYFUNCTION("""COMPUTED_VALUE"""),"九年級")</f>
        <v>九年級</v>
      </c>
      <c r="G475" s="14" t="str">
        <f>IFERROR(__xludf.DUMMYFUNCTION("""COMPUTED_VALUE"""),"●小禮物")</f>
        <v>●小禮物</v>
      </c>
      <c r="H475" s="8"/>
    </row>
    <row r="476">
      <c r="A476" s="18"/>
      <c r="B476" s="14">
        <f>IFERROR(__xludf.DUMMYFUNCTION("""COMPUTED_VALUE"""),827561.0)</f>
        <v>827561</v>
      </c>
      <c r="C476" s="14" t="str">
        <f>IFERROR(__xludf.DUMMYFUNCTION("""COMPUTED_VALUE"""),"洪碩亨")</f>
        <v>洪碩亨</v>
      </c>
      <c r="D476" s="16" t="str">
        <f>IFERROR(__xludf.DUMMYFUNCTION("""COMPUTED_VALUE"""),"slp*****26.ntpc@mail.edu.tw")</f>
        <v>slp*****26.ntpc@mail.edu.tw</v>
      </c>
      <c r="E476" s="17" t="str">
        <f>IFERROR(__xludf.DUMMYFUNCTION("""COMPUTED_VALUE"""),"新北市立育林國民中學")</f>
        <v>新北市立育林國民中學</v>
      </c>
      <c r="F476" s="14" t="str">
        <f>IFERROR(__xludf.DUMMYFUNCTION("""COMPUTED_VALUE"""),"九年級")</f>
        <v>九年級</v>
      </c>
      <c r="G476" s="14" t="str">
        <f>IFERROR(__xludf.DUMMYFUNCTION("""COMPUTED_VALUE"""),"●小禮物")</f>
        <v>●小禮物</v>
      </c>
      <c r="H476" s="8"/>
    </row>
    <row r="477">
      <c r="A477" s="18"/>
      <c r="B477" s="14">
        <f>IFERROR(__xludf.DUMMYFUNCTION("""COMPUTED_VALUE"""),827543.0)</f>
        <v>827543</v>
      </c>
      <c r="C477" s="14" t="str">
        <f>IFERROR(__xludf.DUMMYFUNCTION("""COMPUTED_VALUE"""),"莊侑娜")</f>
        <v>莊侑娜</v>
      </c>
      <c r="D477" s="16" t="str">
        <f>IFERROR(__xludf.DUMMYFUNCTION("""COMPUTED_VALUE"""),"slp*****87.ntpc@mail.edu.tw")</f>
        <v>slp*****87.ntpc@mail.edu.tw</v>
      </c>
      <c r="E477" s="17" t="str">
        <f>IFERROR(__xludf.DUMMYFUNCTION("""COMPUTED_VALUE"""),"新北市立育林國民中學")</f>
        <v>新北市立育林國民中學</v>
      </c>
      <c r="F477" s="14" t="str">
        <f>IFERROR(__xludf.DUMMYFUNCTION("""COMPUTED_VALUE"""),"九年級")</f>
        <v>九年級</v>
      </c>
      <c r="G477" s="14" t="str">
        <f>IFERROR(__xludf.DUMMYFUNCTION("""COMPUTED_VALUE"""),"●小禮物")</f>
        <v>●小禮物</v>
      </c>
      <c r="H477" s="8"/>
    </row>
    <row r="478">
      <c r="A478" s="18"/>
      <c r="B478" s="14">
        <f>IFERROR(__xludf.DUMMYFUNCTION("""COMPUTED_VALUE"""),827558.0)</f>
        <v>827558</v>
      </c>
      <c r="C478" s="14" t="str">
        <f>IFERROR(__xludf.DUMMYFUNCTION("""COMPUTED_VALUE"""),"陳沅葳")</f>
        <v>陳沅葳</v>
      </c>
      <c r="D478" s="16" t="str">
        <f>IFERROR(__xludf.DUMMYFUNCTION("""COMPUTED_VALUE"""),"wei*****8@mail.edu.tw")</f>
        <v>wei*****8@mail.edu.tw</v>
      </c>
      <c r="E478" s="17" t="str">
        <f>IFERROR(__xludf.DUMMYFUNCTION("""COMPUTED_VALUE"""),"新北市立育林國民中學")</f>
        <v>新北市立育林國民中學</v>
      </c>
      <c r="F478" s="14" t="str">
        <f>IFERROR(__xludf.DUMMYFUNCTION("""COMPUTED_VALUE"""),"九年級")</f>
        <v>九年級</v>
      </c>
      <c r="G478" s="14" t="str">
        <f>IFERROR(__xludf.DUMMYFUNCTION("""COMPUTED_VALUE"""),"●小禮物")</f>
        <v>●小禮物</v>
      </c>
      <c r="H478" s="8"/>
    </row>
    <row r="479">
      <c r="A479" s="18"/>
      <c r="B479" s="14">
        <f>IFERROR(__xludf.DUMMYFUNCTION("""COMPUTED_VALUE"""),827533.0)</f>
        <v>827533</v>
      </c>
      <c r="C479" s="14" t="str">
        <f>IFERROR(__xludf.DUMMYFUNCTION("""COMPUTED_VALUE"""),"陳詩沂")</f>
        <v>陳詩沂</v>
      </c>
      <c r="D479" s="16" t="str">
        <f>IFERROR(__xludf.DUMMYFUNCTION("""COMPUTED_VALUE"""),"yy1*****053.ntpc@mail.edu.tw")</f>
        <v>yy1*****053.ntpc@mail.edu.tw</v>
      </c>
      <c r="E479" s="17" t="str">
        <f>IFERROR(__xludf.DUMMYFUNCTION("""COMPUTED_VALUE"""),"新北市立育林國民中學")</f>
        <v>新北市立育林國民中學</v>
      </c>
      <c r="F479" s="14" t="str">
        <f>IFERROR(__xludf.DUMMYFUNCTION("""COMPUTED_VALUE"""),"九年級")</f>
        <v>九年級</v>
      </c>
      <c r="G479" s="14" t="str">
        <f>IFERROR(__xludf.DUMMYFUNCTION("""COMPUTED_VALUE"""),"●小禮物")</f>
        <v>●小禮物</v>
      </c>
      <c r="H479" s="8"/>
    </row>
    <row r="480">
      <c r="A480" s="18"/>
      <c r="B480" s="14">
        <f>IFERROR(__xludf.DUMMYFUNCTION("""COMPUTED_VALUE"""),827544.0)</f>
        <v>827544</v>
      </c>
      <c r="C480" s="14" t="str">
        <f>IFERROR(__xludf.DUMMYFUNCTION("""COMPUTED_VALUE"""),"盧柏宏")</f>
        <v>盧柏宏</v>
      </c>
      <c r="D480" s="16" t="str">
        <f>IFERROR(__xludf.DUMMYFUNCTION("""COMPUTED_VALUE"""),"slp*****94.ntpc@mail.edu.tw")</f>
        <v>slp*****94.ntpc@mail.edu.tw</v>
      </c>
      <c r="E480" s="17" t="str">
        <f>IFERROR(__xludf.DUMMYFUNCTION("""COMPUTED_VALUE"""),"新北市立育林國民中學")</f>
        <v>新北市立育林國民中學</v>
      </c>
      <c r="F480" s="14" t="str">
        <f>IFERROR(__xludf.DUMMYFUNCTION("""COMPUTED_VALUE"""),"九年級")</f>
        <v>九年級</v>
      </c>
      <c r="G480" s="14" t="str">
        <f>IFERROR(__xludf.DUMMYFUNCTION("""COMPUTED_VALUE"""),"●小禮物")</f>
        <v>●小禮物</v>
      </c>
      <c r="H480" s="8"/>
    </row>
    <row r="481">
      <c r="A481" s="18"/>
      <c r="B481" s="14">
        <f>IFERROR(__xludf.DUMMYFUNCTION("""COMPUTED_VALUE"""),827538.0)</f>
        <v>827538</v>
      </c>
      <c r="C481" s="14" t="str">
        <f>IFERROR(__xludf.DUMMYFUNCTION("""COMPUTED_VALUE"""),"方文建")</f>
        <v>方文建</v>
      </c>
      <c r="D481" s="16" t="str">
        <f>IFERROR(__xludf.DUMMYFUNCTION("""COMPUTED_VALUE"""),"jas*****pc@mail.edu.tw")</f>
        <v>jas*****pc@mail.edu.tw</v>
      </c>
      <c r="E481" s="17" t="str">
        <f>IFERROR(__xludf.DUMMYFUNCTION("""COMPUTED_VALUE"""),"新北市立育林國民中學")</f>
        <v>新北市立育林國民中學</v>
      </c>
      <c r="F481" s="14" t="str">
        <f>IFERROR(__xludf.DUMMYFUNCTION("""COMPUTED_VALUE"""),"九年級")</f>
        <v>九年級</v>
      </c>
      <c r="G481" s="14" t="str">
        <f>IFERROR(__xludf.DUMMYFUNCTION("""COMPUTED_VALUE"""),"獎狀")</f>
        <v>獎狀</v>
      </c>
      <c r="H481" s="8"/>
    </row>
    <row r="482">
      <c r="A482" s="18"/>
      <c r="B482" s="14">
        <f>IFERROR(__xludf.DUMMYFUNCTION("""COMPUTED_VALUE"""),316351.0)</f>
        <v>316351</v>
      </c>
      <c r="C482" s="14" t="str">
        <f>IFERROR(__xludf.DUMMYFUNCTION("""COMPUTED_VALUE"""),"李禹穎")</f>
        <v>李禹穎</v>
      </c>
      <c r="D482" s="16" t="str">
        <f>IFERROR(__xludf.DUMMYFUNCTION("""COMPUTED_VALUE"""),"hsp*****8.ntpc@mail.edu.tw")</f>
        <v>hsp*****8.ntpc@mail.edu.tw</v>
      </c>
      <c r="E482" s="17" t="str">
        <f>IFERROR(__xludf.DUMMYFUNCTION("""COMPUTED_VALUE"""),"新北市立育林國民中學")</f>
        <v>新北市立育林國民中學</v>
      </c>
      <c r="F482" s="14" t="str">
        <f>IFERROR(__xludf.DUMMYFUNCTION("""COMPUTED_VALUE"""),"九年級")</f>
        <v>九年級</v>
      </c>
      <c r="G482" s="14" t="str">
        <f>IFERROR(__xludf.DUMMYFUNCTION("""COMPUTED_VALUE"""),"獎狀")</f>
        <v>獎狀</v>
      </c>
      <c r="H482" s="8"/>
    </row>
    <row r="483">
      <c r="A483" s="18"/>
      <c r="B483" s="14">
        <f>IFERROR(__xludf.DUMMYFUNCTION("""COMPUTED_VALUE"""),827534.0)</f>
        <v>827534</v>
      </c>
      <c r="C483" s="14" t="str">
        <f>IFERROR(__xludf.DUMMYFUNCTION("""COMPUTED_VALUE"""),"洪歆惠")</f>
        <v>洪歆惠</v>
      </c>
      <c r="D483" s="16" t="str">
        <f>IFERROR(__xludf.DUMMYFUNCTION("""COMPUTED_VALUE"""),"w10*****ntpc@mail.edu.tw")</f>
        <v>w10*****ntpc@mail.edu.tw</v>
      </c>
      <c r="E483" s="17" t="str">
        <f>IFERROR(__xludf.DUMMYFUNCTION("""COMPUTED_VALUE"""),"新北市立育林國民中學")</f>
        <v>新北市立育林國民中學</v>
      </c>
      <c r="F483" s="14" t="str">
        <f>IFERROR(__xludf.DUMMYFUNCTION("""COMPUTED_VALUE"""),"九年級")</f>
        <v>九年級</v>
      </c>
      <c r="G483" s="14" t="str">
        <f>IFERROR(__xludf.DUMMYFUNCTION("""COMPUTED_VALUE"""),"獎狀")</f>
        <v>獎狀</v>
      </c>
      <c r="H483" s="8"/>
    </row>
    <row r="484">
      <c r="A484" s="18"/>
      <c r="B484" s="14">
        <f>IFERROR(__xludf.DUMMYFUNCTION("""COMPUTED_VALUE"""),827549.0)</f>
        <v>827549</v>
      </c>
      <c r="C484" s="14" t="str">
        <f>IFERROR(__xludf.DUMMYFUNCTION("""COMPUTED_VALUE"""),"秦震森")</f>
        <v>秦震森</v>
      </c>
      <c r="D484" s="16" t="str">
        <f>IFERROR(__xludf.DUMMYFUNCTION("""COMPUTED_VALUE"""),"eas*****0.ntpc@mail.edu.tw")</f>
        <v>eas*****0.ntpc@mail.edu.tw</v>
      </c>
      <c r="E484" s="17" t="str">
        <f>IFERROR(__xludf.DUMMYFUNCTION("""COMPUTED_VALUE"""),"新北市立育林國民中學")</f>
        <v>新北市立育林國民中學</v>
      </c>
      <c r="F484" s="14" t="str">
        <f>IFERROR(__xludf.DUMMYFUNCTION("""COMPUTED_VALUE"""),"九年級")</f>
        <v>九年級</v>
      </c>
      <c r="G484" s="14" t="str">
        <f>IFERROR(__xludf.DUMMYFUNCTION("""COMPUTED_VALUE"""),"獎狀")</f>
        <v>獎狀</v>
      </c>
      <c r="H484" s="8"/>
    </row>
    <row r="485">
      <c r="A485" s="18"/>
      <c r="B485" s="14">
        <f>IFERROR(__xludf.DUMMYFUNCTION("""COMPUTED_VALUE"""),1183023.0)</f>
        <v>1183023</v>
      </c>
      <c r="C485" s="14" t="str">
        <f>IFERROR(__xludf.DUMMYFUNCTION("""COMPUTED_VALUE"""),"王喬安")</f>
        <v>王喬安</v>
      </c>
      <c r="D485" s="16" t="str">
        <f>IFERROR(__xludf.DUMMYFUNCTION("""COMPUTED_VALUE"""),"sje*****34.ntpc@mail.edu.tw")</f>
        <v>sje*****34.ntpc@mail.edu.tw</v>
      </c>
      <c r="E485" s="17" t="str">
        <f>IFERROR(__xludf.DUMMYFUNCTION("""COMPUTED_VALUE"""),"新北市立育林國民中學")</f>
        <v>新北市立育林國民中學</v>
      </c>
      <c r="F485" s="14" t="str">
        <f>IFERROR(__xludf.DUMMYFUNCTION("""COMPUTED_VALUE"""),"九年級")</f>
        <v>九年級</v>
      </c>
      <c r="G485" s="14" t="str">
        <f>IFERROR(__xludf.DUMMYFUNCTION("""COMPUTED_VALUE"""),"●小禮物")</f>
        <v>●小禮物</v>
      </c>
      <c r="H485" s="8"/>
    </row>
    <row r="486">
      <c r="A486" s="18"/>
      <c r="B486" s="14">
        <f>IFERROR(__xludf.DUMMYFUNCTION("""COMPUTED_VALUE"""),1214900.0)</f>
        <v>1214900</v>
      </c>
      <c r="C486" s="14" t="str">
        <f>IFERROR(__xludf.DUMMYFUNCTION("""COMPUTED_VALUE"""),"呂宜囿")</f>
        <v>呂宜囿</v>
      </c>
      <c r="D486" s="16" t="str">
        <f>IFERROR(__xludf.DUMMYFUNCTION("""COMPUTED_VALUE"""),"slp*****67.ntpc@mail.edu.tw")</f>
        <v>slp*****67.ntpc@mail.edu.tw</v>
      </c>
      <c r="E486" s="17" t="str">
        <f>IFERROR(__xludf.DUMMYFUNCTION("""COMPUTED_VALUE"""),"新北市立育林國民中學")</f>
        <v>新北市立育林國民中學</v>
      </c>
      <c r="F486" s="14" t="str">
        <f>IFERROR(__xludf.DUMMYFUNCTION("""COMPUTED_VALUE"""),"九年級")</f>
        <v>九年級</v>
      </c>
      <c r="G486" s="14" t="str">
        <f>IFERROR(__xludf.DUMMYFUNCTION("""COMPUTED_VALUE"""),"●小禮物")</f>
        <v>●小禮物</v>
      </c>
      <c r="H486" s="8"/>
    </row>
    <row r="487">
      <c r="A487" s="18"/>
      <c r="B487" s="14">
        <f>IFERROR(__xludf.DUMMYFUNCTION("""COMPUTED_VALUE"""),1183002.0)</f>
        <v>1183002</v>
      </c>
      <c r="C487" s="14" t="str">
        <f>IFERROR(__xludf.DUMMYFUNCTION("""COMPUTED_VALUE"""),"卓燁輝")</f>
        <v>卓燁輝</v>
      </c>
      <c r="D487" s="16" t="str">
        <f>IFERROR(__xludf.DUMMYFUNCTION("""COMPUTED_VALUE"""),"slp*****53.ntpc@mail.edu.tw")</f>
        <v>slp*****53.ntpc@mail.edu.tw</v>
      </c>
      <c r="E487" s="17" t="str">
        <f>IFERROR(__xludf.DUMMYFUNCTION("""COMPUTED_VALUE"""),"新北市立育林國民中學")</f>
        <v>新北市立育林國民中學</v>
      </c>
      <c r="F487" s="14" t="str">
        <f>IFERROR(__xludf.DUMMYFUNCTION("""COMPUTED_VALUE"""),"九年級")</f>
        <v>九年級</v>
      </c>
      <c r="G487" s="14" t="str">
        <f>IFERROR(__xludf.DUMMYFUNCTION("""COMPUTED_VALUE"""),"●小禮物")</f>
        <v>●小禮物</v>
      </c>
      <c r="H487" s="8"/>
    </row>
    <row r="488">
      <c r="A488" s="18"/>
      <c r="B488" s="14">
        <f>IFERROR(__xludf.DUMMYFUNCTION("""COMPUTED_VALUE"""),1183003.0)</f>
        <v>1183003</v>
      </c>
      <c r="C488" s="14" t="str">
        <f>IFERROR(__xludf.DUMMYFUNCTION("""COMPUTED_VALUE"""),"唐嘉妏")</f>
        <v>唐嘉妏</v>
      </c>
      <c r="D488" s="16" t="str">
        <f>IFERROR(__xludf.DUMMYFUNCTION("""COMPUTED_VALUE"""),"slp*****60.ntpc@mail.edu.tw")</f>
        <v>slp*****60.ntpc@mail.edu.tw</v>
      </c>
      <c r="E488" s="17" t="str">
        <f>IFERROR(__xludf.DUMMYFUNCTION("""COMPUTED_VALUE"""),"新北市立育林國民中學")</f>
        <v>新北市立育林國民中學</v>
      </c>
      <c r="F488" s="14" t="str">
        <f>IFERROR(__xludf.DUMMYFUNCTION("""COMPUTED_VALUE"""),"九年級")</f>
        <v>九年級</v>
      </c>
      <c r="G488" s="14" t="str">
        <f>IFERROR(__xludf.DUMMYFUNCTION("""COMPUTED_VALUE"""),"●小禮物")</f>
        <v>●小禮物</v>
      </c>
      <c r="H488" s="8"/>
    </row>
    <row r="489">
      <c r="A489" s="18"/>
      <c r="B489" s="14">
        <f>IFERROR(__xludf.DUMMYFUNCTION("""COMPUTED_VALUE"""),1183090.0)</f>
        <v>1183090</v>
      </c>
      <c r="C489" s="14" t="str">
        <f>IFERROR(__xludf.DUMMYFUNCTION("""COMPUTED_VALUE"""),"孫麒崴")</f>
        <v>孫麒崴</v>
      </c>
      <c r="D489" s="16" t="str">
        <f>IFERROR(__xludf.DUMMYFUNCTION("""COMPUTED_VALUE"""),"slp*****54.ntpc@mail.edu.tw")</f>
        <v>slp*****54.ntpc@mail.edu.tw</v>
      </c>
      <c r="E489" s="17" t="str">
        <f>IFERROR(__xludf.DUMMYFUNCTION("""COMPUTED_VALUE"""),"新北市立育林國民中學")</f>
        <v>新北市立育林國民中學</v>
      </c>
      <c r="F489" s="14" t="str">
        <f>IFERROR(__xludf.DUMMYFUNCTION("""COMPUTED_VALUE"""),"九年級")</f>
        <v>九年級</v>
      </c>
      <c r="G489" s="14" t="str">
        <f>IFERROR(__xludf.DUMMYFUNCTION("""COMPUTED_VALUE"""),"●小禮物")</f>
        <v>●小禮物</v>
      </c>
      <c r="H489" s="8"/>
    </row>
    <row r="490">
      <c r="A490" s="18"/>
      <c r="B490" s="14">
        <f>IFERROR(__xludf.DUMMYFUNCTION("""COMPUTED_VALUE"""),1183004.0)</f>
        <v>1183004</v>
      </c>
      <c r="C490" s="14" t="str">
        <f>IFERROR(__xludf.DUMMYFUNCTION("""COMPUTED_VALUE"""),"陳芳妤")</f>
        <v>陳芳妤</v>
      </c>
      <c r="D490" s="16" t="str">
        <f>IFERROR(__xludf.DUMMYFUNCTION("""COMPUTED_VALUE"""),"slp*****82.ntpc@mail.edu.tw")</f>
        <v>slp*****82.ntpc@mail.edu.tw</v>
      </c>
      <c r="E490" s="17" t="str">
        <f>IFERROR(__xludf.DUMMYFUNCTION("""COMPUTED_VALUE"""),"新北市立育林國民中學")</f>
        <v>新北市立育林國民中學</v>
      </c>
      <c r="F490" s="14" t="str">
        <f>IFERROR(__xludf.DUMMYFUNCTION("""COMPUTED_VALUE"""),"九年級")</f>
        <v>九年級</v>
      </c>
      <c r="G490" s="14" t="str">
        <f>IFERROR(__xludf.DUMMYFUNCTION("""COMPUTED_VALUE"""),"●小禮物")</f>
        <v>●小禮物</v>
      </c>
      <c r="H490" s="8"/>
    </row>
    <row r="491">
      <c r="A491" s="18"/>
      <c r="B491" s="14">
        <f>IFERROR(__xludf.DUMMYFUNCTION("""COMPUTED_VALUE"""),1183022.0)</f>
        <v>1183022</v>
      </c>
      <c r="C491" s="14" t="str">
        <f>IFERROR(__xludf.DUMMYFUNCTION("""COMPUTED_VALUE"""),"詹安諾")</f>
        <v>詹安諾</v>
      </c>
      <c r="D491" s="16" t="str">
        <f>IFERROR(__xludf.DUMMYFUNCTION("""COMPUTED_VALUE"""),"yy1*****064.ntpc@mail.edu.tw")</f>
        <v>yy1*****064.ntpc@mail.edu.tw</v>
      </c>
      <c r="E491" s="17" t="str">
        <f>IFERROR(__xludf.DUMMYFUNCTION("""COMPUTED_VALUE"""),"新北市立育林國民中學")</f>
        <v>新北市立育林國民中學</v>
      </c>
      <c r="F491" s="14" t="str">
        <f>IFERROR(__xludf.DUMMYFUNCTION("""COMPUTED_VALUE"""),"九年級")</f>
        <v>九年級</v>
      </c>
      <c r="G491" s="14" t="str">
        <f>IFERROR(__xludf.DUMMYFUNCTION("""COMPUTED_VALUE"""),"●小禮物")</f>
        <v>●小禮物</v>
      </c>
      <c r="H491" s="8"/>
    </row>
    <row r="492">
      <c r="A492" s="18"/>
      <c r="B492" s="14">
        <f>IFERROR(__xludf.DUMMYFUNCTION("""COMPUTED_VALUE"""),1183016.0)</f>
        <v>1183016</v>
      </c>
      <c r="C492" s="14" t="str">
        <f>IFERROR(__xludf.DUMMYFUNCTION("""COMPUTED_VALUE"""),"楊宜諠")</f>
        <v>楊宜諠</v>
      </c>
      <c r="D492" s="16" t="str">
        <f>IFERROR(__xludf.DUMMYFUNCTION("""COMPUTED_VALUE"""),"dt1*****17.ntpc@mail.edu.tw")</f>
        <v>dt1*****17.ntpc@mail.edu.tw</v>
      </c>
      <c r="E492" s="17" t="str">
        <f>IFERROR(__xludf.DUMMYFUNCTION("""COMPUTED_VALUE"""),"新北市立育林國民中學")</f>
        <v>新北市立育林國民中學</v>
      </c>
      <c r="F492" s="14" t="str">
        <f>IFERROR(__xludf.DUMMYFUNCTION("""COMPUTED_VALUE"""),"九年級")</f>
        <v>九年級</v>
      </c>
      <c r="G492" s="14" t="str">
        <f>IFERROR(__xludf.DUMMYFUNCTION("""COMPUTED_VALUE"""),"★禮券$200")</f>
        <v>★禮券$200</v>
      </c>
      <c r="H492" s="8"/>
    </row>
    <row r="493">
      <c r="A493" s="18"/>
      <c r="B493" s="14">
        <f>IFERROR(__xludf.DUMMYFUNCTION("""COMPUTED_VALUE"""),1183006.0)</f>
        <v>1183006</v>
      </c>
      <c r="C493" s="14" t="str">
        <f>IFERROR(__xludf.DUMMYFUNCTION("""COMPUTED_VALUE"""),"廖元愷")</f>
        <v>廖元愷</v>
      </c>
      <c r="D493" s="16" t="str">
        <f>IFERROR(__xludf.DUMMYFUNCTION("""COMPUTED_VALUE"""),"sje*****01.ntpc@mail.edu.tw")</f>
        <v>sje*****01.ntpc@mail.edu.tw</v>
      </c>
      <c r="E493" s="17" t="str">
        <f>IFERROR(__xludf.DUMMYFUNCTION("""COMPUTED_VALUE"""),"新北市立育林國民中學")</f>
        <v>新北市立育林國民中學</v>
      </c>
      <c r="F493" s="14" t="str">
        <f>IFERROR(__xludf.DUMMYFUNCTION("""COMPUTED_VALUE"""),"九年級")</f>
        <v>九年級</v>
      </c>
      <c r="G493" s="14" t="str">
        <f>IFERROR(__xludf.DUMMYFUNCTION("""COMPUTED_VALUE"""),"★禮券$200")</f>
        <v>★禮券$200</v>
      </c>
      <c r="H493" s="8"/>
    </row>
    <row r="494">
      <c r="A494" s="18"/>
      <c r="B494" s="14">
        <f>IFERROR(__xludf.DUMMYFUNCTION("""COMPUTED_VALUE"""),1183008.0)</f>
        <v>1183008</v>
      </c>
      <c r="C494" s="14" t="str">
        <f>IFERROR(__xludf.DUMMYFUNCTION("""COMPUTED_VALUE"""),"李湘妍")</f>
        <v>李湘妍</v>
      </c>
      <c r="D494" s="16" t="str">
        <f>IFERROR(__xludf.DUMMYFUNCTION("""COMPUTED_VALUE"""),"lib*****4.ntpc@mail.edu.tw")</f>
        <v>lib*****4.ntpc@mail.edu.tw</v>
      </c>
      <c r="E494" s="17" t="str">
        <f>IFERROR(__xludf.DUMMYFUNCTION("""COMPUTED_VALUE"""),"新北市立育林國民中學")</f>
        <v>新北市立育林國民中學</v>
      </c>
      <c r="F494" s="14" t="str">
        <f>IFERROR(__xludf.DUMMYFUNCTION("""COMPUTED_VALUE"""),"九年級")</f>
        <v>九年級</v>
      </c>
      <c r="G494" s="14" t="str">
        <f>IFERROR(__xludf.DUMMYFUNCTION("""COMPUTED_VALUE"""),"獎狀")</f>
        <v>獎狀</v>
      </c>
      <c r="H494" s="8"/>
    </row>
    <row r="495">
      <c r="A495" s="18"/>
      <c r="B495" s="14">
        <f>IFERROR(__xludf.DUMMYFUNCTION("""COMPUTED_VALUE"""),1183020.0)</f>
        <v>1183020</v>
      </c>
      <c r="C495" s="14" t="str">
        <f>IFERROR(__xludf.DUMMYFUNCTION("""COMPUTED_VALUE"""),"連定豐")</f>
        <v>連定豐</v>
      </c>
      <c r="D495" s="16" t="str">
        <f>IFERROR(__xludf.DUMMYFUNCTION("""COMPUTED_VALUE"""),"slp*****16.ntpc@mail.edu.tw")</f>
        <v>slp*****16.ntpc@mail.edu.tw</v>
      </c>
      <c r="E495" s="17" t="str">
        <f>IFERROR(__xludf.DUMMYFUNCTION("""COMPUTED_VALUE"""),"新北市立育林國民中學")</f>
        <v>新北市立育林國民中學</v>
      </c>
      <c r="F495" s="14" t="str">
        <f>IFERROR(__xludf.DUMMYFUNCTION("""COMPUTED_VALUE"""),"九年級")</f>
        <v>九年級</v>
      </c>
      <c r="G495" s="14" t="str">
        <f>IFERROR(__xludf.DUMMYFUNCTION("""COMPUTED_VALUE"""),"獎狀")</f>
        <v>獎狀</v>
      </c>
      <c r="H495" s="8"/>
    </row>
    <row r="496">
      <c r="A496" s="18"/>
      <c r="B496" s="14">
        <f>IFERROR(__xludf.DUMMYFUNCTION("""COMPUTED_VALUE"""),1183019.0)</f>
        <v>1183019</v>
      </c>
      <c r="C496" s="14" t="str">
        <f>IFERROR(__xludf.DUMMYFUNCTION("""COMPUTED_VALUE"""),"陳亭妤")</f>
        <v>陳亭妤</v>
      </c>
      <c r="D496" s="16" t="str">
        <f>IFERROR(__xludf.DUMMYFUNCTION("""COMPUTED_VALUE"""),"oli*****9.ntpc@mail.edu.tw")</f>
        <v>oli*****9.ntpc@mail.edu.tw</v>
      </c>
      <c r="E496" s="17" t="str">
        <f>IFERROR(__xludf.DUMMYFUNCTION("""COMPUTED_VALUE"""),"新北市立育林國民中學")</f>
        <v>新北市立育林國民中學</v>
      </c>
      <c r="F496" s="14" t="str">
        <f>IFERROR(__xludf.DUMMYFUNCTION("""COMPUTED_VALUE"""),"九年級")</f>
        <v>九年級</v>
      </c>
      <c r="G496" s="14" t="str">
        <f>IFERROR(__xludf.DUMMYFUNCTION("""COMPUTED_VALUE"""),"獎狀")</f>
        <v>獎狀</v>
      </c>
      <c r="H496" s="8"/>
    </row>
    <row r="497">
      <c r="A497" s="18"/>
      <c r="B497" s="14">
        <f>IFERROR(__xludf.DUMMYFUNCTION("""COMPUTED_VALUE"""),1183007.0)</f>
        <v>1183007</v>
      </c>
      <c r="C497" s="14" t="str">
        <f>IFERROR(__xludf.DUMMYFUNCTION("""COMPUTED_VALUE"""),"黃彤恩")</f>
        <v>黃彤恩</v>
      </c>
      <c r="D497" s="16" t="str">
        <f>IFERROR(__xludf.DUMMYFUNCTION("""COMPUTED_VALUE"""),"yy1*****060.ntpc@mail.edu.tw")</f>
        <v>yy1*****060.ntpc@mail.edu.tw</v>
      </c>
      <c r="E497" s="17" t="str">
        <f>IFERROR(__xludf.DUMMYFUNCTION("""COMPUTED_VALUE"""),"新北市立育林國民中學")</f>
        <v>新北市立育林國民中學</v>
      </c>
      <c r="F497" s="14" t="str">
        <f>IFERROR(__xludf.DUMMYFUNCTION("""COMPUTED_VALUE"""),"九年級")</f>
        <v>九年級</v>
      </c>
      <c r="G497" s="14" t="str">
        <f>IFERROR(__xludf.DUMMYFUNCTION("""COMPUTED_VALUE"""),"獎狀")</f>
        <v>獎狀</v>
      </c>
      <c r="H497" s="8"/>
    </row>
    <row r="498">
      <c r="A498" s="18"/>
      <c r="B498" s="14">
        <f>IFERROR(__xludf.DUMMYFUNCTION("""COMPUTED_VALUE"""),1183013.0)</f>
        <v>1183013</v>
      </c>
      <c r="C498" s="14" t="str">
        <f>IFERROR(__xludf.DUMMYFUNCTION("""COMPUTED_VALUE"""),"鍾汶廷")</f>
        <v>鍾汶廷</v>
      </c>
      <c r="D498" s="16" t="str">
        <f>IFERROR(__xludf.DUMMYFUNCTION("""COMPUTED_VALUE"""),"dt1*****13.ntpc@mail.edu.tw")</f>
        <v>dt1*****13.ntpc@mail.edu.tw</v>
      </c>
      <c r="E498" s="17" t="str">
        <f>IFERROR(__xludf.DUMMYFUNCTION("""COMPUTED_VALUE"""),"新北市立育林國民中學")</f>
        <v>新北市立育林國民中學</v>
      </c>
      <c r="F498" s="14" t="str">
        <f>IFERROR(__xludf.DUMMYFUNCTION("""COMPUTED_VALUE"""),"九年級")</f>
        <v>九年級</v>
      </c>
      <c r="G498" s="14" t="str">
        <f>IFERROR(__xludf.DUMMYFUNCTION("""COMPUTED_VALUE"""),"●小禮物")</f>
        <v>●小禮物</v>
      </c>
      <c r="H498" s="8"/>
    </row>
    <row r="499">
      <c r="A499" s="18"/>
      <c r="B499" s="14">
        <f>IFERROR(__xludf.DUMMYFUNCTION("""COMPUTED_VALUE"""),1182605.0)</f>
        <v>1182605</v>
      </c>
      <c r="C499" s="14" t="str">
        <f>IFERROR(__xludf.DUMMYFUNCTION("""COMPUTED_VALUE"""),"李善真")</f>
        <v>李善真</v>
      </c>
      <c r="D499" s="16" t="str">
        <f>IFERROR(__xludf.DUMMYFUNCTION("""COMPUTED_VALUE"""),"w10*****ntpc@mail.edu.tw")</f>
        <v>w10*****ntpc@mail.edu.tw</v>
      </c>
      <c r="E499" s="17" t="str">
        <f>IFERROR(__xludf.DUMMYFUNCTION("""COMPUTED_VALUE"""),"新北市立育林國民中學")</f>
        <v>新北市立育林國民中學</v>
      </c>
      <c r="F499" s="14" t="str">
        <f>IFERROR(__xludf.DUMMYFUNCTION("""COMPUTED_VALUE"""),"九年級")</f>
        <v>九年級</v>
      </c>
      <c r="G499" s="14" t="str">
        <f>IFERROR(__xludf.DUMMYFUNCTION("""COMPUTED_VALUE"""),"●小禮物")</f>
        <v>●小禮物</v>
      </c>
      <c r="H499" s="8"/>
    </row>
    <row r="500">
      <c r="A500" s="18"/>
      <c r="B500" s="14">
        <f>IFERROR(__xludf.DUMMYFUNCTION("""COMPUTED_VALUE"""),1182581.0)</f>
        <v>1182581</v>
      </c>
      <c r="C500" s="14" t="str">
        <f>IFERROR(__xludf.DUMMYFUNCTION("""COMPUTED_VALUE"""),"沈采璇")</f>
        <v>沈采璇</v>
      </c>
      <c r="D500" s="16" t="str">
        <f>IFERROR(__xludf.DUMMYFUNCTION("""COMPUTED_VALUE"""),"dt1*****23.ntpc@mail.edu.tw")</f>
        <v>dt1*****23.ntpc@mail.edu.tw</v>
      </c>
      <c r="E500" s="17" t="str">
        <f>IFERROR(__xludf.DUMMYFUNCTION("""COMPUTED_VALUE"""),"新北市立育林國民中學")</f>
        <v>新北市立育林國民中學</v>
      </c>
      <c r="F500" s="14" t="str">
        <f>IFERROR(__xludf.DUMMYFUNCTION("""COMPUTED_VALUE"""),"九年級")</f>
        <v>九年級</v>
      </c>
      <c r="G500" s="14" t="str">
        <f>IFERROR(__xludf.DUMMYFUNCTION("""COMPUTED_VALUE"""),"●小禮物")</f>
        <v>●小禮物</v>
      </c>
      <c r="H500" s="8"/>
    </row>
    <row r="501">
      <c r="A501" s="18"/>
      <c r="B501" s="14">
        <f>IFERROR(__xludf.DUMMYFUNCTION("""COMPUTED_VALUE"""),1182636.0)</f>
        <v>1182636</v>
      </c>
      <c r="C501" s="14" t="str">
        <f>IFERROR(__xludf.DUMMYFUNCTION("""COMPUTED_VALUE"""),"楊政憲")</f>
        <v>楊政憲</v>
      </c>
      <c r="D501" s="16" t="str">
        <f>IFERROR(__xludf.DUMMYFUNCTION("""COMPUTED_VALUE"""),"yjs*****ntpc@mail.edu.tw")</f>
        <v>yjs*****ntpc@mail.edu.tw</v>
      </c>
      <c r="E501" s="17" t="str">
        <f>IFERROR(__xludf.DUMMYFUNCTION("""COMPUTED_VALUE"""),"新北市立育林國民中學")</f>
        <v>新北市立育林國民中學</v>
      </c>
      <c r="F501" s="14" t="str">
        <f>IFERROR(__xludf.DUMMYFUNCTION("""COMPUTED_VALUE"""),"九年級")</f>
        <v>九年級</v>
      </c>
      <c r="G501" s="14" t="str">
        <f>IFERROR(__xludf.DUMMYFUNCTION("""COMPUTED_VALUE"""),"●小禮物")</f>
        <v>●小禮物</v>
      </c>
      <c r="H501" s="8"/>
    </row>
    <row r="502">
      <c r="A502" s="18"/>
      <c r="B502" s="14">
        <f>IFERROR(__xludf.DUMMYFUNCTION("""COMPUTED_VALUE"""),1182641.0)</f>
        <v>1182641</v>
      </c>
      <c r="C502" s="14" t="str">
        <f>IFERROR(__xludf.DUMMYFUNCTION("""COMPUTED_VALUE"""),"賴品妤")</f>
        <v>賴品妤</v>
      </c>
      <c r="D502" s="16" t="str">
        <f>IFERROR(__xludf.DUMMYFUNCTION("""COMPUTED_VALUE"""),"slp*****62.ntpc@mail.edu.tw")</f>
        <v>slp*****62.ntpc@mail.edu.tw</v>
      </c>
      <c r="E502" s="17" t="str">
        <f>IFERROR(__xludf.DUMMYFUNCTION("""COMPUTED_VALUE"""),"新北市立育林國民中學")</f>
        <v>新北市立育林國民中學</v>
      </c>
      <c r="F502" s="14" t="str">
        <f>IFERROR(__xludf.DUMMYFUNCTION("""COMPUTED_VALUE"""),"九年級")</f>
        <v>九年級</v>
      </c>
      <c r="G502" s="14" t="str">
        <f>IFERROR(__xludf.DUMMYFUNCTION("""COMPUTED_VALUE"""),"●小禮物")</f>
        <v>●小禮物</v>
      </c>
      <c r="H502" s="8"/>
    </row>
    <row r="503">
      <c r="A503" s="18"/>
      <c r="B503" s="14">
        <f>IFERROR(__xludf.DUMMYFUNCTION("""COMPUTED_VALUE"""),1182582.0)</f>
        <v>1182582</v>
      </c>
      <c r="C503" s="14" t="str">
        <f>IFERROR(__xludf.DUMMYFUNCTION("""COMPUTED_VALUE"""),"簡宏哲")</f>
        <v>簡宏哲</v>
      </c>
      <c r="D503" s="16" t="str">
        <f>IFERROR(__xludf.DUMMYFUNCTION("""COMPUTED_VALUE"""),"pf1*****@apps.ntpc.edu.tw")</f>
        <v>pf1*****@apps.ntpc.edu.tw</v>
      </c>
      <c r="E503" s="17" t="str">
        <f>IFERROR(__xludf.DUMMYFUNCTION("""COMPUTED_VALUE"""),"新北市立育林國民中學")</f>
        <v>新北市立育林國民中學</v>
      </c>
      <c r="F503" s="14" t="str">
        <f>IFERROR(__xludf.DUMMYFUNCTION("""COMPUTED_VALUE"""),"九年級")</f>
        <v>九年級</v>
      </c>
      <c r="G503" s="14" t="str">
        <f>IFERROR(__xludf.DUMMYFUNCTION("""COMPUTED_VALUE"""),"●小禮物")</f>
        <v>●小禮物</v>
      </c>
      <c r="H503" s="8"/>
    </row>
    <row r="504">
      <c r="A504" s="18"/>
      <c r="B504" s="14">
        <f>IFERROR(__xludf.DUMMYFUNCTION("""COMPUTED_VALUE"""),157631.0)</f>
        <v>157631</v>
      </c>
      <c r="C504" s="14" t="str">
        <f>IFERROR(__xludf.DUMMYFUNCTION("""COMPUTED_VALUE"""),"蔡亞倖")</f>
        <v>蔡亞倖</v>
      </c>
      <c r="D504" s="16" t="str">
        <f>IFERROR(__xludf.DUMMYFUNCTION("""COMPUTED_VALUE"""),"pf1*****.ntpc@mail.edu.tw")</f>
        <v>pf1*****.ntpc@mail.edu.tw</v>
      </c>
      <c r="E504" s="17" t="str">
        <f>IFERROR(__xludf.DUMMYFUNCTION("""COMPUTED_VALUE"""),"新北市立育林國民中學")</f>
        <v>新北市立育林國民中學</v>
      </c>
      <c r="F504" s="14" t="str">
        <f>IFERROR(__xludf.DUMMYFUNCTION("""COMPUTED_VALUE"""),"九年級")</f>
        <v>九年級</v>
      </c>
      <c r="G504" s="14" t="str">
        <f>IFERROR(__xludf.DUMMYFUNCTION("""COMPUTED_VALUE"""),"★禮券$200")</f>
        <v>★禮券$200</v>
      </c>
      <c r="H504" s="8"/>
    </row>
    <row r="505">
      <c r="A505" s="18"/>
      <c r="B505" s="14">
        <f>IFERROR(__xludf.DUMMYFUNCTION("""COMPUTED_VALUE"""),1182599.0)</f>
        <v>1182599</v>
      </c>
      <c r="C505" s="14" t="str">
        <f>IFERROR(__xludf.DUMMYFUNCTION("""COMPUTED_VALUE"""),"黃資頤")</f>
        <v>黃資頤</v>
      </c>
      <c r="D505" s="16" t="str">
        <f>IFERROR(__xludf.DUMMYFUNCTION("""COMPUTED_VALUE"""),"m97*****ntpc@mail.edu.tw")</f>
        <v>m97*****ntpc@mail.edu.tw</v>
      </c>
      <c r="E505" s="17" t="str">
        <f>IFERROR(__xludf.DUMMYFUNCTION("""COMPUTED_VALUE"""),"新北市立育林國民中學")</f>
        <v>新北市立育林國民中學</v>
      </c>
      <c r="F505" s="14" t="str">
        <f>IFERROR(__xludf.DUMMYFUNCTION("""COMPUTED_VALUE"""),"九年級")</f>
        <v>九年級</v>
      </c>
      <c r="G505" s="14" t="str">
        <f>IFERROR(__xludf.DUMMYFUNCTION("""COMPUTED_VALUE"""),"獎狀")</f>
        <v>獎狀</v>
      </c>
      <c r="H505" s="8"/>
    </row>
    <row r="506">
      <c r="A506" s="18"/>
      <c r="B506" s="14">
        <f>IFERROR(__xludf.DUMMYFUNCTION("""COMPUTED_VALUE"""),1182589.0)</f>
        <v>1182589</v>
      </c>
      <c r="C506" s="14" t="str">
        <f>IFERROR(__xludf.DUMMYFUNCTION("""COMPUTED_VALUE"""),"萬采穎")</f>
        <v>萬采穎</v>
      </c>
      <c r="D506" s="16" t="str">
        <f>IFERROR(__xludf.DUMMYFUNCTION("""COMPUTED_VALUE"""),"slp*****61.ntpc@mail.edu.tw")</f>
        <v>slp*****61.ntpc@mail.edu.tw</v>
      </c>
      <c r="E506" s="17" t="str">
        <f>IFERROR(__xludf.DUMMYFUNCTION("""COMPUTED_VALUE"""),"新北市立育林國民中學")</f>
        <v>新北市立育林國民中學</v>
      </c>
      <c r="F506" s="14" t="str">
        <f>IFERROR(__xludf.DUMMYFUNCTION("""COMPUTED_VALUE"""),"九年級")</f>
        <v>九年級</v>
      </c>
      <c r="G506" s="14" t="str">
        <f>IFERROR(__xludf.DUMMYFUNCTION("""COMPUTED_VALUE"""),"獎狀")</f>
        <v>獎狀</v>
      </c>
      <c r="H506" s="8"/>
    </row>
    <row r="507">
      <c r="A507" s="18"/>
      <c r="B507" s="14">
        <f>IFERROR(__xludf.DUMMYFUNCTION("""COMPUTED_VALUE"""),1182579.0)</f>
        <v>1182579</v>
      </c>
      <c r="C507" s="14" t="str">
        <f>IFERROR(__xludf.DUMMYFUNCTION("""COMPUTED_VALUE"""),"蔡定穎")</f>
        <v>蔡定穎</v>
      </c>
      <c r="D507" s="16" t="str">
        <f>IFERROR(__xludf.DUMMYFUNCTION("""COMPUTED_VALUE"""),"slp*****45.ntpc@mail.edu.tw")</f>
        <v>slp*****45.ntpc@mail.edu.tw</v>
      </c>
      <c r="E507" s="17" t="str">
        <f>IFERROR(__xludf.DUMMYFUNCTION("""COMPUTED_VALUE"""),"新北市立育林國民中學")</f>
        <v>新北市立育林國民中學</v>
      </c>
      <c r="F507" s="14" t="str">
        <f>IFERROR(__xludf.DUMMYFUNCTION("""COMPUTED_VALUE"""),"九年級")</f>
        <v>九年級</v>
      </c>
      <c r="G507" s="14" t="str">
        <f>IFERROR(__xludf.DUMMYFUNCTION("""COMPUTED_VALUE"""),"獎狀")</f>
        <v>獎狀</v>
      </c>
      <c r="H507" s="8"/>
    </row>
    <row r="508">
      <c r="A508" s="18"/>
      <c r="B508" s="14">
        <f>IFERROR(__xludf.DUMMYFUNCTION("""COMPUTED_VALUE"""),825555.0)</f>
        <v>825555</v>
      </c>
      <c r="C508" s="14" t="str">
        <f>IFERROR(__xludf.DUMMYFUNCTION("""COMPUTED_VALUE"""),"紀宛妤")</f>
        <v>紀宛妤</v>
      </c>
      <c r="D508" s="16" t="str">
        <f>IFERROR(__xludf.DUMMYFUNCTION("""COMPUTED_VALUE"""),"pf1*****.ntpc@mail.edu.tw")</f>
        <v>pf1*****.ntpc@mail.edu.tw</v>
      </c>
      <c r="E508" s="17" t="str">
        <f>IFERROR(__xludf.DUMMYFUNCTION("""COMPUTED_VALUE"""),"新北市立育林國民中學")</f>
        <v>新北市立育林國民中學</v>
      </c>
      <c r="F508" s="14" t="str">
        <f>IFERROR(__xludf.DUMMYFUNCTION("""COMPUTED_VALUE"""),"九年級")</f>
        <v>九年級</v>
      </c>
      <c r="G508" s="14" t="str">
        <f>IFERROR(__xludf.DUMMYFUNCTION("""COMPUTED_VALUE"""),"●小禮物")</f>
        <v>●小禮物</v>
      </c>
      <c r="H508" s="8"/>
    </row>
    <row r="509">
      <c r="A509" s="18"/>
      <c r="B509" s="14">
        <f>IFERROR(__xludf.DUMMYFUNCTION("""COMPUTED_VALUE"""),825458.0)</f>
        <v>825458</v>
      </c>
      <c r="C509" s="14" t="str">
        <f>IFERROR(__xludf.DUMMYFUNCTION("""COMPUTED_VALUE"""),"高鶴芩")</f>
        <v>高鶴芩</v>
      </c>
      <c r="D509" s="16" t="str">
        <f>IFERROR(__xludf.DUMMYFUNCTION("""COMPUTED_VALUE"""),"joa*****.ntpc@mail.edu.tw")</f>
        <v>joa*****.ntpc@mail.edu.tw</v>
      </c>
      <c r="E509" s="17" t="str">
        <f>IFERROR(__xludf.DUMMYFUNCTION("""COMPUTED_VALUE"""),"新北市立育林國民中學")</f>
        <v>新北市立育林國民中學</v>
      </c>
      <c r="F509" s="14" t="str">
        <f>IFERROR(__xludf.DUMMYFUNCTION("""COMPUTED_VALUE"""),"九年級")</f>
        <v>九年級</v>
      </c>
      <c r="G509" s="14" t="str">
        <f>IFERROR(__xludf.DUMMYFUNCTION("""COMPUTED_VALUE"""),"●小禮物")</f>
        <v>●小禮物</v>
      </c>
      <c r="H509" s="8"/>
    </row>
    <row r="510">
      <c r="A510" s="18"/>
      <c r="B510" s="14">
        <f>IFERROR(__xludf.DUMMYFUNCTION("""COMPUTED_VALUE"""),825635.0)</f>
        <v>825635</v>
      </c>
      <c r="C510" s="14" t="str">
        <f>IFERROR(__xludf.DUMMYFUNCTION("""COMPUTED_VALUE"""),"陳靖臻")</f>
        <v>陳靖臻</v>
      </c>
      <c r="D510" s="16" t="str">
        <f>IFERROR(__xludf.DUMMYFUNCTION("""COMPUTED_VALUE"""),"slp*****37.ntpc@mail.edu.tw")</f>
        <v>slp*****37.ntpc@mail.edu.tw</v>
      </c>
      <c r="E510" s="17" t="str">
        <f>IFERROR(__xludf.DUMMYFUNCTION("""COMPUTED_VALUE"""),"新北市立育林國民中學")</f>
        <v>新北市立育林國民中學</v>
      </c>
      <c r="F510" s="14" t="str">
        <f>IFERROR(__xludf.DUMMYFUNCTION("""COMPUTED_VALUE"""),"九年級")</f>
        <v>九年級</v>
      </c>
      <c r="G510" s="14" t="str">
        <f>IFERROR(__xludf.DUMMYFUNCTION("""COMPUTED_VALUE"""),"●小禮物")</f>
        <v>●小禮物</v>
      </c>
      <c r="H510" s="8"/>
    </row>
    <row r="511">
      <c r="A511" s="18"/>
      <c r="B511" s="14">
        <f>IFERROR(__xludf.DUMMYFUNCTION("""COMPUTED_VALUE"""),825466.0)</f>
        <v>825466</v>
      </c>
      <c r="C511" s="14" t="str">
        <f>IFERROR(__xludf.DUMMYFUNCTION("""COMPUTED_VALUE"""),"鄧禮美")</f>
        <v>鄧禮美</v>
      </c>
      <c r="D511" s="16" t="str">
        <f>IFERROR(__xludf.DUMMYFUNCTION("""COMPUTED_VALUE"""),"may*****.ntpc@mail.edu.tw")</f>
        <v>may*****.ntpc@mail.edu.tw</v>
      </c>
      <c r="E511" s="17" t="str">
        <f>IFERROR(__xludf.DUMMYFUNCTION("""COMPUTED_VALUE"""),"新北市立育林國民中學")</f>
        <v>新北市立育林國民中學</v>
      </c>
      <c r="F511" s="14" t="str">
        <f>IFERROR(__xludf.DUMMYFUNCTION("""COMPUTED_VALUE"""),"九年級")</f>
        <v>九年級</v>
      </c>
      <c r="G511" s="14" t="str">
        <f>IFERROR(__xludf.DUMMYFUNCTION("""COMPUTED_VALUE"""),"●小禮物")</f>
        <v>●小禮物</v>
      </c>
      <c r="H511" s="8"/>
    </row>
    <row r="512">
      <c r="A512" s="18"/>
      <c r="B512" s="14">
        <f>IFERROR(__xludf.DUMMYFUNCTION("""COMPUTED_VALUE"""),825539.0)</f>
        <v>825539</v>
      </c>
      <c r="C512" s="14" t="str">
        <f>IFERROR(__xludf.DUMMYFUNCTION("""COMPUTED_VALUE"""),"林葉錡")</f>
        <v>林葉錡</v>
      </c>
      <c r="D512" s="16" t="str">
        <f>IFERROR(__xludf.DUMMYFUNCTION("""COMPUTED_VALUE"""),"slp*****51.ntpc@mail.edu.tw")</f>
        <v>slp*****51.ntpc@mail.edu.tw</v>
      </c>
      <c r="E512" s="17" t="str">
        <f>IFERROR(__xludf.DUMMYFUNCTION("""COMPUTED_VALUE"""),"新北市立育林國民中學")</f>
        <v>新北市立育林國民中學</v>
      </c>
      <c r="F512" s="14" t="str">
        <f>IFERROR(__xludf.DUMMYFUNCTION("""COMPUTED_VALUE"""),"九年級")</f>
        <v>九年級</v>
      </c>
      <c r="G512" s="14" t="str">
        <f>IFERROR(__xludf.DUMMYFUNCTION("""COMPUTED_VALUE"""),"★禮券$200")</f>
        <v>★禮券$200</v>
      </c>
      <c r="H512" s="8"/>
    </row>
    <row r="513">
      <c r="A513" s="18"/>
      <c r="B513" s="14">
        <f>IFERROR(__xludf.DUMMYFUNCTION("""COMPUTED_VALUE"""),825552.0)</f>
        <v>825552</v>
      </c>
      <c r="C513" s="14" t="str">
        <f>IFERROR(__xludf.DUMMYFUNCTION("""COMPUTED_VALUE"""),"李又沂")</f>
        <v>李又沂</v>
      </c>
      <c r="D513" s="16" t="str">
        <f>IFERROR(__xludf.DUMMYFUNCTION("""COMPUTED_VALUE"""),"els*****6.ntpc@mail.edu.tw")</f>
        <v>els*****6.ntpc@mail.edu.tw</v>
      </c>
      <c r="E513" s="17" t="str">
        <f>IFERROR(__xludf.DUMMYFUNCTION("""COMPUTED_VALUE"""),"新北市立育林國民中學")</f>
        <v>新北市立育林國民中學</v>
      </c>
      <c r="F513" s="14" t="str">
        <f>IFERROR(__xludf.DUMMYFUNCTION("""COMPUTED_VALUE"""),"九年級")</f>
        <v>九年級</v>
      </c>
      <c r="G513" s="14" t="str">
        <f>IFERROR(__xludf.DUMMYFUNCTION("""COMPUTED_VALUE"""),"獎狀")</f>
        <v>獎狀</v>
      </c>
      <c r="H513" s="8"/>
    </row>
    <row r="514">
      <c r="A514" s="18"/>
      <c r="B514" s="14">
        <f>IFERROR(__xludf.DUMMYFUNCTION("""COMPUTED_VALUE"""),825553.0)</f>
        <v>825553</v>
      </c>
      <c r="C514" s="14" t="str">
        <f>IFERROR(__xludf.DUMMYFUNCTION("""COMPUTED_VALUE"""),"沈芳誼")</f>
        <v>沈芳誼</v>
      </c>
      <c r="D514" s="16" t="str">
        <f>IFERROR(__xludf.DUMMYFUNCTION("""COMPUTED_VALUE"""),"yvo*****0825@mail.edu.tw")</f>
        <v>yvo*****0825@mail.edu.tw</v>
      </c>
      <c r="E514" s="17" t="str">
        <f>IFERROR(__xludf.DUMMYFUNCTION("""COMPUTED_VALUE"""),"新北市立育林國民中學")</f>
        <v>新北市立育林國民中學</v>
      </c>
      <c r="F514" s="14" t="str">
        <f>IFERROR(__xludf.DUMMYFUNCTION("""COMPUTED_VALUE"""),"九年級")</f>
        <v>九年級</v>
      </c>
      <c r="G514" s="14" t="str">
        <f>IFERROR(__xludf.DUMMYFUNCTION("""COMPUTED_VALUE"""),"獎狀")</f>
        <v>獎狀</v>
      </c>
      <c r="H514" s="8"/>
    </row>
    <row r="515">
      <c r="A515" s="18"/>
      <c r="B515" s="14">
        <f>IFERROR(__xludf.DUMMYFUNCTION("""COMPUTED_VALUE"""),1180228.0)</f>
        <v>1180228</v>
      </c>
      <c r="C515" s="14" t="str">
        <f>IFERROR(__xludf.DUMMYFUNCTION("""COMPUTED_VALUE"""),"林亞欣")</f>
        <v>林亞欣</v>
      </c>
      <c r="D515" s="16" t="str">
        <f>IFERROR(__xludf.DUMMYFUNCTION("""COMPUTED_VALUE"""),"slp*****10.ntpc@mail.edu.tw")</f>
        <v>slp*****10.ntpc@mail.edu.tw</v>
      </c>
      <c r="E515" s="17" t="str">
        <f>IFERROR(__xludf.DUMMYFUNCTION("""COMPUTED_VALUE"""),"新北市立育林國民中學")</f>
        <v>新北市立育林國民中學</v>
      </c>
      <c r="F515" s="14" t="str">
        <f>IFERROR(__xludf.DUMMYFUNCTION("""COMPUTED_VALUE"""),"九年級")</f>
        <v>九年級</v>
      </c>
      <c r="G515" s="14" t="str">
        <f>IFERROR(__xludf.DUMMYFUNCTION("""COMPUTED_VALUE"""),"獎狀")</f>
        <v>獎狀</v>
      </c>
      <c r="H515" s="8"/>
    </row>
    <row r="516">
      <c r="A516" s="18"/>
      <c r="B516" s="14">
        <f>IFERROR(__xludf.DUMMYFUNCTION("""COMPUTED_VALUE"""),825462.0)</f>
        <v>825462</v>
      </c>
      <c r="C516" s="14" t="str">
        <f>IFERROR(__xludf.DUMMYFUNCTION("""COMPUTED_VALUE"""),"張宥翎")</f>
        <v>張宥翎</v>
      </c>
      <c r="D516" s="16" t="str">
        <f>IFERROR(__xludf.DUMMYFUNCTION("""COMPUTED_VALUE"""),"slp*****56.ntpc@mail.edu.tw")</f>
        <v>slp*****56.ntpc@mail.edu.tw</v>
      </c>
      <c r="E516" s="17" t="str">
        <f>IFERROR(__xludf.DUMMYFUNCTION("""COMPUTED_VALUE"""),"新北市立育林國民中學")</f>
        <v>新北市立育林國民中學</v>
      </c>
      <c r="F516" s="14" t="str">
        <f>IFERROR(__xludf.DUMMYFUNCTION("""COMPUTED_VALUE"""),"九年級")</f>
        <v>九年級</v>
      </c>
      <c r="G516" s="14" t="str">
        <f>IFERROR(__xludf.DUMMYFUNCTION("""COMPUTED_VALUE"""),"獎狀")</f>
        <v>獎狀</v>
      </c>
      <c r="H516" s="8"/>
    </row>
    <row r="517">
      <c r="A517" s="18"/>
      <c r="B517" s="14">
        <f>IFERROR(__xludf.DUMMYFUNCTION("""COMPUTED_VALUE"""),825542.0)</f>
        <v>825542</v>
      </c>
      <c r="C517" s="14" t="str">
        <f>IFERROR(__xludf.DUMMYFUNCTION("""COMPUTED_VALUE"""),"陳怡伶")</f>
        <v>陳怡伶</v>
      </c>
      <c r="D517" s="16" t="str">
        <f>IFERROR(__xludf.DUMMYFUNCTION("""COMPUTED_VALUE"""),"yy1*****035.ntpc@mail.edu.tw")</f>
        <v>yy1*****035.ntpc@mail.edu.tw</v>
      </c>
      <c r="E517" s="17" t="str">
        <f>IFERROR(__xludf.DUMMYFUNCTION("""COMPUTED_VALUE"""),"新北市立育林國民中學")</f>
        <v>新北市立育林國民中學</v>
      </c>
      <c r="F517" s="14" t="str">
        <f>IFERROR(__xludf.DUMMYFUNCTION("""COMPUTED_VALUE"""),"九年級")</f>
        <v>九年級</v>
      </c>
      <c r="G517" s="14" t="str">
        <f>IFERROR(__xludf.DUMMYFUNCTION("""COMPUTED_VALUE"""),"獎狀")</f>
        <v>獎狀</v>
      </c>
      <c r="H517" s="8"/>
    </row>
    <row r="518">
      <c r="A518" s="18"/>
      <c r="B518" s="14">
        <f>IFERROR(__xludf.DUMMYFUNCTION("""COMPUTED_VALUE"""),825543.0)</f>
        <v>825543</v>
      </c>
      <c r="C518" s="14" t="str">
        <f>IFERROR(__xludf.DUMMYFUNCTION("""COMPUTED_VALUE"""),"馮嘉琪")</f>
        <v>馮嘉琪</v>
      </c>
      <c r="D518" s="16" t="str">
        <f>IFERROR(__xludf.DUMMYFUNCTION("""COMPUTED_VALUE"""),"yy1*****036.ntpc@mail.edu.tw")</f>
        <v>yy1*****036.ntpc@mail.edu.tw</v>
      </c>
      <c r="E518" s="17" t="str">
        <f>IFERROR(__xludf.DUMMYFUNCTION("""COMPUTED_VALUE"""),"新北市立育林國民中學")</f>
        <v>新北市立育林國民中學</v>
      </c>
      <c r="F518" s="14" t="str">
        <f>IFERROR(__xludf.DUMMYFUNCTION("""COMPUTED_VALUE"""),"九年級")</f>
        <v>九年級</v>
      </c>
      <c r="G518" s="14" t="str">
        <f>IFERROR(__xludf.DUMMYFUNCTION("""COMPUTED_VALUE"""),"獎狀")</f>
        <v>獎狀</v>
      </c>
      <c r="H518" s="8"/>
    </row>
    <row r="519">
      <c r="A519" s="18"/>
      <c r="B519" s="14">
        <f>IFERROR(__xludf.DUMMYFUNCTION("""COMPUTED_VALUE"""),825548.0)</f>
        <v>825548</v>
      </c>
      <c r="C519" s="14" t="str">
        <f>IFERROR(__xludf.DUMMYFUNCTION("""COMPUTED_VALUE"""),"黃絃媛")</f>
        <v>黃絃媛</v>
      </c>
      <c r="D519" s="16" t="str">
        <f>IFERROR(__xludf.DUMMYFUNCTION("""COMPUTED_VALUE"""),"bel*****2.ntpc@mail.edu.tw")</f>
        <v>bel*****2.ntpc@mail.edu.tw</v>
      </c>
      <c r="E519" s="17" t="str">
        <f>IFERROR(__xludf.DUMMYFUNCTION("""COMPUTED_VALUE"""),"新北市立育林國民中學")</f>
        <v>新北市立育林國民中學</v>
      </c>
      <c r="F519" s="14" t="str">
        <f>IFERROR(__xludf.DUMMYFUNCTION("""COMPUTED_VALUE"""),"九年級")</f>
        <v>九年級</v>
      </c>
      <c r="G519" s="14" t="str">
        <f>IFERROR(__xludf.DUMMYFUNCTION("""COMPUTED_VALUE"""),"獎狀")</f>
        <v>獎狀</v>
      </c>
      <c r="H519" s="8"/>
    </row>
    <row r="520">
      <c r="A520" s="18"/>
      <c r="B520" s="14">
        <f>IFERROR(__xludf.DUMMYFUNCTION("""COMPUTED_VALUE"""),1180473.0)</f>
        <v>1180473</v>
      </c>
      <c r="C520" s="14" t="str">
        <f>IFERROR(__xludf.DUMMYFUNCTION("""COMPUTED_VALUE"""),"阮天佑")</f>
        <v>阮天佑</v>
      </c>
      <c r="D520" s="16" t="str">
        <f>IFERROR(__xludf.DUMMYFUNCTION("""COMPUTED_VALUE"""),"slp*****23.ntpc@mail.edu.tw")</f>
        <v>slp*****23.ntpc@mail.edu.tw</v>
      </c>
      <c r="E520" s="17" t="str">
        <f>IFERROR(__xludf.DUMMYFUNCTION("""COMPUTED_VALUE"""),"新北市立育林國民中學")</f>
        <v>新北市立育林國民中學</v>
      </c>
      <c r="F520" s="14" t="str">
        <f>IFERROR(__xludf.DUMMYFUNCTION("""COMPUTED_VALUE"""),"九年級")</f>
        <v>九年級</v>
      </c>
      <c r="G520" s="14" t="str">
        <f>IFERROR(__xludf.DUMMYFUNCTION("""COMPUTED_VALUE"""),"●小禮物")</f>
        <v>●小禮物</v>
      </c>
      <c r="H520" s="8"/>
    </row>
    <row r="521">
      <c r="A521" s="18"/>
      <c r="B521" s="14">
        <f>IFERROR(__xludf.DUMMYFUNCTION("""COMPUTED_VALUE"""),1180538.0)</f>
        <v>1180538</v>
      </c>
      <c r="C521" s="14" t="str">
        <f>IFERROR(__xludf.DUMMYFUNCTION("""COMPUTED_VALUE"""),"孫子涵")</f>
        <v>孫子涵</v>
      </c>
      <c r="D521" s="16" t="str">
        <f>IFERROR(__xludf.DUMMYFUNCTION("""COMPUTED_VALUE"""),"slp*****34.ntpc@mail.edu.tw")</f>
        <v>slp*****34.ntpc@mail.edu.tw</v>
      </c>
      <c r="E521" s="17" t="str">
        <f>IFERROR(__xludf.DUMMYFUNCTION("""COMPUTED_VALUE"""),"新北市立育林國民中學")</f>
        <v>新北市立育林國民中學</v>
      </c>
      <c r="F521" s="14" t="str">
        <f>IFERROR(__xludf.DUMMYFUNCTION("""COMPUTED_VALUE"""),"九年級")</f>
        <v>九年級</v>
      </c>
      <c r="G521" s="14" t="str">
        <f>IFERROR(__xludf.DUMMYFUNCTION("""COMPUTED_VALUE"""),"●小禮物")</f>
        <v>●小禮物</v>
      </c>
      <c r="H521" s="8"/>
    </row>
    <row r="522">
      <c r="A522" s="18"/>
      <c r="B522" s="14">
        <f>IFERROR(__xludf.DUMMYFUNCTION("""COMPUTED_VALUE"""),1217736.0)</f>
        <v>1217736</v>
      </c>
      <c r="C522" s="14" t="str">
        <f>IFERROR(__xludf.DUMMYFUNCTION("""COMPUTED_VALUE"""),"陳薏丹")</f>
        <v>陳薏丹</v>
      </c>
      <c r="D522" s="16" t="str">
        <f>IFERROR(__xludf.DUMMYFUNCTION("""COMPUTED_VALUE"""),"slp*****83@apps.ntpc.edu.tw")</f>
        <v>slp*****83@apps.ntpc.edu.tw</v>
      </c>
      <c r="E522" s="17" t="str">
        <f>IFERROR(__xludf.DUMMYFUNCTION("""COMPUTED_VALUE"""),"新北市立育林國民中學")</f>
        <v>新北市立育林國民中學</v>
      </c>
      <c r="F522" s="14" t="str">
        <f>IFERROR(__xludf.DUMMYFUNCTION("""COMPUTED_VALUE"""),"九年級")</f>
        <v>九年級</v>
      </c>
      <c r="G522" s="14" t="str">
        <f>IFERROR(__xludf.DUMMYFUNCTION("""COMPUTED_VALUE"""),"●小禮物")</f>
        <v>●小禮物</v>
      </c>
      <c r="H522" s="8"/>
    </row>
    <row r="523">
      <c r="A523" s="18"/>
      <c r="B523" s="14">
        <f>IFERROR(__xludf.DUMMYFUNCTION("""COMPUTED_VALUE"""),1180495.0)</f>
        <v>1180495</v>
      </c>
      <c r="C523" s="14" t="str">
        <f>IFERROR(__xludf.DUMMYFUNCTION("""COMPUTED_VALUE"""),"馮子璇")</f>
        <v>馮子璇</v>
      </c>
      <c r="D523" s="16" t="str">
        <f>IFERROR(__xludf.DUMMYFUNCTION("""COMPUTED_VALUE"""),"yy1*****052.ntpc@mail.edu.tw")</f>
        <v>yy1*****052.ntpc@mail.edu.tw</v>
      </c>
      <c r="E523" s="17" t="str">
        <f>IFERROR(__xludf.DUMMYFUNCTION("""COMPUTED_VALUE"""),"新北市立育林國民中學")</f>
        <v>新北市立育林國民中學</v>
      </c>
      <c r="F523" s="14" t="str">
        <f>IFERROR(__xludf.DUMMYFUNCTION("""COMPUTED_VALUE"""),"九年級")</f>
        <v>九年級</v>
      </c>
      <c r="G523" s="14" t="str">
        <f>IFERROR(__xludf.DUMMYFUNCTION("""COMPUTED_VALUE"""),"●小禮物")</f>
        <v>●小禮物</v>
      </c>
      <c r="H523" s="8"/>
    </row>
    <row r="524">
      <c r="A524" s="18"/>
      <c r="B524" s="14">
        <f>IFERROR(__xludf.DUMMYFUNCTION("""COMPUTED_VALUE"""),1180466.0)</f>
        <v>1180466</v>
      </c>
      <c r="C524" s="14" t="str">
        <f>IFERROR(__xludf.DUMMYFUNCTION("""COMPUTED_VALUE"""),"楊承叡")</f>
        <v>楊承叡</v>
      </c>
      <c r="D524" s="16" t="str">
        <f>IFERROR(__xludf.DUMMYFUNCTION("""COMPUTED_VALUE"""),"yy1*****030.ntpc@mail.edu.tw")</f>
        <v>yy1*****030.ntpc@mail.edu.tw</v>
      </c>
      <c r="E524" s="17" t="str">
        <f>IFERROR(__xludf.DUMMYFUNCTION("""COMPUTED_VALUE"""),"新北市立育林國民中學")</f>
        <v>新北市立育林國民中學</v>
      </c>
      <c r="F524" s="14" t="str">
        <f>IFERROR(__xludf.DUMMYFUNCTION("""COMPUTED_VALUE"""),"九年級")</f>
        <v>九年級</v>
      </c>
      <c r="G524" s="14" t="str">
        <f>IFERROR(__xludf.DUMMYFUNCTION("""COMPUTED_VALUE"""),"●小禮物")</f>
        <v>●小禮物</v>
      </c>
      <c r="H524" s="8"/>
    </row>
    <row r="525">
      <c r="A525" s="18"/>
      <c r="B525" s="14">
        <f>IFERROR(__xludf.DUMMYFUNCTION("""COMPUTED_VALUE"""),874458.0)</f>
        <v>874458</v>
      </c>
      <c r="C525" s="14" t="str">
        <f>IFERROR(__xludf.DUMMYFUNCTION("""COMPUTED_VALUE"""),"蔡亞芳")</f>
        <v>蔡亞芳</v>
      </c>
      <c r="D525" s="16" t="str">
        <f>IFERROR(__xludf.DUMMYFUNCTION("""COMPUTED_VALUE"""),"sje*****30.ntpc@mail.edu.tw")</f>
        <v>sje*****30.ntpc@mail.edu.tw</v>
      </c>
      <c r="E525" s="17" t="str">
        <f>IFERROR(__xludf.DUMMYFUNCTION("""COMPUTED_VALUE"""),"新北市立育林國民中學")</f>
        <v>新北市立育林國民中學</v>
      </c>
      <c r="F525" s="14" t="str">
        <f>IFERROR(__xludf.DUMMYFUNCTION("""COMPUTED_VALUE"""),"九年級")</f>
        <v>九年級</v>
      </c>
      <c r="G525" s="14" t="str">
        <f>IFERROR(__xludf.DUMMYFUNCTION("""COMPUTED_VALUE"""),"●小禮物")</f>
        <v>●小禮物</v>
      </c>
      <c r="H525" s="8"/>
    </row>
    <row r="526">
      <c r="A526" s="18"/>
      <c r="B526" s="14">
        <f>IFERROR(__xludf.DUMMYFUNCTION("""COMPUTED_VALUE"""),1180471.0)</f>
        <v>1180471</v>
      </c>
      <c r="C526" s="14" t="str">
        <f>IFERROR(__xludf.DUMMYFUNCTION("""COMPUTED_VALUE"""),"蔡定穎")</f>
        <v>蔡定穎</v>
      </c>
      <c r="D526" s="16" t="str">
        <f>IFERROR(__xludf.DUMMYFUNCTION("""COMPUTED_VALUE"""),"yy1*****069.ntpc@mail.edu.tw")</f>
        <v>yy1*****069.ntpc@mail.edu.tw</v>
      </c>
      <c r="E526" s="17" t="str">
        <f>IFERROR(__xludf.DUMMYFUNCTION("""COMPUTED_VALUE"""),"新北市立育林國民中學")</f>
        <v>新北市立育林國民中學</v>
      </c>
      <c r="F526" s="14" t="str">
        <f>IFERROR(__xludf.DUMMYFUNCTION("""COMPUTED_VALUE"""),"九年級")</f>
        <v>九年級</v>
      </c>
      <c r="G526" s="14" t="str">
        <f>IFERROR(__xludf.DUMMYFUNCTION("""COMPUTED_VALUE"""),"●小禮物")</f>
        <v>●小禮物</v>
      </c>
      <c r="H526" s="8"/>
    </row>
    <row r="527">
      <c r="A527" s="18"/>
      <c r="B527" s="14">
        <f>IFERROR(__xludf.DUMMYFUNCTION("""COMPUTED_VALUE"""),1180464.0)</f>
        <v>1180464</v>
      </c>
      <c r="C527" s="14" t="str">
        <f>IFERROR(__xludf.DUMMYFUNCTION("""COMPUTED_VALUE"""),"戴翊軒")</f>
        <v>戴翊軒</v>
      </c>
      <c r="D527" s="16" t="str">
        <f>IFERROR(__xludf.DUMMYFUNCTION("""COMPUTED_VALUE"""),"w10*****apple@mail.edu.tw")</f>
        <v>w10*****apple@mail.edu.tw</v>
      </c>
      <c r="E527" s="17" t="str">
        <f>IFERROR(__xludf.DUMMYFUNCTION("""COMPUTED_VALUE"""),"新北市立育林國民中學")</f>
        <v>新北市立育林國民中學</v>
      </c>
      <c r="F527" s="14" t="str">
        <f>IFERROR(__xludf.DUMMYFUNCTION("""COMPUTED_VALUE"""),"九年級")</f>
        <v>九年級</v>
      </c>
      <c r="G527" s="14" t="str">
        <f>IFERROR(__xludf.DUMMYFUNCTION("""COMPUTED_VALUE"""),"●小禮物")</f>
        <v>●小禮物</v>
      </c>
      <c r="H527" s="8"/>
    </row>
    <row r="528">
      <c r="A528" s="18"/>
      <c r="B528" s="14">
        <f>IFERROR(__xludf.DUMMYFUNCTION("""COMPUTED_VALUE"""),1180465.0)</f>
        <v>1180465</v>
      </c>
      <c r="C528" s="14" t="str">
        <f>IFERROR(__xludf.DUMMYFUNCTION("""COMPUTED_VALUE"""),"羅際恩")</f>
        <v>羅際恩</v>
      </c>
      <c r="D528" s="16" t="str">
        <f>IFERROR(__xludf.DUMMYFUNCTION("""COMPUTED_VALUE"""),"slp*****91.ntpc@mail.edu.tw")</f>
        <v>slp*****91.ntpc@mail.edu.tw</v>
      </c>
      <c r="E528" s="17" t="str">
        <f>IFERROR(__xludf.DUMMYFUNCTION("""COMPUTED_VALUE"""),"新北市立育林國民中學")</f>
        <v>新北市立育林國民中學</v>
      </c>
      <c r="F528" s="14" t="str">
        <f>IFERROR(__xludf.DUMMYFUNCTION("""COMPUTED_VALUE"""),"九年級")</f>
        <v>九年級</v>
      </c>
      <c r="G528" s="14" t="str">
        <f>IFERROR(__xludf.DUMMYFUNCTION("""COMPUTED_VALUE"""),"●小禮物")</f>
        <v>●小禮物</v>
      </c>
      <c r="H528" s="8"/>
    </row>
    <row r="529">
      <c r="A529" s="18"/>
      <c r="B529" s="14">
        <f>IFERROR(__xludf.DUMMYFUNCTION("""COMPUTED_VALUE"""),1180477.0)</f>
        <v>1180477</v>
      </c>
      <c r="C529" s="14" t="str">
        <f>IFERROR(__xludf.DUMMYFUNCTION("""COMPUTED_VALUE"""),"陳妤甄")</f>
        <v>陳妤甄</v>
      </c>
      <c r="D529" s="16" t="str">
        <f>IFERROR(__xludf.DUMMYFUNCTION("""COMPUTED_VALUE"""),"yy1*****043.ntpc@mail.edu.tw")</f>
        <v>yy1*****043.ntpc@mail.edu.tw</v>
      </c>
      <c r="E529" s="17" t="str">
        <f>IFERROR(__xludf.DUMMYFUNCTION("""COMPUTED_VALUE"""),"新北市立育林國民中學")</f>
        <v>新北市立育林國民中學</v>
      </c>
      <c r="F529" s="14" t="str">
        <f>IFERROR(__xludf.DUMMYFUNCTION("""COMPUTED_VALUE"""),"九年級")</f>
        <v>九年級</v>
      </c>
      <c r="G529" s="14" t="str">
        <f>IFERROR(__xludf.DUMMYFUNCTION("""COMPUTED_VALUE"""),"★禮券$200")</f>
        <v>★禮券$200</v>
      </c>
      <c r="H529" s="8"/>
    </row>
    <row r="530">
      <c r="A530" s="18"/>
      <c r="B530" s="14">
        <f>IFERROR(__xludf.DUMMYFUNCTION("""COMPUTED_VALUE"""),1180425.0)</f>
        <v>1180425</v>
      </c>
      <c r="C530" s="14" t="str">
        <f>IFERROR(__xludf.DUMMYFUNCTION("""COMPUTED_VALUE"""),"張博崴")</f>
        <v>張博崴</v>
      </c>
      <c r="D530" s="16" t="str">
        <f>IFERROR(__xludf.DUMMYFUNCTION("""COMPUTED_VALUE"""),"slp*****75.ntpc@mail.edu.tw")</f>
        <v>slp*****75.ntpc@mail.edu.tw</v>
      </c>
      <c r="E530" s="17" t="str">
        <f>IFERROR(__xludf.DUMMYFUNCTION("""COMPUTED_VALUE"""),"新北市立育林國民中學")</f>
        <v>新北市立育林國民中學</v>
      </c>
      <c r="F530" s="14" t="str">
        <f>IFERROR(__xludf.DUMMYFUNCTION("""COMPUTED_VALUE"""),"九年級")</f>
        <v>九年級</v>
      </c>
      <c r="G530" s="14" t="str">
        <f>IFERROR(__xludf.DUMMYFUNCTION("""COMPUTED_VALUE"""),"獎狀")</f>
        <v>獎狀</v>
      </c>
      <c r="H530" s="8"/>
    </row>
    <row r="531">
      <c r="A531" s="18"/>
      <c r="B531" s="14">
        <f>IFERROR(__xludf.DUMMYFUNCTION("""COMPUTED_VALUE"""),1180463.0)</f>
        <v>1180463</v>
      </c>
      <c r="C531" s="14" t="str">
        <f>IFERROR(__xludf.DUMMYFUNCTION("""COMPUTED_VALUE"""),"陳晏娸")</f>
        <v>陳晏娸</v>
      </c>
      <c r="D531" s="16" t="str">
        <f>IFERROR(__xludf.DUMMYFUNCTION("""COMPUTED_VALUE"""),"slp*****86.ntpc@mail.edu.tw")</f>
        <v>slp*****86.ntpc@mail.edu.tw</v>
      </c>
      <c r="E531" s="17" t="str">
        <f>IFERROR(__xludf.DUMMYFUNCTION("""COMPUTED_VALUE"""),"新北市立育林國民中學")</f>
        <v>新北市立育林國民中學</v>
      </c>
      <c r="F531" s="14" t="str">
        <f>IFERROR(__xludf.DUMMYFUNCTION("""COMPUTED_VALUE"""),"九年級")</f>
        <v>九年級</v>
      </c>
      <c r="G531" s="14" t="str">
        <f>IFERROR(__xludf.DUMMYFUNCTION("""COMPUTED_VALUE"""),"獎狀")</f>
        <v>獎狀</v>
      </c>
      <c r="H531" s="8"/>
    </row>
    <row r="532">
      <c r="A532" s="18"/>
      <c r="B532" s="14">
        <f>IFERROR(__xludf.DUMMYFUNCTION("""COMPUTED_VALUE"""),1175385.0)</f>
        <v>1175385</v>
      </c>
      <c r="C532" s="14" t="str">
        <f>IFERROR(__xludf.DUMMYFUNCTION("""COMPUTED_VALUE"""),"李佩璇")</f>
        <v>李佩璇</v>
      </c>
      <c r="D532" s="16" t="str">
        <f>IFERROR(__xludf.DUMMYFUNCTION("""COMPUTED_VALUE"""),"slp*****81@mail.edu.tw")</f>
        <v>slp*****81@mail.edu.tw</v>
      </c>
      <c r="E532" s="17" t="str">
        <f>IFERROR(__xludf.DUMMYFUNCTION("""COMPUTED_VALUE"""),"新北市立育林國民中學")</f>
        <v>新北市立育林國民中學</v>
      </c>
      <c r="F532" s="14" t="str">
        <f>IFERROR(__xludf.DUMMYFUNCTION("""COMPUTED_VALUE"""),"九年級")</f>
        <v>九年級</v>
      </c>
      <c r="G532" s="14" t="str">
        <f>IFERROR(__xludf.DUMMYFUNCTION("""COMPUTED_VALUE"""),"●小禮物")</f>
        <v>●小禮物</v>
      </c>
      <c r="H532" s="8"/>
    </row>
    <row r="533">
      <c r="A533" s="18"/>
      <c r="B533" s="14">
        <f>IFERROR(__xludf.DUMMYFUNCTION("""COMPUTED_VALUE"""),1175383.0)</f>
        <v>1175383</v>
      </c>
      <c r="C533" s="14" t="str">
        <f>IFERROR(__xludf.DUMMYFUNCTION("""COMPUTED_VALUE"""),"唐于捷")</f>
        <v>唐于捷</v>
      </c>
      <c r="D533" s="16" t="str">
        <f>IFERROR(__xludf.DUMMYFUNCTION("""COMPUTED_VALUE"""),"slp*****14.ntpc@mail.edu.tw")</f>
        <v>slp*****14.ntpc@mail.edu.tw</v>
      </c>
      <c r="E533" s="17" t="str">
        <f>IFERROR(__xludf.DUMMYFUNCTION("""COMPUTED_VALUE"""),"新北市立育林國民中學")</f>
        <v>新北市立育林國民中學</v>
      </c>
      <c r="F533" s="14" t="str">
        <f>IFERROR(__xludf.DUMMYFUNCTION("""COMPUTED_VALUE"""),"九年級")</f>
        <v>九年級</v>
      </c>
      <c r="G533" s="14" t="str">
        <f>IFERROR(__xludf.DUMMYFUNCTION("""COMPUTED_VALUE"""),"●小禮物")</f>
        <v>●小禮物</v>
      </c>
      <c r="H533" s="8"/>
    </row>
    <row r="534">
      <c r="A534" s="18"/>
      <c r="B534" s="14">
        <f>IFERROR(__xludf.DUMMYFUNCTION("""COMPUTED_VALUE"""),1175390.0)</f>
        <v>1175390</v>
      </c>
      <c r="C534" s="14" t="str">
        <f>IFERROR(__xludf.DUMMYFUNCTION("""COMPUTED_VALUE"""),"曹詠傑")</f>
        <v>曹詠傑</v>
      </c>
      <c r="D534" s="16" t="str">
        <f>IFERROR(__xludf.DUMMYFUNCTION("""COMPUTED_VALUE"""),"ttp*****4.ntpc@mail.edu.tw")</f>
        <v>ttp*****4.ntpc@mail.edu.tw</v>
      </c>
      <c r="E534" s="17" t="str">
        <f>IFERROR(__xludf.DUMMYFUNCTION("""COMPUTED_VALUE"""),"新北市立育林國民中學")</f>
        <v>新北市立育林國民中學</v>
      </c>
      <c r="F534" s="14" t="str">
        <f>IFERROR(__xludf.DUMMYFUNCTION("""COMPUTED_VALUE"""),"九年級")</f>
        <v>九年級</v>
      </c>
      <c r="G534" s="14" t="str">
        <f>IFERROR(__xludf.DUMMYFUNCTION("""COMPUTED_VALUE"""),"●小禮物")</f>
        <v>●小禮物</v>
      </c>
      <c r="H534" s="8"/>
    </row>
    <row r="535">
      <c r="A535" s="18"/>
      <c r="B535" s="14">
        <f>IFERROR(__xludf.DUMMYFUNCTION("""COMPUTED_VALUE"""),1175398.0)</f>
        <v>1175398</v>
      </c>
      <c r="C535" s="14" t="str">
        <f>IFERROR(__xludf.DUMMYFUNCTION("""COMPUTED_VALUE"""),"謝旻樺")</f>
        <v>謝旻樺</v>
      </c>
      <c r="D535" s="16" t="str">
        <f>IFERROR(__xludf.DUMMYFUNCTION("""COMPUTED_VALUE"""),"slp*****05.ntpc@mail.edu.tw")</f>
        <v>slp*****05.ntpc@mail.edu.tw</v>
      </c>
      <c r="E535" s="17" t="str">
        <f>IFERROR(__xludf.DUMMYFUNCTION("""COMPUTED_VALUE"""),"新北市立育林國民中學")</f>
        <v>新北市立育林國民中學</v>
      </c>
      <c r="F535" s="14" t="str">
        <f>IFERROR(__xludf.DUMMYFUNCTION("""COMPUTED_VALUE"""),"九年級")</f>
        <v>九年級</v>
      </c>
      <c r="G535" s="14" t="str">
        <f>IFERROR(__xludf.DUMMYFUNCTION("""COMPUTED_VALUE"""),"●小禮物")</f>
        <v>●小禮物</v>
      </c>
      <c r="H535" s="8"/>
    </row>
    <row r="536">
      <c r="A536" s="18"/>
      <c r="B536" s="14">
        <f>IFERROR(__xludf.DUMMYFUNCTION("""COMPUTED_VALUE"""),1175446.0)</f>
        <v>1175446</v>
      </c>
      <c r="C536" s="14" t="str">
        <f>IFERROR(__xludf.DUMMYFUNCTION("""COMPUTED_VALUE"""),"許維珊")</f>
        <v>許維珊</v>
      </c>
      <c r="D536" s="16" t="str">
        <f>IFERROR(__xludf.DUMMYFUNCTION("""COMPUTED_VALUE"""),"slp*****241.ntpc@mail.edu.tw")</f>
        <v>slp*****241.ntpc@mail.edu.tw</v>
      </c>
      <c r="E536" s="17" t="str">
        <f>IFERROR(__xludf.DUMMYFUNCTION("""COMPUTED_VALUE"""),"新北市立育林國民中學")</f>
        <v>新北市立育林國民中學</v>
      </c>
      <c r="F536" s="14" t="str">
        <f>IFERROR(__xludf.DUMMYFUNCTION("""COMPUTED_VALUE"""),"九年級")</f>
        <v>九年級</v>
      </c>
      <c r="G536" s="14" t="str">
        <f>IFERROR(__xludf.DUMMYFUNCTION("""COMPUTED_VALUE"""),"★禮券$200")</f>
        <v>★禮券$200</v>
      </c>
      <c r="H536" s="8"/>
    </row>
    <row r="537">
      <c r="A537" s="18"/>
      <c r="B537" s="14">
        <f>IFERROR(__xludf.DUMMYFUNCTION("""COMPUTED_VALUE"""),1175380.0)</f>
        <v>1175380</v>
      </c>
      <c r="C537" s="14" t="str">
        <f>IFERROR(__xludf.DUMMYFUNCTION("""COMPUTED_VALUE"""),"李冠霆")</f>
        <v>李冠霆</v>
      </c>
      <c r="D537" s="16" t="str">
        <f>IFERROR(__xludf.DUMMYFUNCTION("""COMPUTED_VALUE"""),"ttp*****5.ntpc@mail.edu.tw")</f>
        <v>ttp*****5.ntpc@mail.edu.tw</v>
      </c>
      <c r="E537" s="17" t="str">
        <f>IFERROR(__xludf.DUMMYFUNCTION("""COMPUTED_VALUE"""),"新北市立育林國民中學")</f>
        <v>新北市立育林國民中學</v>
      </c>
      <c r="F537" s="14" t="str">
        <f>IFERROR(__xludf.DUMMYFUNCTION("""COMPUTED_VALUE"""),"九年級")</f>
        <v>九年級</v>
      </c>
      <c r="G537" s="14" t="str">
        <f>IFERROR(__xludf.DUMMYFUNCTION("""COMPUTED_VALUE"""),"獎狀")</f>
        <v>獎狀</v>
      </c>
      <c r="H537" s="8"/>
    </row>
    <row r="538">
      <c r="A538" s="18"/>
      <c r="B538" s="14">
        <f>IFERROR(__xludf.DUMMYFUNCTION("""COMPUTED_VALUE"""),1175387.0)</f>
        <v>1175387</v>
      </c>
      <c r="C538" s="14" t="str">
        <f>IFERROR(__xludf.DUMMYFUNCTION("""COMPUTED_VALUE"""),"林思妤")</f>
        <v>林思妤</v>
      </c>
      <c r="D538" s="16" t="str">
        <f>IFERROR(__xludf.DUMMYFUNCTION("""COMPUTED_VALUE"""),"pf1*****.ntpc@mail.edu.tw")</f>
        <v>pf1*****.ntpc@mail.edu.tw</v>
      </c>
      <c r="E538" s="17" t="str">
        <f>IFERROR(__xludf.DUMMYFUNCTION("""COMPUTED_VALUE"""),"新北市立育林國民中學")</f>
        <v>新北市立育林國民中學</v>
      </c>
      <c r="F538" s="14" t="str">
        <f>IFERROR(__xludf.DUMMYFUNCTION("""COMPUTED_VALUE"""),"九年級")</f>
        <v>九年級</v>
      </c>
      <c r="G538" s="14" t="str">
        <f>IFERROR(__xludf.DUMMYFUNCTION("""COMPUTED_VALUE"""),"獎狀")</f>
        <v>獎狀</v>
      </c>
      <c r="H538" s="8"/>
    </row>
    <row r="539">
      <c r="A539" s="18"/>
      <c r="B539" s="14">
        <f>IFERROR(__xludf.DUMMYFUNCTION("""COMPUTED_VALUE"""),1175381.0)</f>
        <v>1175381</v>
      </c>
      <c r="C539" s="14" t="str">
        <f>IFERROR(__xludf.DUMMYFUNCTION("""COMPUTED_VALUE"""),"范芸涓")</f>
        <v>范芸涓</v>
      </c>
      <c r="D539" s="16" t="str">
        <f>IFERROR(__xludf.DUMMYFUNCTION("""COMPUTED_VALUE"""),"ang*****14.ntpc@mail.edu.tw")</f>
        <v>ang*****14.ntpc@mail.edu.tw</v>
      </c>
      <c r="E539" s="17" t="str">
        <f>IFERROR(__xludf.DUMMYFUNCTION("""COMPUTED_VALUE"""),"新北市立育林國民中學")</f>
        <v>新北市立育林國民中學</v>
      </c>
      <c r="F539" s="14" t="str">
        <f>IFERROR(__xludf.DUMMYFUNCTION("""COMPUTED_VALUE"""),"九年級")</f>
        <v>九年級</v>
      </c>
      <c r="G539" s="14" t="str">
        <f>IFERROR(__xludf.DUMMYFUNCTION("""COMPUTED_VALUE"""),"獎狀")</f>
        <v>獎狀</v>
      </c>
      <c r="H539" s="8"/>
    </row>
    <row r="540">
      <c r="A540" s="18"/>
      <c r="B540" s="14">
        <f>IFERROR(__xludf.DUMMYFUNCTION("""COMPUTED_VALUE"""),1175442.0)</f>
        <v>1175442</v>
      </c>
      <c r="C540" s="14" t="str">
        <f>IFERROR(__xludf.DUMMYFUNCTION("""COMPUTED_VALUE"""),"涂湘妘")</f>
        <v>涂湘妘</v>
      </c>
      <c r="D540" s="16" t="str">
        <f>IFERROR(__xludf.DUMMYFUNCTION("""COMPUTED_VALUE"""),"slp*****38.ntpc@mail.edu.tw")</f>
        <v>slp*****38.ntpc@mail.edu.tw</v>
      </c>
      <c r="E540" s="17" t="str">
        <f>IFERROR(__xludf.DUMMYFUNCTION("""COMPUTED_VALUE"""),"新北市立育林國民中學")</f>
        <v>新北市立育林國民中學</v>
      </c>
      <c r="F540" s="14" t="str">
        <f>IFERROR(__xludf.DUMMYFUNCTION("""COMPUTED_VALUE"""),"九年級")</f>
        <v>九年級</v>
      </c>
      <c r="G540" s="14" t="str">
        <f>IFERROR(__xludf.DUMMYFUNCTION("""COMPUTED_VALUE"""),"獎狀")</f>
        <v>獎狀</v>
      </c>
      <c r="H540" s="8"/>
    </row>
    <row r="541">
      <c r="A541" s="18"/>
      <c r="B541" s="14">
        <f>IFERROR(__xludf.DUMMYFUNCTION("""COMPUTED_VALUE"""),1175396.0)</f>
        <v>1175396</v>
      </c>
      <c r="C541" s="14" t="str">
        <f>IFERROR(__xludf.DUMMYFUNCTION("""COMPUTED_VALUE"""),"郭子靖")</f>
        <v>郭子靖</v>
      </c>
      <c r="D541" s="16" t="str">
        <f>IFERROR(__xludf.DUMMYFUNCTION("""COMPUTED_VALUE"""),"slp*****46.ntpc@mail.edu.tw")</f>
        <v>slp*****46.ntpc@mail.edu.tw</v>
      </c>
      <c r="E541" s="17" t="str">
        <f>IFERROR(__xludf.DUMMYFUNCTION("""COMPUTED_VALUE"""),"新北市立育林國民中學")</f>
        <v>新北市立育林國民中學</v>
      </c>
      <c r="F541" s="14" t="str">
        <f>IFERROR(__xludf.DUMMYFUNCTION("""COMPUTED_VALUE"""),"九年級")</f>
        <v>九年級</v>
      </c>
      <c r="G541" s="14" t="str">
        <f>IFERROR(__xludf.DUMMYFUNCTION("""COMPUTED_VALUE"""),"獎狀")</f>
        <v>獎狀</v>
      </c>
      <c r="H541" s="8"/>
    </row>
    <row r="542">
      <c r="A542" s="18"/>
      <c r="B542" s="14">
        <f>IFERROR(__xludf.DUMMYFUNCTION("""COMPUTED_VALUE"""),1175384.0)</f>
        <v>1175384</v>
      </c>
      <c r="C542" s="14" t="str">
        <f>IFERROR(__xludf.DUMMYFUNCTION("""COMPUTED_VALUE"""),"陳沛諭")</f>
        <v>陳沛諭</v>
      </c>
      <c r="D542" s="16" t="str">
        <f>IFERROR(__xludf.DUMMYFUNCTION("""COMPUTED_VALUE"""),"pyc*****.ntpc@mail.edu.tw")</f>
        <v>pyc*****.ntpc@mail.edu.tw</v>
      </c>
      <c r="E542" s="17" t="str">
        <f>IFERROR(__xludf.DUMMYFUNCTION("""COMPUTED_VALUE"""),"新北市立育林國民中學")</f>
        <v>新北市立育林國民中學</v>
      </c>
      <c r="F542" s="14" t="str">
        <f>IFERROR(__xludf.DUMMYFUNCTION("""COMPUTED_VALUE"""),"九年級")</f>
        <v>九年級</v>
      </c>
      <c r="G542" s="14" t="str">
        <f>IFERROR(__xludf.DUMMYFUNCTION("""COMPUTED_VALUE"""),"獎狀")</f>
        <v>獎狀</v>
      </c>
      <c r="H542" s="8"/>
    </row>
    <row r="543">
      <c r="A543" s="18"/>
      <c r="B543" s="14">
        <f>IFERROR(__xludf.DUMMYFUNCTION("""COMPUTED_VALUE"""),637705.0)</f>
        <v>637705</v>
      </c>
      <c r="C543" s="14" t="str">
        <f>IFERROR(__xludf.DUMMYFUNCTION("""COMPUTED_VALUE"""),"彭鈺庭")</f>
        <v>彭鈺庭</v>
      </c>
      <c r="D543" s="16" t="str">
        <f>IFERROR(__xludf.DUMMYFUNCTION("""COMPUTED_VALUE"""),"slp*****31.ntpc@mail.edu.tw")</f>
        <v>slp*****31.ntpc@mail.edu.tw</v>
      </c>
      <c r="E543" s="17" t="str">
        <f>IFERROR(__xludf.DUMMYFUNCTION("""COMPUTED_VALUE"""),"新北市立育林國民中學")</f>
        <v>新北市立育林國民中學</v>
      </c>
      <c r="F543" s="14" t="str">
        <f>IFERROR(__xludf.DUMMYFUNCTION("""COMPUTED_VALUE"""),"九年級")</f>
        <v>九年級</v>
      </c>
      <c r="G543" s="14" t="str">
        <f>IFERROR(__xludf.DUMMYFUNCTION("""COMPUTED_VALUE"""),"獎狀")</f>
        <v>獎狀</v>
      </c>
      <c r="H543" s="8"/>
    </row>
    <row r="544">
      <c r="A544" s="18"/>
      <c r="B544" s="14">
        <f>IFERROR(__xludf.DUMMYFUNCTION("""COMPUTED_VALUE"""),1175439.0)</f>
        <v>1175439</v>
      </c>
      <c r="C544" s="14" t="str">
        <f>IFERROR(__xludf.DUMMYFUNCTION("""COMPUTED_VALUE"""),"黃子容")</f>
        <v>黃子容</v>
      </c>
      <c r="D544" s="16" t="str">
        <f>IFERROR(__xludf.DUMMYFUNCTION("""COMPUTED_VALUE"""),"yy1*****039.ntpc@mail.edu.tw")</f>
        <v>yy1*****039.ntpc@mail.edu.tw</v>
      </c>
      <c r="E544" s="17" t="str">
        <f>IFERROR(__xludf.DUMMYFUNCTION("""COMPUTED_VALUE"""),"新北市立育林國民中學")</f>
        <v>新北市立育林國民中學</v>
      </c>
      <c r="F544" s="14" t="str">
        <f>IFERROR(__xludf.DUMMYFUNCTION("""COMPUTED_VALUE"""),"九年級")</f>
        <v>九年級</v>
      </c>
      <c r="G544" s="14" t="str">
        <f>IFERROR(__xludf.DUMMYFUNCTION("""COMPUTED_VALUE"""),"獎狀")</f>
        <v>獎狀</v>
      </c>
      <c r="H544" s="8"/>
    </row>
    <row r="545">
      <c r="A545" s="18"/>
      <c r="B545" s="14">
        <f>IFERROR(__xludf.DUMMYFUNCTION("""COMPUTED_VALUE"""),824209.0)</f>
        <v>824209</v>
      </c>
      <c r="C545" s="14" t="str">
        <f>IFERROR(__xludf.DUMMYFUNCTION("""COMPUTED_VALUE"""),"吳煜閎")</f>
        <v>吳煜閎</v>
      </c>
      <c r="D545" s="16" t="str">
        <f>IFERROR(__xludf.DUMMYFUNCTION("""COMPUTED_VALUE"""),"w10*****ntpc@mail.edu.tw")</f>
        <v>w10*****ntpc@mail.edu.tw</v>
      </c>
      <c r="E545" s="17" t="str">
        <f>IFERROR(__xludf.DUMMYFUNCTION("""COMPUTED_VALUE"""),"新北市立育林國民中學")</f>
        <v>新北市立育林國民中學</v>
      </c>
      <c r="F545" s="14" t="str">
        <f>IFERROR(__xludf.DUMMYFUNCTION("""COMPUTED_VALUE"""),"九年級")</f>
        <v>九年級</v>
      </c>
      <c r="G545" s="14" t="str">
        <f>IFERROR(__xludf.DUMMYFUNCTION("""COMPUTED_VALUE"""),"●小禮物")</f>
        <v>●小禮物</v>
      </c>
      <c r="H545" s="8"/>
    </row>
    <row r="546">
      <c r="A546" s="18"/>
      <c r="B546" s="14">
        <f>IFERROR(__xludf.DUMMYFUNCTION("""COMPUTED_VALUE"""),824207.0)</f>
        <v>824207</v>
      </c>
      <c r="C546" s="14" t="str">
        <f>IFERROR(__xludf.DUMMYFUNCTION("""COMPUTED_VALUE"""),"陳永祐")</f>
        <v>陳永祐</v>
      </c>
      <c r="D546" s="16" t="str">
        <f>IFERROR(__xludf.DUMMYFUNCTION("""COMPUTED_VALUE"""),"slp*****58.ntpc@mail.edu.tw")</f>
        <v>slp*****58.ntpc@mail.edu.tw</v>
      </c>
      <c r="E546" s="17" t="str">
        <f>IFERROR(__xludf.DUMMYFUNCTION("""COMPUTED_VALUE"""),"新北市立育林國民中學")</f>
        <v>新北市立育林國民中學</v>
      </c>
      <c r="F546" s="14" t="str">
        <f>IFERROR(__xludf.DUMMYFUNCTION("""COMPUTED_VALUE"""),"九年級")</f>
        <v>九年級</v>
      </c>
      <c r="G546" s="14" t="str">
        <f>IFERROR(__xludf.DUMMYFUNCTION("""COMPUTED_VALUE"""),"●小禮物")</f>
        <v>●小禮物</v>
      </c>
      <c r="H546" s="8"/>
    </row>
    <row r="547">
      <c r="A547" s="18"/>
      <c r="B547" s="14">
        <f>IFERROR(__xludf.DUMMYFUNCTION("""COMPUTED_VALUE"""),824198.0)</f>
        <v>824198</v>
      </c>
      <c r="C547" s="14" t="str">
        <f>IFERROR(__xludf.DUMMYFUNCTION("""COMPUTED_VALUE"""),"陳品妤")</f>
        <v>陳品妤</v>
      </c>
      <c r="D547" s="16" t="str">
        <f>IFERROR(__xludf.DUMMYFUNCTION("""COMPUTED_VALUE"""),"slp*****82.ntpc@mail.edu.tw")</f>
        <v>slp*****82.ntpc@mail.edu.tw</v>
      </c>
      <c r="E547" s="17" t="str">
        <f>IFERROR(__xludf.DUMMYFUNCTION("""COMPUTED_VALUE"""),"新北市立育林國民中學")</f>
        <v>新北市立育林國民中學</v>
      </c>
      <c r="F547" s="14" t="str">
        <f>IFERROR(__xludf.DUMMYFUNCTION("""COMPUTED_VALUE"""),"九年級")</f>
        <v>九年級</v>
      </c>
      <c r="G547" s="14" t="str">
        <f>IFERROR(__xludf.DUMMYFUNCTION("""COMPUTED_VALUE"""),"●小禮物")</f>
        <v>●小禮物</v>
      </c>
      <c r="H547" s="8"/>
    </row>
    <row r="548">
      <c r="A548" s="18"/>
      <c r="B548" s="14">
        <f>IFERROR(__xludf.DUMMYFUNCTION("""COMPUTED_VALUE"""),824332.0)</f>
        <v>824332</v>
      </c>
      <c r="C548" s="14" t="str">
        <f>IFERROR(__xludf.DUMMYFUNCTION("""COMPUTED_VALUE"""),"陳宣貝")</f>
        <v>陳宣貝</v>
      </c>
      <c r="D548" s="16" t="str">
        <f>IFERROR(__xludf.DUMMYFUNCTION("""COMPUTED_VALUE"""),"dt1*****27.ntpc@mail.edu.tw")</f>
        <v>dt1*****27.ntpc@mail.edu.tw</v>
      </c>
      <c r="E548" s="17" t="str">
        <f>IFERROR(__xludf.DUMMYFUNCTION("""COMPUTED_VALUE"""),"新北市立育林國民中學")</f>
        <v>新北市立育林國民中學</v>
      </c>
      <c r="F548" s="14" t="str">
        <f>IFERROR(__xludf.DUMMYFUNCTION("""COMPUTED_VALUE"""),"九年級")</f>
        <v>九年級</v>
      </c>
      <c r="G548" s="14" t="str">
        <f>IFERROR(__xludf.DUMMYFUNCTION("""COMPUTED_VALUE"""),"●小禮物")</f>
        <v>●小禮物</v>
      </c>
      <c r="H548" s="8"/>
    </row>
    <row r="549">
      <c r="A549" s="18"/>
      <c r="B549" s="14">
        <f>IFERROR(__xludf.DUMMYFUNCTION("""COMPUTED_VALUE"""),824217.0)</f>
        <v>824217</v>
      </c>
      <c r="C549" s="14" t="str">
        <f>IFERROR(__xludf.DUMMYFUNCTION("""COMPUTED_VALUE"""),"楊博勛")</f>
        <v>楊博勛</v>
      </c>
      <c r="D549" s="16" t="str">
        <f>IFERROR(__xludf.DUMMYFUNCTION("""COMPUTED_VALUE"""),"slp*****19.ntpc@mail.edu.tw")</f>
        <v>slp*****19.ntpc@mail.edu.tw</v>
      </c>
      <c r="E549" s="17" t="str">
        <f>IFERROR(__xludf.DUMMYFUNCTION("""COMPUTED_VALUE"""),"新北市立育林國民中學")</f>
        <v>新北市立育林國民中學</v>
      </c>
      <c r="F549" s="14" t="str">
        <f>IFERROR(__xludf.DUMMYFUNCTION("""COMPUTED_VALUE"""),"九年級")</f>
        <v>九年級</v>
      </c>
      <c r="G549" s="14" t="str">
        <f>IFERROR(__xludf.DUMMYFUNCTION("""COMPUTED_VALUE"""),"●小禮物")</f>
        <v>●小禮物</v>
      </c>
      <c r="H549" s="8"/>
    </row>
    <row r="550">
      <c r="A550" s="18"/>
      <c r="B550" s="14">
        <f>IFERROR(__xludf.DUMMYFUNCTION("""COMPUTED_VALUE"""),824206.0)</f>
        <v>824206</v>
      </c>
      <c r="C550" s="14" t="str">
        <f>IFERROR(__xludf.DUMMYFUNCTION("""COMPUTED_VALUE"""),"劉又誠")</f>
        <v>劉又誠</v>
      </c>
      <c r="D550" s="16" t="str">
        <f>IFERROR(__xludf.DUMMYFUNCTION("""COMPUTED_VALUE"""),"edw*****4.ntpc@mail.edu.tw")</f>
        <v>edw*****4.ntpc@mail.edu.tw</v>
      </c>
      <c r="E550" s="17" t="str">
        <f>IFERROR(__xludf.DUMMYFUNCTION("""COMPUTED_VALUE"""),"新北市立育林國民中學")</f>
        <v>新北市立育林國民中學</v>
      </c>
      <c r="F550" s="14" t="str">
        <f>IFERROR(__xludf.DUMMYFUNCTION("""COMPUTED_VALUE"""),"九年級")</f>
        <v>九年級</v>
      </c>
      <c r="G550" s="14" t="str">
        <f>IFERROR(__xludf.DUMMYFUNCTION("""COMPUTED_VALUE"""),"●小禮物")</f>
        <v>●小禮物</v>
      </c>
      <c r="H550" s="8"/>
    </row>
    <row r="551">
      <c r="A551" s="18"/>
      <c r="B551" s="14">
        <f>IFERROR(__xludf.DUMMYFUNCTION("""COMPUTED_VALUE"""),824213.0)</f>
        <v>824213</v>
      </c>
      <c r="C551" s="14" t="str">
        <f>IFERROR(__xludf.DUMMYFUNCTION("""COMPUTED_VALUE"""),"鍾柏霖")</f>
        <v>鍾柏霖</v>
      </c>
      <c r="D551" s="16" t="str">
        <f>IFERROR(__xludf.DUMMYFUNCTION("""COMPUTED_VALUE"""),"bob*****ntpc@mail.edu.tw")</f>
        <v>bob*****ntpc@mail.edu.tw</v>
      </c>
      <c r="E551" s="17" t="str">
        <f>IFERROR(__xludf.DUMMYFUNCTION("""COMPUTED_VALUE"""),"新北市立育林國民中學")</f>
        <v>新北市立育林國民中學</v>
      </c>
      <c r="F551" s="14" t="str">
        <f>IFERROR(__xludf.DUMMYFUNCTION("""COMPUTED_VALUE"""),"九年級")</f>
        <v>九年級</v>
      </c>
      <c r="G551" s="14" t="str">
        <f>IFERROR(__xludf.DUMMYFUNCTION("""COMPUTED_VALUE"""),"●小禮物")</f>
        <v>●小禮物</v>
      </c>
      <c r="H551" s="8"/>
    </row>
    <row r="552">
      <c r="A552" s="18"/>
      <c r="B552" s="14">
        <f>IFERROR(__xludf.DUMMYFUNCTION("""COMPUTED_VALUE"""),571762.0)</f>
        <v>571762</v>
      </c>
      <c r="C552" s="14" t="str">
        <f>IFERROR(__xludf.DUMMYFUNCTION("""COMPUTED_VALUE"""),"彭子芹")</f>
        <v>彭子芹</v>
      </c>
      <c r="D552" s="16" t="str">
        <f>IFERROR(__xludf.DUMMYFUNCTION("""COMPUTED_VALUE"""),"slp*****15.ntpc@mail.edu.tw")</f>
        <v>slp*****15.ntpc@mail.edu.tw</v>
      </c>
      <c r="E552" s="17" t="str">
        <f>IFERROR(__xludf.DUMMYFUNCTION("""COMPUTED_VALUE"""),"新北市立育林國民中學")</f>
        <v>新北市立育林國民中學</v>
      </c>
      <c r="F552" s="14" t="str">
        <f>IFERROR(__xludf.DUMMYFUNCTION("""COMPUTED_VALUE"""),"九年級")</f>
        <v>九年級</v>
      </c>
      <c r="G552" s="14" t="str">
        <f>IFERROR(__xludf.DUMMYFUNCTION("""COMPUTED_VALUE"""),"★禮券$1000")</f>
        <v>★禮券$1000</v>
      </c>
      <c r="H552" s="8"/>
    </row>
    <row r="553">
      <c r="A553" s="18"/>
      <c r="B553" s="14">
        <f>IFERROR(__xludf.DUMMYFUNCTION("""COMPUTED_VALUE"""),824215.0)</f>
        <v>824215</v>
      </c>
      <c r="C553" s="14" t="str">
        <f>IFERROR(__xludf.DUMMYFUNCTION("""COMPUTED_VALUE"""),"王姿琪")</f>
        <v>王姿琪</v>
      </c>
      <c r="D553" s="16" t="str">
        <f>IFERROR(__xludf.DUMMYFUNCTION("""COMPUTED_VALUE"""),"slp*****42.ntpc@mail.edu.tw")</f>
        <v>slp*****42.ntpc@mail.edu.tw</v>
      </c>
      <c r="E553" s="17" t="str">
        <f>IFERROR(__xludf.DUMMYFUNCTION("""COMPUTED_VALUE"""),"新北市立育林國民中學")</f>
        <v>新北市立育林國民中學</v>
      </c>
      <c r="F553" s="14" t="str">
        <f>IFERROR(__xludf.DUMMYFUNCTION("""COMPUTED_VALUE"""),"九年級")</f>
        <v>九年級</v>
      </c>
      <c r="G553" s="14" t="str">
        <f>IFERROR(__xludf.DUMMYFUNCTION("""COMPUTED_VALUE"""),"獎狀")</f>
        <v>獎狀</v>
      </c>
      <c r="H553" s="8"/>
    </row>
    <row r="554">
      <c r="A554" s="18"/>
      <c r="B554" s="14">
        <f>IFERROR(__xludf.DUMMYFUNCTION("""COMPUTED_VALUE"""),824220.0)</f>
        <v>824220</v>
      </c>
      <c r="C554" s="14" t="str">
        <f>IFERROR(__xludf.DUMMYFUNCTION("""COMPUTED_VALUE"""),"周詩軒")</f>
        <v>周詩軒</v>
      </c>
      <c r="D554" s="16" t="str">
        <f>IFERROR(__xludf.DUMMYFUNCTION("""COMPUTED_VALUE"""),"dt1*****18.ntpc@mail.edu.tw")</f>
        <v>dt1*****18.ntpc@mail.edu.tw</v>
      </c>
      <c r="E554" s="17" t="str">
        <f>IFERROR(__xludf.DUMMYFUNCTION("""COMPUTED_VALUE"""),"新北市立育林國民中學")</f>
        <v>新北市立育林國民中學</v>
      </c>
      <c r="F554" s="14" t="str">
        <f>IFERROR(__xludf.DUMMYFUNCTION("""COMPUTED_VALUE"""),"九年級")</f>
        <v>九年級</v>
      </c>
      <c r="G554" s="14" t="str">
        <f>IFERROR(__xludf.DUMMYFUNCTION("""COMPUTED_VALUE"""),"獎狀")</f>
        <v>獎狀</v>
      </c>
      <c r="H554" s="8"/>
    </row>
    <row r="555">
      <c r="A555" s="18"/>
      <c r="B555" s="14">
        <f>IFERROR(__xludf.DUMMYFUNCTION("""COMPUTED_VALUE"""),824223.0)</f>
        <v>824223</v>
      </c>
      <c r="C555" s="14" t="str">
        <f>IFERROR(__xludf.DUMMYFUNCTION("""COMPUTED_VALUE"""),"胡修毓")</f>
        <v>胡修毓</v>
      </c>
      <c r="D555" s="16" t="str">
        <f>IFERROR(__xludf.DUMMYFUNCTION("""COMPUTED_VALUE"""),"dt1*****22.ntpc@mail.edu.tw")</f>
        <v>dt1*****22.ntpc@mail.edu.tw</v>
      </c>
      <c r="E555" s="17" t="str">
        <f>IFERROR(__xludf.DUMMYFUNCTION("""COMPUTED_VALUE"""),"新北市立育林國民中學")</f>
        <v>新北市立育林國民中學</v>
      </c>
      <c r="F555" s="14" t="str">
        <f>IFERROR(__xludf.DUMMYFUNCTION("""COMPUTED_VALUE"""),"九年級")</f>
        <v>九年級</v>
      </c>
      <c r="G555" s="14" t="str">
        <f>IFERROR(__xludf.DUMMYFUNCTION("""COMPUTED_VALUE"""),"獎狀")</f>
        <v>獎狀</v>
      </c>
      <c r="H555" s="8"/>
    </row>
    <row r="556">
      <c r="A556" s="18"/>
      <c r="B556" s="14">
        <f>IFERROR(__xludf.DUMMYFUNCTION("""COMPUTED_VALUE"""),824214.0)</f>
        <v>824214</v>
      </c>
      <c r="C556" s="14" t="str">
        <f>IFERROR(__xludf.DUMMYFUNCTION("""COMPUTED_VALUE"""),"黃萱甯")</f>
        <v>黃萱甯</v>
      </c>
      <c r="D556" s="16" t="str">
        <f>IFERROR(__xludf.DUMMYFUNCTION("""COMPUTED_VALUE"""),"yy1*****041.ntpc@mail.edu.tw")</f>
        <v>yy1*****041.ntpc@mail.edu.tw</v>
      </c>
      <c r="E556" s="17" t="str">
        <f>IFERROR(__xludf.DUMMYFUNCTION("""COMPUTED_VALUE"""),"新北市立育林國民中學")</f>
        <v>新北市立育林國民中學</v>
      </c>
      <c r="F556" s="14" t="str">
        <f>IFERROR(__xludf.DUMMYFUNCTION("""COMPUTED_VALUE"""),"九年級")</f>
        <v>九年級</v>
      </c>
      <c r="G556" s="14" t="str">
        <f>IFERROR(__xludf.DUMMYFUNCTION("""COMPUTED_VALUE"""),"獎狀")</f>
        <v>獎狀</v>
      </c>
      <c r="H556" s="8"/>
    </row>
    <row r="557">
      <c r="A557" s="18"/>
      <c r="B557" s="14">
        <f>IFERROR(__xludf.DUMMYFUNCTION("""COMPUTED_VALUE"""),824205.0)</f>
        <v>824205</v>
      </c>
      <c r="C557" s="14" t="str">
        <f>IFERROR(__xludf.DUMMYFUNCTION("""COMPUTED_VALUE"""),"劉人豪")</f>
        <v>劉人豪</v>
      </c>
      <c r="D557" s="16" t="str">
        <f>IFERROR(__xludf.DUMMYFUNCTION("""COMPUTED_VALUE"""),"dt1*****08.ntpc@mail.edu.tw")</f>
        <v>dt1*****08.ntpc@mail.edu.tw</v>
      </c>
      <c r="E557" s="17" t="str">
        <f>IFERROR(__xludf.DUMMYFUNCTION("""COMPUTED_VALUE"""),"新北市立育林國民中學")</f>
        <v>新北市立育林國民中學</v>
      </c>
      <c r="F557" s="14" t="str">
        <f>IFERROR(__xludf.DUMMYFUNCTION("""COMPUTED_VALUE"""),"九年級")</f>
        <v>九年級</v>
      </c>
      <c r="G557" s="14" t="str">
        <f>IFERROR(__xludf.DUMMYFUNCTION("""COMPUTED_VALUE"""),"獎狀")</f>
        <v>獎狀</v>
      </c>
      <c r="H557" s="8"/>
    </row>
    <row r="558">
      <c r="A558" s="18"/>
      <c r="B558" s="14">
        <f>IFERROR(__xludf.DUMMYFUNCTION("""COMPUTED_VALUE"""),319714.0)</f>
        <v>319714</v>
      </c>
      <c r="C558" s="14" t="str">
        <f>IFERROR(__xludf.DUMMYFUNCTION("""COMPUTED_VALUE"""),"白承弘")</f>
        <v>白承弘</v>
      </c>
      <c r="D558" s="16" t="str">
        <f>IFERROR(__xludf.DUMMYFUNCTION("""COMPUTED_VALUE"""),"bt1*****04.ntpc@mail.edu.tw")</f>
        <v>bt1*****04.ntpc@mail.edu.tw</v>
      </c>
      <c r="E558" s="17" t="str">
        <f>IFERROR(__xludf.DUMMYFUNCTION("""COMPUTED_VALUE"""),"新北市立育林國民中學")</f>
        <v>新北市立育林國民中學</v>
      </c>
      <c r="F558" s="14" t="str">
        <f>IFERROR(__xludf.DUMMYFUNCTION("""COMPUTED_VALUE"""),"九年級")</f>
        <v>九年級</v>
      </c>
      <c r="G558" s="14" t="str">
        <f>IFERROR(__xludf.DUMMYFUNCTION("""COMPUTED_VALUE"""),"●小禮物")</f>
        <v>●小禮物</v>
      </c>
      <c r="H558" s="8"/>
    </row>
    <row r="559">
      <c r="A559" s="18"/>
      <c r="B559" s="14">
        <f>IFERROR(__xludf.DUMMYFUNCTION("""COMPUTED_VALUE"""),1176122.0)</f>
        <v>1176122</v>
      </c>
      <c r="C559" s="14" t="str">
        <f>IFERROR(__xludf.DUMMYFUNCTION("""COMPUTED_VALUE"""),"邱勉鈞")</f>
        <v>邱勉鈞</v>
      </c>
      <c r="D559" s="16" t="str">
        <f>IFERROR(__xludf.DUMMYFUNCTION("""COMPUTED_VALUE"""),"yy1*****007.ntpc@mail.edu.tw")</f>
        <v>yy1*****007.ntpc@mail.edu.tw</v>
      </c>
      <c r="E559" s="17" t="str">
        <f>IFERROR(__xludf.DUMMYFUNCTION("""COMPUTED_VALUE"""),"新北市立育林國民中學")</f>
        <v>新北市立育林國民中學</v>
      </c>
      <c r="F559" s="14" t="str">
        <f>IFERROR(__xludf.DUMMYFUNCTION("""COMPUTED_VALUE"""),"九年級")</f>
        <v>九年級</v>
      </c>
      <c r="G559" s="14" t="str">
        <f>IFERROR(__xludf.DUMMYFUNCTION("""COMPUTED_VALUE"""),"●小禮物")</f>
        <v>●小禮物</v>
      </c>
      <c r="H559" s="8"/>
    </row>
    <row r="560">
      <c r="A560" s="18"/>
      <c r="B560" s="14">
        <f>IFERROR(__xludf.DUMMYFUNCTION("""COMPUTED_VALUE"""),1176133.0)</f>
        <v>1176133</v>
      </c>
      <c r="C560" s="14" t="str">
        <f>IFERROR(__xludf.DUMMYFUNCTION("""COMPUTED_VALUE"""),"邱毓娸")</f>
        <v>邱毓娸</v>
      </c>
      <c r="D560" s="16" t="str">
        <f>IFERROR(__xludf.DUMMYFUNCTION("""COMPUTED_VALUE"""),"yy1*****033.ntpc@mail.edu.tw")</f>
        <v>yy1*****033.ntpc@mail.edu.tw</v>
      </c>
      <c r="E560" s="17" t="str">
        <f>IFERROR(__xludf.DUMMYFUNCTION("""COMPUTED_VALUE"""),"新北市立育林國民中學")</f>
        <v>新北市立育林國民中學</v>
      </c>
      <c r="F560" s="14" t="str">
        <f>IFERROR(__xludf.DUMMYFUNCTION("""COMPUTED_VALUE"""),"九年級")</f>
        <v>九年級</v>
      </c>
      <c r="G560" s="14" t="str">
        <f>IFERROR(__xludf.DUMMYFUNCTION("""COMPUTED_VALUE"""),"●小禮物")</f>
        <v>●小禮物</v>
      </c>
      <c r="H560" s="8"/>
    </row>
    <row r="561">
      <c r="A561" s="18"/>
      <c r="B561" s="14">
        <f>IFERROR(__xludf.DUMMYFUNCTION("""COMPUTED_VALUE"""),1188467.0)</f>
        <v>1188467</v>
      </c>
      <c r="C561" s="14" t="str">
        <f>IFERROR(__xludf.DUMMYFUNCTION("""COMPUTED_VALUE"""),"洪淯萱")</f>
        <v>洪淯萱</v>
      </c>
      <c r="D561" s="16" t="str">
        <f>IFERROR(__xludf.DUMMYFUNCTION("""COMPUTED_VALUE"""),"slp*****08.ntpc@mail.edu.tw")</f>
        <v>slp*****08.ntpc@mail.edu.tw</v>
      </c>
      <c r="E561" s="17" t="str">
        <f>IFERROR(__xludf.DUMMYFUNCTION("""COMPUTED_VALUE"""),"新北市立育林國民中學")</f>
        <v>新北市立育林國民中學</v>
      </c>
      <c r="F561" s="14" t="str">
        <f>IFERROR(__xludf.DUMMYFUNCTION("""COMPUTED_VALUE"""),"九年級")</f>
        <v>九年級</v>
      </c>
      <c r="G561" s="14" t="str">
        <f>IFERROR(__xludf.DUMMYFUNCTION("""COMPUTED_VALUE"""),"●小禮物")</f>
        <v>●小禮物</v>
      </c>
      <c r="H561" s="8"/>
    </row>
    <row r="562">
      <c r="A562" s="18"/>
      <c r="B562" s="14">
        <f>IFERROR(__xludf.DUMMYFUNCTION("""COMPUTED_VALUE"""),1176118.0)</f>
        <v>1176118</v>
      </c>
      <c r="C562" s="14" t="str">
        <f>IFERROR(__xludf.DUMMYFUNCTION("""COMPUTED_VALUE"""),"陳奕丰")</f>
        <v>陳奕丰</v>
      </c>
      <c r="D562" s="16" t="str">
        <f>IFERROR(__xludf.DUMMYFUNCTION("""COMPUTED_VALUE"""),"gye*****17.ntpc@mail.edu.tw")</f>
        <v>gye*****17.ntpc@mail.edu.tw</v>
      </c>
      <c r="E562" s="17" t="str">
        <f>IFERROR(__xludf.DUMMYFUNCTION("""COMPUTED_VALUE"""),"新北市立育林國民中學")</f>
        <v>新北市立育林國民中學</v>
      </c>
      <c r="F562" s="14" t="str">
        <f>IFERROR(__xludf.DUMMYFUNCTION("""COMPUTED_VALUE"""),"九年級")</f>
        <v>九年級</v>
      </c>
      <c r="G562" s="14" t="str">
        <f>IFERROR(__xludf.DUMMYFUNCTION("""COMPUTED_VALUE"""),"●小禮物")</f>
        <v>●小禮物</v>
      </c>
      <c r="H562" s="8"/>
    </row>
    <row r="563">
      <c r="A563" s="18"/>
      <c r="B563" s="14">
        <f>IFERROR(__xludf.DUMMYFUNCTION("""COMPUTED_VALUE"""),1176125.0)</f>
        <v>1176125</v>
      </c>
      <c r="C563" s="14" t="str">
        <f>IFERROR(__xludf.DUMMYFUNCTION("""COMPUTED_VALUE"""),"詹博陽")</f>
        <v>詹博陽</v>
      </c>
      <c r="D563" s="16" t="str">
        <f>IFERROR(__xludf.DUMMYFUNCTION("""COMPUTED_VALUE"""),"slp*****96.ntpc@mail.edu.tw")</f>
        <v>slp*****96.ntpc@mail.edu.tw</v>
      </c>
      <c r="E563" s="17" t="str">
        <f>IFERROR(__xludf.DUMMYFUNCTION("""COMPUTED_VALUE"""),"新北市立育林國民中學")</f>
        <v>新北市立育林國民中學</v>
      </c>
      <c r="F563" s="14" t="str">
        <f>IFERROR(__xludf.DUMMYFUNCTION("""COMPUTED_VALUE"""),"九年級")</f>
        <v>九年級</v>
      </c>
      <c r="G563" s="14" t="str">
        <f>IFERROR(__xludf.DUMMYFUNCTION("""COMPUTED_VALUE"""),"●小禮物")</f>
        <v>●小禮物</v>
      </c>
      <c r="H563" s="8"/>
    </row>
    <row r="564">
      <c r="A564" s="18"/>
      <c r="B564" s="14">
        <f>IFERROR(__xludf.DUMMYFUNCTION("""COMPUTED_VALUE"""),1176136.0)</f>
        <v>1176136</v>
      </c>
      <c r="C564" s="14" t="str">
        <f>IFERROR(__xludf.DUMMYFUNCTION("""COMPUTED_VALUE"""),"戴士東")</f>
        <v>戴士東</v>
      </c>
      <c r="D564" s="16" t="str">
        <f>IFERROR(__xludf.DUMMYFUNCTION("""COMPUTED_VALUE"""),"pf1*****.ntpc@mail.edu.tw")</f>
        <v>pf1*****.ntpc@mail.edu.tw</v>
      </c>
      <c r="E564" s="17" t="str">
        <f>IFERROR(__xludf.DUMMYFUNCTION("""COMPUTED_VALUE"""),"新北市立育林國民中學")</f>
        <v>新北市立育林國民中學</v>
      </c>
      <c r="F564" s="14" t="str">
        <f>IFERROR(__xludf.DUMMYFUNCTION("""COMPUTED_VALUE"""),"九年級")</f>
        <v>九年級</v>
      </c>
      <c r="G564" s="14" t="str">
        <f>IFERROR(__xludf.DUMMYFUNCTION("""COMPUTED_VALUE"""),"●小禮物")</f>
        <v>●小禮物</v>
      </c>
      <c r="H564" s="8"/>
    </row>
    <row r="565">
      <c r="A565" s="18"/>
      <c r="B565" s="14">
        <f>IFERROR(__xludf.DUMMYFUNCTION("""COMPUTED_VALUE"""),1176121.0)</f>
        <v>1176121</v>
      </c>
      <c r="C565" s="14" t="str">
        <f>IFERROR(__xludf.DUMMYFUNCTION("""COMPUTED_VALUE"""),"沈裔珈")</f>
        <v>沈裔珈</v>
      </c>
      <c r="D565" s="16" t="str">
        <f>IFERROR(__xludf.DUMMYFUNCTION("""COMPUTED_VALUE"""),"dt1*****22.ntpc@mail.edu.tw")</f>
        <v>dt1*****22.ntpc@mail.edu.tw</v>
      </c>
      <c r="E565" s="17" t="str">
        <f>IFERROR(__xludf.DUMMYFUNCTION("""COMPUTED_VALUE"""),"新北市立育林國民中學")</f>
        <v>新北市立育林國民中學</v>
      </c>
      <c r="F565" s="14" t="str">
        <f>IFERROR(__xludf.DUMMYFUNCTION("""COMPUTED_VALUE"""),"九年級")</f>
        <v>九年級</v>
      </c>
      <c r="G565" s="14" t="str">
        <f>IFERROR(__xludf.DUMMYFUNCTION("""COMPUTED_VALUE"""),"獎狀")</f>
        <v>獎狀</v>
      </c>
      <c r="H565" s="8"/>
    </row>
    <row r="566">
      <c r="A566" s="18"/>
      <c r="B566" s="14">
        <f>IFERROR(__xludf.DUMMYFUNCTION("""COMPUTED_VALUE"""),1176130.0)</f>
        <v>1176130</v>
      </c>
      <c r="C566" s="14" t="str">
        <f>IFERROR(__xludf.DUMMYFUNCTION("""COMPUTED_VALUE"""),"柯志遠")</f>
        <v>柯志遠</v>
      </c>
      <c r="D566" s="16" t="str">
        <f>IFERROR(__xludf.DUMMYFUNCTION("""COMPUTED_VALUE"""),"yy1*****023.ntpc@mail.edu.tw")</f>
        <v>yy1*****023.ntpc@mail.edu.tw</v>
      </c>
      <c r="E566" s="17" t="str">
        <f>IFERROR(__xludf.DUMMYFUNCTION("""COMPUTED_VALUE"""),"新北市立育林國民中學")</f>
        <v>新北市立育林國民中學</v>
      </c>
      <c r="F566" s="14" t="str">
        <f>IFERROR(__xludf.DUMMYFUNCTION("""COMPUTED_VALUE"""),"九年級")</f>
        <v>九年級</v>
      </c>
      <c r="G566" s="14" t="str">
        <f>IFERROR(__xludf.DUMMYFUNCTION("""COMPUTED_VALUE"""),"獎狀")</f>
        <v>獎狀</v>
      </c>
      <c r="H566" s="8"/>
    </row>
    <row r="567">
      <c r="A567" s="18"/>
      <c r="B567" s="14">
        <f>IFERROR(__xludf.DUMMYFUNCTION("""COMPUTED_VALUE"""),1176116.0)</f>
        <v>1176116</v>
      </c>
      <c r="C567" s="14" t="str">
        <f>IFERROR(__xludf.DUMMYFUNCTION("""COMPUTED_VALUE"""),"徐依辰")</f>
        <v>徐依辰</v>
      </c>
      <c r="D567" s="16" t="str">
        <f>IFERROR(__xludf.DUMMYFUNCTION("""COMPUTED_VALUE"""),"slp*****57.ntpc@mail.edu.tw")</f>
        <v>slp*****57.ntpc@mail.edu.tw</v>
      </c>
      <c r="E567" s="17" t="str">
        <f>IFERROR(__xludf.DUMMYFUNCTION("""COMPUTED_VALUE"""),"新北市立育林國民中學")</f>
        <v>新北市立育林國民中學</v>
      </c>
      <c r="F567" s="14" t="str">
        <f>IFERROR(__xludf.DUMMYFUNCTION("""COMPUTED_VALUE"""),"九年級")</f>
        <v>九年級</v>
      </c>
      <c r="G567" s="14" t="str">
        <f>IFERROR(__xludf.DUMMYFUNCTION("""COMPUTED_VALUE"""),"獎狀")</f>
        <v>獎狀</v>
      </c>
      <c r="H567" s="8"/>
    </row>
    <row r="568">
      <c r="A568" s="18"/>
      <c r="B568" s="14">
        <f>IFERROR(__xludf.DUMMYFUNCTION("""COMPUTED_VALUE"""),1176164.0)</f>
        <v>1176164</v>
      </c>
      <c r="C568" s="14" t="str">
        <f>IFERROR(__xludf.DUMMYFUNCTION("""COMPUTED_VALUE"""),"莊淯翔")</f>
        <v>莊淯翔</v>
      </c>
      <c r="D568" s="16" t="str">
        <f>IFERROR(__xludf.DUMMYFUNCTION("""COMPUTED_VALUE"""),"slp*****31.ntpc@mail.edu.tw")</f>
        <v>slp*****31.ntpc@mail.edu.tw</v>
      </c>
      <c r="E568" s="17" t="str">
        <f>IFERROR(__xludf.DUMMYFUNCTION("""COMPUTED_VALUE"""),"新北市立育林國民中學")</f>
        <v>新北市立育林國民中學</v>
      </c>
      <c r="F568" s="14" t="str">
        <f>IFERROR(__xludf.DUMMYFUNCTION("""COMPUTED_VALUE"""),"九年級")</f>
        <v>九年級</v>
      </c>
      <c r="G568" s="14" t="str">
        <f>IFERROR(__xludf.DUMMYFUNCTION("""COMPUTED_VALUE"""),"獎狀")</f>
        <v>獎狀</v>
      </c>
      <c r="H568" s="8"/>
    </row>
    <row r="569">
      <c r="A569" s="18"/>
      <c r="B569" s="14">
        <f>IFERROR(__xludf.DUMMYFUNCTION("""COMPUTED_VALUE"""),1176124.0)</f>
        <v>1176124</v>
      </c>
      <c r="C569" s="14" t="str">
        <f>IFERROR(__xludf.DUMMYFUNCTION("""COMPUTED_VALUE"""),"廖文希")</f>
        <v>廖文希</v>
      </c>
      <c r="D569" s="16" t="str">
        <f>IFERROR(__xludf.DUMMYFUNCTION("""COMPUTED_VALUE"""),"jul*****8.ntpc@mail.edu.tw")</f>
        <v>jul*****8.ntpc@mail.edu.tw</v>
      </c>
      <c r="E569" s="17" t="str">
        <f>IFERROR(__xludf.DUMMYFUNCTION("""COMPUTED_VALUE"""),"新北市立育林國民中學")</f>
        <v>新北市立育林國民中學</v>
      </c>
      <c r="F569" s="14" t="str">
        <f>IFERROR(__xludf.DUMMYFUNCTION("""COMPUTED_VALUE"""),"九年級")</f>
        <v>九年級</v>
      </c>
      <c r="G569" s="14" t="str">
        <f>IFERROR(__xludf.DUMMYFUNCTION("""COMPUTED_VALUE"""),"獎狀")</f>
        <v>獎狀</v>
      </c>
      <c r="H569" s="8"/>
    </row>
    <row r="570">
      <c r="A570" s="18"/>
      <c r="B570" s="14">
        <f>IFERROR(__xludf.DUMMYFUNCTION("""COMPUTED_VALUE"""),1176128.0)</f>
        <v>1176128</v>
      </c>
      <c r="C570" s="14" t="str">
        <f>IFERROR(__xludf.DUMMYFUNCTION("""COMPUTED_VALUE"""),"譚秉庠")</f>
        <v>譚秉庠</v>
      </c>
      <c r="D570" s="16" t="str">
        <f>IFERROR(__xludf.DUMMYFUNCTION("""COMPUTED_VALUE"""),"slp*****67.ntpc@mail.edu.tw")</f>
        <v>slp*****67.ntpc@mail.edu.tw</v>
      </c>
      <c r="E570" s="17" t="str">
        <f>IFERROR(__xludf.DUMMYFUNCTION("""COMPUTED_VALUE"""),"新北市立育林國民中學")</f>
        <v>新北市立育林國民中學</v>
      </c>
      <c r="F570" s="14" t="str">
        <f>IFERROR(__xludf.DUMMYFUNCTION("""COMPUTED_VALUE"""),"九年級")</f>
        <v>九年級</v>
      </c>
      <c r="G570" s="14" t="str">
        <f>IFERROR(__xludf.DUMMYFUNCTION("""COMPUTED_VALUE"""),"獎狀")</f>
        <v>獎狀</v>
      </c>
      <c r="H570" s="8"/>
    </row>
    <row r="571">
      <c r="A571" s="18"/>
      <c r="B571" s="14">
        <f>IFERROR(__xludf.DUMMYFUNCTION("""COMPUTED_VALUE"""),1180659.0)</f>
        <v>1180659</v>
      </c>
      <c r="C571" s="14" t="str">
        <f>IFERROR(__xludf.DUMMYFUNCTION("""COMPUTED_VALUE"""),"林和毅")</f>
        <v>林和毅</v>
      </c>
      <c r="D571" s="16" t="str">
        <f>IFERROR(__xludf.DUMMYFUNCTION("""COMPUTED_VALUE"""),"slp*****26.ntpc@mail.edu.tw")</f>
        <v>slp*****26.ntpc@mail.edu.tw</v>
      </c>
      <c r="E571" s="17" t="str">
        <f>IFERROR(__xludf.DUMMYFUNCTION("""COMPUTED_VALUE"""),"新北市立育林國民中學")</f>
        <v>新北市立育林國民中學</v>
      </c>
      <c r="F571" s="14" t="str">
        <f>IFERROR(__xludf.DUMMYFUNCTION("""COMPUTED_VALUE"""),"九年級")</f>
        <v>九年級</v>
      </c>
      <c r="G571" s="14" t="str">
        <f>IFERROR(__xludf.DUMMYFUNCTION("""COMPUTED_VALUE"""),"●小禮物")</f>
        <v>●小禮物</v>
      </c>
      <c r="H571" s="8"/>
    </row>
    <row r="572">
      <c r="A572" s="18"/>
      <c r="B572" s="14">
        <f>IFERROR(__xludf.DUMMYFUNCTION("""COMPUTED_VALUE"""),1180653.0)</f>
        <v>1180653</v>
      </c>
      <c r="C572" s="14" t="str">
        <f>IFERROR(__xludf.DUMMYFUNCTION("""COMPUTED_VALUE"""),"張詠翔")</f>
        <v>張詠翔</v>
      </c>
      <c r="D572" s="16" t="str">
        <f>IFERROR(__xludf.DUMMYFUNCTION("""COMPUTED_VALUE"""),"slp*****48.ntpc@mail.edu.tw")</f>
        <v>slp*****48.ntpc@mail.edu.tw</v>
      </c>
      <c r="E572" s="17" t="str">
        <f>IFERROR(__xludf.DUMMYFUNCTION("""COMPUTED_VALUE"""),"新北市立育林國民中學")</f>
        <v>新北市立育林國民中學</v>
      </c>
      <c r="F572" s="14" t="str">
        <f>IFERROR(__xludf.DUMMYFUNCTION("""COMPUTED_VALUE"""),"九年級")</f>
        <v>九年級</v>
      </c>
      <c r="G572" s="14" t="str">
        <f>IFERROR(__xludf.DUMMYFUNCTION("""COMPUTED_VALUE"""),"●小禮物")</f>
        <v>●小禮物</v>
      </c>
      <c r="H572" s="8"/>
    </row>
    <row r="573">
      <c r="A573" s="18"/>
      <c r="B573" s="14">
        <f>IFERROR(__xludf.DUMMYFUNCTION("""COMPUTED_VALUE"""),1180661.0)</f>
        <v>1180661</v>
      </c>
      <c r="C573" s="14" t="str">
        <f>IFERROR(__xludf.DUMMYFUNCTION("""COMPUTED_VALUE"""),"郭冠毅")</f>
        <v>郭冠毅</v>
      </c>
      <c r="D573" s="16" t="str">
        <f>IFERROR(__xludf.DUMMYFUNCTION("""COMPUTED_VALUE"""),"ke0*****tpc@mail.edu.tw")</f>
        <v>ke0*****tpc@mail.edu.tw</v>
      </c>
      <c r="E573" s="17" t="str">
        <f>IFERROR(__xludf.DUMMYFUNCTION("""COMPUTED_VALUE"""),"新北市立育林國民中學")</f>
        <v>新北市立育林國民中學</v>
      </c>
      <c r="F573" s="14" t="str">
        <f>IFERROR(__xludf.DUMMYFUNCTION("""COMPUTED_VALUE"""),"九年級")</f>
        <v>九年級</v>
      </c>
      <c r="G573" s="14" t="str">
        <f>IFERROR(__xludf.DUMMYFUNCTION("""COMPUTED_VALUE"""),"●小禮物")</f>
        <v>●小禮物</v>
      </c>
      <c r="H573" s="8"/>
    </row>
    <row r="574">
      <c r="A574" s="18"/>
      <c r="B574" s="14">
        <f>IFERROR(__xludf.DUMMYFUNCTION("""COMPUTED_VALUE"""),1180654.0)</f>
        <v>1180654</v>
      </c>
      <c r="C574" s="14" t="str">
        <f>IFERROR(__xludf.DUMMYFUNCTION("""COMPUTED_VALUE"""),"彭子芹")</f>
        <v>彭子芹</v>
      </c>
      <c r="D574" s="16" t="str">
        <f>IFERROR(__xludf.DUMMYFUNCTION("""COMPUTED_VALUE"""),"dt1*****24.ntpc@mail.edu.tw")</f>
        <v>dt1*****24.ntpc@mail.edu.tw</v>
      </c>
      <c r="E574" s="17" t="str">
        <f>IFERROR(__xludf.DUMMYFUNCTION("""COMPUTED_VALUE"""),"新北市立育林國民中學")</f>
        <v>新北市立育林國民中學</v>
      </c>
      <c r="F574" s="14" t="str">
        <f>IFERROR(__xludf.DUMMYFUNCTION("""COMPUTED_VALUE"""),"九年級")</f>
        <v>九年級</v>
      </c>
      <c r="G574" s="14" t="str">
        <f>IFERROR(__xludf.DUMMYFUNCTION("""COMPUTED_VALUE"""),"●小禮物")</f>
        <v>●小禮物</v>
      </c>
      <c r="H574" s="8"/>
    </row>
    <row r="575">
      <c r="A575" s="18"/>
      <c r="B575" s="14">
        <f>IFERROR(__xludf.DUMMYFUNCTION("""COMPUTED_VALUE"""),1180666.0)</f>
        <v>1180666</v>
      </c>
      <c r="C575" s="14" t="str">
        <f>IFERROR(__xludf.DUMMYFUNCTION("""COMPUTED_VALUE"""),"楊芊柔")</f>
        <v>楊芊柔</v>
      </c>
      <c r="D575" s="16" t="str">
        <f>IFERROR(__xludf.DUMMYFUNCTION("""COMPUTED_VALUE"""),"slp*****07.ntpc@mail.edu.tw")</f>
        <v>slp*****07.ntpc@mail.edu.tw</v>
      </c>
      <c r="E575" s="17" t="str">
        <f>IFERROR(__xludf.DUMMYFUNCTION("""COMPUTED_VALUE"""),"新北市立育林國民中學")</f>
        <v>新北市立育林國民中學</v>
      </c>
      <c r="F575" s="14" t="str">
        <f>IFERROR(__xludf.DUMMYFUNCTION("""COMPUTED_VALUE"""),"九年級")</f>
        <v>九年級</v>
      </c>
      <c r="G575" s="14" t="str">
        <f>IFERROR(__xludf.DUMMYFUNCTION("""COMPUTED_VALUE"""),"●小禮物")</f>
        <v>●小禮物</v>
      </c>
      <c r="H575" s="8"/>
    </row>
    <row r="576">
      <c r="A576" s="18"/>
      <c r="B576" s="14">
        <f>IFERROR(__xludf.DUMMYFUNCTION("""COMPUTED_VALUE"""),1180663.0)</f>
        <v>1180663</v>
      </c>
      <c r="C576" s="14" t="str">
        <f>IFERROR(__xludf.DUMMYFUNCTION("""COMPUTED_VALUE"""),"滕念庭")</f>
        <v>滕念庭</v>
      </c>
      <c r="D576" s="16" t="str">
        <f>IFERROR(__xludf.DUMMYFUNCTION("""COMPUTED_VALUE"""),"dt1*****15.ntpc@mail.edu.tw")</f>
        <v>dt1*****15.ntpc@mail.edu.tw</v>
      </c>
      <c r="E576" s="17" t="str">
        <f>IFERROR(__xludf.DUMMYFUNCTION("""COMPUTED_VALUE"""),"新北市立育林國民中學")</f>
        <v>新北市立育林國民中學</v>
      </c>
      <c r="F576" s="14" t="str">
        <f>IFERROR(__xludf.DUMMYFUNCTION("""COMPUTED_VALUE"""),"九年級")</f>
        <v>九年級</v>
      </c>
      <c r="G576" s="14" t="str">
        <f>IFERROR(__xludf.DUMMYFUNCTION("""COMPUTED_VALUE"""),"●小禮物")</f>
        <v>●小禮物</v>
      </c>
      <c r="H576" s="8"/>
    </row>
    <row r="577">
      <c r="A577" s="18"/>
      <c r="B577" s="14">
        <f>IFERROR(__xludf.DUMMYFUNCTION("""COMPUTED_VALUE"""),1180652.0)</f>
        <v>1180652</v>
      </c>
      <c r="C577" s="14" t="str">
        <f>IFERROR(__xludf.DUMMYFUNCTION("""COMPUTED_VALUE"""),"鄧方羽")</f>
        <v>鄧方羽</v>
      </c>
      <c r="D577" s="16" t="str">
        <f>IFERROR(__xludf.DUMMYFUNCTION("""COMPUTED_VALUE"""),"slp*****08.ntpc@mail.edu.tw")</f>
        <v>slp*****08.ntpc@mail.edu.tw</v>
      </c>
      <c r="E577" s="17" t="str">
        <f>IFERROR(__xludf.DUMMYFUNCTION("""COMPUTED_VALUE"""),"新北市立育林國民中學")</f>
        <v>新北市立育林國民中學</v>
      </c>
      <c r="F577" s="14" t="str">
        <f>IFERROR(__xludf.DUMMYFUNCTION("""COMPUTED_VALUE"""),"九年級")</f>
        <v>九年級</v>
      </c>
      <c r="G577" s="14" t="str">
        <f>IFERROR(__xludf.DUMMYFUNCTION("""COMPUTED_VALUE"""),"●小禮物")</f>
        <v>●小禮物</v>
      </c>
      <c r="H577" s="8"/>
    </row>
    <row r="578">
      <c r="A578" s="18"/>
      <c r="B578" s="14">
        <f>IFERROR(__xludf.DUMMYFUNCTION("""COMPUTED_VALUE"""),1180667.0)</f>
        <v>1180667</v>
      </c>
      <c r="C578" s="14" t="str">
        <f>IFERROR(__xludf.DUMMYFUNCTION("""COMPUTED_VALUE"""),"謝佩紜")</f>
        <v>謝佩紜</v>
      </c>
      <c r="D578" s="16" t="str">
        <f>IFERROR(__xludf.DUMMYFUNCTION("""COMPUTED_VALUE"""),"slp*****34.ntpc@mail.edu.tw")</f>
        <v>slp*****34.ntpc@mail.edu.tw</v>
      </c>
      <c r="E578" s="17" t="str">
        <f>IFERROR(__xludf.DUMMYFUNCTION("""COMPUTED_VALUE"""),"新北市立育林國民中學")</f>
        <v>新北市立育林國民中學</v>
      </c>
      <c r="F578" s="14" t="str">
        <f>IFERROR(__xludf.DUMMYFUNCTION("""COMPUTED_VALUE"""),"九年級")</f>
        <v>九年級</v>
      </c>
      <c r="G578" s="14" t="str">
        <f>IFERROR(__xludf.DUMMYFUNCTION("""COMPUTED_VALUE"""),"●小禮物")</f>
        <v>●小禮物</v>
      </c>
      <c r="H578" s="8"/>
    </row>
    <row r="579">
      <c r="A579" s="18"/>
      <c r="B579" s="14">
        <f>IFERROR(__xludf.DUMMYFUNCTION("""COMPUTED_VALUE"""),1180702.0)</f>
        <v>1180702</v>
      </c>
      <c r="C579" s="14" t="str">
        <f>IFERROR(__xludf.DUMMYFUNCTION("""COMPUTED_VALUE"""),"張文嫙")</f>
        <v>張文嫙</v>
      </c>
      <c r="D579" s="16" t="str">
        <f>IFERROR(__xludf.DUMMYFUNCTION("""COMPUTED_VALUE"""),"slp*****10.ntpc@mail.edu.tw")</f>
        <v>slp*****10.ntpc@mail.edu.tw</v>
      </c>
      <c r="E579" s="17" t="str">
        <f>IFERROR(__xludf.DUMMYFUNCTION("""COMPUTED_VALUE"""),"新北市立育林國民中學")</f>
        <v>新北市立育林國民中學</v>
      </c>
      <c r="F579" s="14" t="str">
        <f>IFERROR(__xludf.DUMMYFUNCTION("""COMPUTED_VALUE"""),"九年級")</f>
        <v>九年級</v>
      </c>
      <c r="G579" s="14" t="str">
        <f>IFERROR(__xludf.DUMMYFUNCTION("""COMPUTED_VALUE"""),"獎狀")</f>
        <v>獎狀</v>
      </c>
      <c r="H579" s="8"/>
    </row>
    <row r="580">
      <c r="A580" s="18"/>
      <c r="B580" s="14">
        <f>IFERROR(__xludf.DUMMYFUNCTION("""COMPUTED_VALUE"""),1180650.0)</f>
        <v>1180650</v>
      </c>
      <c r="C580" s="14" t="str">
        <f>IFERROR(__xludf.DUMMYFUNCTION("""COMPUTED_VALUE"""),"許銘翃")</f>
        <v>許銘翃</v>
      </c>
      <c r="D580" s="16" t="str">
        <f>IFERROR(__xludf.DUMMYFUNCTION("""COMPUTED_VALUE"""),"dt1*****01.ntpc@mail.edu.tw")</f>
        <v>dt1*****01.ntpc@mail.edu.tw</v>
      </c>
      <c r="E580" s="17" t="str">
        <f>IFERROR(__xludf.DUMMYFUNCTION("""COMPUTED_VALUE"""),"新北市立育林國民中學")</f>
        <v>新北市立育林國民中學</v>
      </c>
      <c r="F580" s="14" t="str">
        <f>IFERROR(__xludf.DUMMYFUNCTION("""COMPUTED_VALUE"""),"九年級")</f>
        <v>九年級</v>
      </c>
      <c r="G580" s="14" t="str">
        <f>IFERROR(__xludf.DUMMYFUNCTION("""COMPUTED_VALUE"""),"獎狀")</f>
        <v>獎狀</v>
      </c>
      <c r="H580" s="8"/>
    </row>
    <row r="581">
      <c r="A581" s="18"/>
      <c r="B581" s="14">
        <f>IFERROR(__xludf.DUMMYFUNCTION("""COMPUTED_VALUE"""),1180651.0)</f>
        <v>1180651</v>
      </c>
      <c r="C581" s="14" t="str">
        <f>IFERROR(__xludf.DUMMYFUNCTION("""COMPUTED_VALUE"""),"陳綺萱")</f>
        <v>陳綺萱</v>
      </c>
      <c r="D581" s="16" t="str">
        <f>IFERROR(__xludf.DUMMYFUNCTION("""COMPUTED_VALUE"""),"yy1*****032.ntpc@mail.edu.tw")</f>
        <v>yy1*****032.ntpc@mail.edu.tw</v>
      </c>
      <c r="E581" s="17" t="str">
        <f>IFERROR(__xludf.DUMMYFUNCTION("""COMPUTED_VALUE"""),"新北市立育林國民中學")</f>
        <v>新北市立育林國民中學</v>
      </c>
      <c r="F581" s="14" t="str">
        <f>IFERROR(__xludf.DUMMYFUNCTION("""COMPUTED_VALUE"""),"九年級")</f>
        <v>九年級</v>
      </c>
      <c r="G581" s="14" t="str">
        <f>IFERROR(__xludf.DUMMYFUNCTION("""COMPUTED_VALUE"""),"獎狀")</f>
        <v>獎狀</v>
      </c>
      <c r="H581" s="8"/>
    </row>
    <row r="582">
      <c r="A582" s="18"/>
      <c r="B582" s="14">
        <f>IFERROR(__xludf.DUMMYFUNCTION("""COMPUTED_VALUE"""),1180658.0)</f>
        <v>1180658</v>
      </c>
      <c r="C582" s="14" t="str">
        <f>IFERROR(__xludf.DUMMYFUNCTION("""COMPUTED_VALUE"""),"詹喬雅")</f>
        <v>詹喬雅</v>
      </c>
      <c r="D582" s="16" t="str">
        <f>IFERROR(__xludf.DUMMYFUNCTION("""COMPUTED_VALUE"""),"yy1*****048.ntpc@mail.edu.tw")</f>
        <v>yy1*****048.ntpc@mail.edu.tw</v>
      </c>
      <c r="E582" s="17" t="str">
        <f>IFERROR(__xludf.DUMMYFUNCTION("""COMPUTED_VALUE"""),"新北市立育林國民中學")</f>
        <v>新北市立育林國民中學</v>
      </c>
      <c r="F582" s="14" t="str">
        <f>IFERROR(__xludf.DUMMYFUNCTION("""COMPUTED_VALUE"""),"九年級")</f>
        <v>九年級</v>
      </c>
      <c r="G582" s="14" t="str">
        <f>IFERROR(__xludf.DUMMYFUNCTION("""COMPUTED_VALUE"""),"獎狀")</f>
        <v>獎狀</v>
      </c>
      <c r="H582" s="8"/>
    </row>
    <row r="583">
      <c r="A583" s="18"/>
      <c r="B583" s="14">
        <f>IFERROR(__xludf.DUMMYFUNCTION("""COMPUTED_VALUE"""),1180656.0)</f>
        <v>1180656</v>
      </c>
      <c r="C583" s="14" t="str">
        <f>IFERROR(__xludf.DUMMYFUNCTION("""COMPUTED_VALUE"""),"簡禎佑")</f>
        <v>簡禎佑</v>
      </c>
      <c r="D583" s="16" t="str">
        <f>IFERROR(__xludf.DUMMYFUNCTION("""COMPUTED_VALUE"""),"slp*****29.ntpc@mail.edu.tw")</f>
        <v>slp*****29.ntpc@mail.edu.tw</v>
      </c>
      <c r="E583" s="17" t="str">
        <f>IFERROR(__xludf.DUMMYFUNCTION("""COMPUTED_VALUE"""),"新北市立育林國民中學")</f>
        <v>新北市立育林國民中學</v>
      </c>
      <c r="F583" s="14" t="str">
        <f>IFERROR(__xludf.DUMMYFUNCTION("""COMPUTED_VALUE"""),"九年級")</f>
        <v>九年級</v>
      </c>
      <c r="G583" s="14" t="str">
        <f>IFERROR(__xludf.DUMMYFUNCTION("""COMPUTED_VALUE"""),"獎狀")</f>
        <v>獎狀</v>
      </c>
      <c r="H583" s="8"/>
    </row>
    <row r="584">
      <c r="A584" s="18"/>
      <c r="B584" s="14">
        <f>IFERROR(__xludf.DUMMYFUNCTION("""COMPUTED_VALUE"""),1182908.0)</f>
        <v>1182908</v>
      </c>
      <c r="C584" s="14" t="str">
        <f>IFERROR(__xludf.DUMMYFUNCTION("""COMPUTED_VALUE"""),"賴宥瑄")</f>
        <v>賴宥瑄</v>
      </c>
      <c r="D584" s="16" t="str">
        <f>IFERROR(__xludf.DUMMYFUNCTION("""COMPUTED_VALUE"""),"yy1*****031.ntpc@mail.edu.tw")</f>
        <v>yy1*****031.ntpc@mail.edu.tw</v>
      </c>
      <c r="E584" s="17" t="str">
        <f>IFERROR(__xludf.DUMMYFUNCTION("""COMPUTED_VALUE"""),"新北市立育林國民中學")</f>
        <v>新北市立育林國民中學</v>
      </c>
      <c r="F584" s="14" t="str">
        <f>IFERROR(__xludf.DUMMYFUNCTION("""COMPUTED_VALUE"""),"九年級")</f>
        <v>九年級</v>
      </c>
      <c r="G584" s="14" t="str">
        <f>IFERROR(__xludf.DUMMYFUNCTION("""COMPUTED_VALUE"""),"獎狀")</f>
        <v>獎狀</v>
      </c>
      <c r="H584" s="8"/>
    </row>
    <row r="585">
      <c r="A585" s="18"/>
      <c r="B585" s="14">
        <f>IFERROR(__xludf.DUMMYFUNCTION("""COMPUTED_VALUE"""),603647.0)</f>
        <v>603647</v>
      </c>
      <c r="C585" s="14" t="str">
        <f>IFERROR(__xludf.DUMMYFUNCTION("""COMPUTED_VALUE"""),"張兆淮")</f>
        <v>張兆淮</v>
      </c>
      <c r="D585" s="16" t="str">
        <f>IFERROR(__xludf.DUMMYFUNCTION("""COMPUTED_VALUE"""),"nor*****12.ntpc@mail.edu.tw")</f>
        <v>nor*****12.ntpc@mail.edu.tw</v>
      </c>
      <c r="E585" s="17" t="str">
        <f>IFERROR(__xludf.DUMMYFUNCTION("""COMPUTED_VALUE"""),"新北市立桃子腳國民中小學國中部")</f>
        <v>新北市立桃子腳國民中小學國中部</v>
      </c>
      <c r="F585" s="14" t="str">
        <f>IFERROR(__xludf.DUMMYFUNCTION("""COMPUTED_VALUE"""),"八年級")</f>
        <v>八年級</v>
      </c>
      <c r="G585" s="14" t="str">
        <f>IFERROR(__xludf.DUMMYFUNCTION("""COMPUTED_VALUE"""),"獎狀")</f>
        <v>獎狀</v>
      </c>
      <c r="H585" s="8"/>
    </row>
    <row r="586">
      <c r="A586" s="18"/>
      <c r="B586" s="14">
        <f>IFERROR(__xludf.DUMMYFUNCTION("""COMPUTED_VALUE"""),1114920.0)</f>
        <v>1114920</v>
      </c>
      <c r="C586" s="14" t="str">
        <f>IFERROR(__xludf.DUMMYFUNCTION("""COMPUTED_VALUE"""),"張芷菱")</f>
        <v>張芷菱</v>
      </c>
      <c r="D586" s="16" t="str">
        <f>IFERROR(__xludf.DUMMYFUNCTION("""COMPUTED_VALUE"""),"bab*****ntpc@mail.edu.tw")</f>
        <v>bab*****ntpc@mail.edu.tw</v>
      </c>
      <c r="E586" s="17" t="str">
        <f>IFERROR(__xludf.DUMMYFUNCTION("""COMPUTED_VALUE"""),"新北市立桃子腳國民中小學國中部")</f>
        <v>新北市立桃子腳國民中小學國中部</v>
      </c>
      <c r="F586" s="14" t="str">
        <f>IFERROR(__xludf.DUMMYFUNCTION("""COMPUTED_VALUE"""),"八年級")</f>
        <v>八年級</v>
      </c>
      <c r="G586" s="14" t="str">
        <f>IFERROR(__xludf.DUMMYFUNCTION("""COMPUTED_VALUE"""),"獎狀")</f>
        <v>獎狀</v>
      </c>
      <c r="H586" s="8"/>
    </row>
    <row r="587">
      <c r="A587" s="18"/>
      <c r="B587" s="14">
        <f>IFERROR(__xludf.DUMMYFUNCTION("""COMPUTED_VALUE"""),913921.0)</f>
        <v>913921</v>
      </c>
      <c r="C587" s="14" t="str">
        <f>IFERROR(__xludf.DUMMYFUNCTION("""COMPUTED_VALUE"""),"林芯妤")</f>
        <v>林芯妤</v>
      </c>
      <c r="D587" s="16" t="str">
        <f>IFERROR(__xludf.DUMMYFUNCTION("""COMPUTED_VALUE"""),"mim*****.ntpc@mail.edu.tw")</f>
        <v>mim*****.ntpc@mail.edu.tw</v>
      </c>
      <c r="E587" s="17" t="str">
        <f>IFERROR(__xludf.DUMMYFUNCTION("""COMPUTED_VALUE"""),"新北市立鶯歌國民中學")</f>
        <v>新北市立鶯歌國民中學</v>
      </c>
      <c r="F587" s="14" t="str">
        <f>IFERROR(__xludf.DUMMYFUNCTION("""COMPUTED_VALUE"""),"七年級")</f>
        <v>七年級</v>
      </c>
      <c r="G587" s="14" t="str">
        <f>IFERROR(__xludf.DUMMYFUNCTION("""COMPUTED_VALUE"""),"●小禮物")</f>
        <v>●小禮物</v>
      </c>
      <c r="H587" s="8"/>
    </row>
    <row r="588">
      <c r="A588" s="18"/>
      <c r="B588" s="14">
        <f>IFERROR(__xludf.DUMMYFUNCTION("""COMPUTED_VALUE"""),1154197.0)</f>
        <v>1154197</v>
      </c>
      <c r="C588" s="14" t="str">
        <f>IFERROR(__xludf.DUMMYFUNCTION("""COMPUTED_VALUE"""),"范廷安")</f>
        <v>范廷安</v>
      </c>
      <c r="D588" s="16" t="str">
        <f>IFERROR(__xludf.DUMMYFUNCTION("""COMPUTED_VALUE"""),"die*****0921@apps.ntpc.edu.tw")</f>
        <v>die*****0921@apps.ntpc.edu.tw</v>
      </c>
      <c r="E588" s="17" t="str">
        <f>IFERROR(__xludf.DUMMYFUNCTION("""COMPUTED_VALUE"""),"新北市立鶯歌國民中學")</f>
        <v>新北市立鶯歌國民中學</v>
      </c>
      <c r="F588" s="14" t="str">
        <f>IFERROR(__xludf.DUMMYFUNCTION("""COMPUTED_VALUE"""),"七年級")</f>
        <v>七年級</v>
      </c>
      <c r="G588" s="14" t="str">
        <f>IFERROR(__xludf.DUMMYFUNCTION("""COMPUTED_VALUE"""),"●小禮物")</f>
        <v>●小禮物</v>
      </c>
      <c r="H588" s="8"/>
    </row>
    <row r="589">
      <c r="A589" s="18"/>
      <c r="B589" s="14">
        <f>IFERROR(__xludf.DUMMYFUNCTION("""COMPUTED_VALUE"""),818487.0)</f>
        <v>818487</v>
      </c>
      <c r="C589" s="14" t="str">
        <f>IFERROR(__xludf.DUMMYFUNCTION("""COMPUTED_VALUE"""),"詹宇晨")</f>
        <v>詹宇晨</v>
      </c>
      <c r="D589" s="16" t="str">
        <f>IFERROR(__xludf.DUMMYFUNCTION("""COMPUTED_VALUE"""),"jac*****2.ntpc@mail.edu.tw")</f>
        <v>jac*****2.ntpc@mail.edu.tw</v>
      </c>
      <c r="E589" s="17" t="str">
        <f>IFERROR(__xludf.DUMMYFUNCTION("""COMPUTED_VALUE"""),"新北市立鶯歌國民中學")</f>
        <v>新北市立鶯歌國民中學</v>
      </c>
      <c r="F589" s="14" t="str">
        <f>IFERROR(__xludf.DUMMYFUNCTION("""COMPUTED_VALUE"""),"七年級")</f>
        <v>七年級</v>
      </c>
      <c r="G589" s="14" t="str">
        <f>IFERROR(__xludf.DUMMYFUNCTION("""COMPUTED_VALUE"""),"●小禮物")</f>
        <v>●小禮物</v>
      </c>
      <c r="H589" s="8"/>
    </row>
    <row r="590">
      <c r="A590" s="18"/>
      <c r="B590" s="14">
        <f>IFERROR(__xludf.DUMMYFUNCTION("""COMPUTED_VALUE"""),388295.0)</f>
        <v>388295</v>
      </c>
      <c r="C590" s="14" t="str">
        <f>IFERROR(__xludf.DUMMYFUNCTION("""COMPUTED_VALUE"""),"張智惠")</f>
        <v>張智惠</v>
      </c>
      <c r="D590" s="16" t="str">
        <f>IFERROR(__xludf.DUMMYFUNCTION("""COMPUTED_VALUE"""),"vic*****918.ntpc@mail.edu.tw")</f>
        <v>vic*****918.ntpc@mail.edu.tw</v>
      </c>
      <c r="E590" s="17" t="str">
        <f>IFERROR(__xludf.DUMMYFUNCTION("""COMPUTED_VALUE"""),"新北市立鶯歌國民中學")</f>
        <v>新北市立鶯歌國民中學</v>
      </c>
      <c r="F590" s="14" t="str">
        <f>IFERROR(__xludf.DUMMYFUNCTION("""COMPUTED_VALUE"""),"七年級")</f>
        <v>七年級</v>
      </c>
      <c r="G590" s="14" t="str">
        <f>IFERROR(__xludf.DUMMYFUNCTION("""COMPUTED_VALUE"""),"★禮券$200")</f>
        <v>★禮券$200</v>
      </c>
      <c r="H590" s="8"/>
    </row>
    <row r="591">
      <c r="A591" s="18"/>
      <c r="B591" s="14">
        <f>IFERROR(__xludf.DUMMYFUNCTION("""COMPUTED_VALUE"""),1174209.0)</f>
        <v>1174209</v>
      </c>
      <c r="C591" s="14" t="str">
        <f>IFERROR(__xludf.DUMMYFUNCTION("""COMPUTED_VALUE"""),"蕭名勛")</f>
        <v>蕭名勛</v>
      </c>
      <c r="D591" s="16" t="str">
        <f>IFERROR(__xludf.DUMMYFUNCTION("""COMPUTED_VALUE"""),"cee*****@apps.ntpc.edu.tw")</f>
        <v>cee*****@apps.ntpc.edu.tw</v>
      </c>
      <c r="E591" s="17" t="str">
        <f>IFERROR(__xludf.DUMMYFUNCTION("""COMPUTED_VALUE"""),"新北市立鶯歌國民中學")</f>
        <v>新北市立鶯歌國民中學</v>
      </c>
      <c r="F591" s="14" t="str">
        <f>IFERROR(__xludf.DUMMYFUNCTION("""COMPUTED_VALUE"""),"七年級")</f>
        <v>七年級</v>
      </c>
      <c r="G591" s="14" t="str">
        <f>IFERROR(__xludf.DUMMYFUNCTION("""COMPUTED_VALUE"""),"獎狀")</f>
        <v>獎狀</v>
      </c>
      <c r="H591" s="8"/>
    </row>
    <row r="592">
      <c r="A592" s="18"/>
      <c r="B592" s="14">
        <f>IFERROR(__xludf.DUMMYFUNCTION("""COMPUTED_VALUE"""),913919.0)</f>
        <v>913919</v>
      </c>
      <c r="C592" s="14" t="str">
        <f>IFERROR(__xludf.DUMMYFUNCTION("""COMPUTED_VALUE"""),"游進盛")</f>
        <v>游進盛</v>
      </c>
      <c r="D592" s="16" t="str">
        <f>IFERROR(__xludf.DUMMYFUNCTION("""COMPUTED_VALUE"""),"jas*****7you.ntpc@mail.edu.tw")</f>
        <v>jas*****7you.ntpc@mail.edu.tw</v>
      </c>
      <c r="E592" s="17" t="str">
        <f>IFERROR(__xludf.DUMMYFUNCTION("""COMPUTED_VALUE"""),"新北市立鶯歌國民中學")</f>
        <v>新北市立鶯歌國民中學</v>
      </c>
      <c r="F592" s="14" t="str">
        <f>IFERROR(__xludf.DUMMYFUNCTION("""COMPUTED_VALUE"""),"七年級")</f>
        <v>七年級</v>
      </c>
      <c r="G592" s="14" t="str">
        <f>IFERROR(__xludf.DUMMYFUNCTION("""COMPUTED_VALUE"""),"獎狀")</f>
        <v>獎狀</v>
      </c>
      <c r="H592" s="8"/>
    </row>
    <row r="593">
      <c r="A593" s="18"/>
      <c r="B593" s="14">
        <f>IFERROR(__xludf.DUMMYFUNCTION("""COMPUTED_VALUE"""),516406.0)</f>
        <v>516406</v>
      </c>
      <c r="C593" s="14" t="str">
        <f>IFERROR(__xludf.DUMMYFUNCTION("""COMPUTED_VALUE"""),"藍浤博")</f>
        <v>藍浤博</v>
      </c>
      <c r="D593" s="16" t="str">
        <f>IFERROR(__xludf.DUMMYFUNCTION("""COMPUTED_VALUE"""),"cf1*****mail.edu.tw")</f>
        <v>cf1*****mail.edu.tw</v>
      </c>
      <c r="E593" s="17" t="str">
        <f>IFERROR(__xludf.DUMMYFUNCTION("""COMPUTED_VALUE"""),"新北市立鶯歌國民中學")</f>
        <v>新北市立鶯歌國民中學</v>
      </c>
      <c r="F593" s="14" t="str">
        <f>IFERROR(__xludf.DUMMYFUNCTION("""COMPUTED_VALUE"""),"八年級")</f>
        <v>八年級</v>
      </c>
      <c r="G593" s="14" t="str">
        <f>IFERROR(__xludf.DUMMYFUNCTION("""COMPUTED_VALUE"""),"●小禮物")</f>
        <v>●小禮物</v>
      </c>
      <c r="H593" s="8"/>
    </row>
    <row r="594">
      <c r="A594" s="18"/>
      <c r="B594" s="14">
        <f>IFERROR(__xludf.DUMMYFUNCTION("""COMPUTED_VALUE"""),324079.0)</f>
        <v>324079</v>
      </c>
      <c r="C594" s="14" t="str">
        <f>IFERROR(__xludf.DUMMYFUNCTION("""COMPUTED_VALUE"""),"王鈺淇")</f>
        <v>王鈺淇</v>
      </c>
      <c r="D594" s="16" t="str">
        <f>IFERROR(__xludf.DUMMYFUNCTION("""COMPUTED_VALUE"""),"fio*****4@apps.ntpc.edu.tw")</f>
        <v>fio*****4@apps.ntpc.edu.tw</v>
      </c>
      <c r="E594" s="17" t="str">
        <f>IFERROR(__xludf.DUMMYFUNCTION("""COMPUTED_VALUE"""),"新北市立鶯歌國民中學")</f>
        <v>新北市立鶯歌國民中學</v>
      </c>
      <c r="F594" s="14" t="str">
        <f>IFERROR(__xludf.DUMMYFUNCTION("""COMPUTED_VALUE"""),"九年級")</f>
        <v>九年級</v>
      </c>
      <c r="G594" s="14" t="str">
        <f>IFERROR(__xludf.DUMMYFUNCTION("""COMPUTED_VALUE"""),"●小禮物")</f>
        <v>●小禮物</v>
      </c>
      <c r="H594" s="8"/>
    </row>
    <row r="595">
      <c r="A595" s="18"/>
      <c r="B595" s="14">
        <f>IFERROR(__xludf.DUMMYFUNCTION("""COMPUTED_VALUE"""),1180145.0)</f>
        <v>1180145</v>
      </c>
      <c r="C595" s="14" t="str">
        <f>IFERROR(__xludf.DUMMYFUNCTION("""COMPUTED_VALUE"""),"李畇蓁")</f>
        <v>李畇蓁</v>
      </c>
      <c r="D595" s="16" t="str">
        <f>IFERROR(__xludf.DUMMYFUNCTION("""COMPUTED_VALUE"""),"fif*****@apps.ntpc.edu.tw")</f>
        <v>fif*****@apps.ntpc.edu.tw</v>
      </c>
      <c r="E595" s="17" t="str">
        <f>IFERROR(__xludf.DUMMYFUNCTION("""COMPUTED_VALUE"""),"新北市立鶯歌國民中學")</f>
        <v>新北市立鶯歌國民中學</v>
      </c>
      <c r="F595" s="14" t="str">
        <f>IFERROR(__xludf.DUMMYFUNCTION("""COMPUTED_VALUE"""),"九年級")</f>
        <v>九年級</v>
      </c>
      <c r="G595" s="14" t="str">
        <f>IFERROR(__xludf.DUMMYFUNCTION("""COMPUTED_VALUE"""),"●小禮物")</f>
        <v>●小禮物</v>
      </c>
      <c r="H595" s="8"/>
    </row>
    <row r="596">
      <c r="A596" s="18"/>
      <c r="B596" s="14">
        <f>IFERROR(__xludf.DUMMYFUNCTION("""COMPUTED_VALUE"""),1180156.0)</f>
        <v>1180156</v>
      </c>
      <c r="C596" s="14" t="str">
        <f>IFERROR(__xludf.DUMMYFUNCTION("""COMPUTED_VALUE"""),"李梓羿")</f>
        <v>李梓羿</v>
      </c>
      <c r="D596" s="16" t="str">
        <f>IFERROR(__xludf.DUMMYFUNCTION("""COMPUTED_VALUE"""),"ken*****421@apps.ntpc.edu.tw")</f>
        <v>ken*****421@apps.ntpc.edu.tw</v>
      </c>
      <c r="E596" s="17" t="str">
        <f>IFERROR(__xludf.DUMMYFUNCTION("""COMPUTED_VALUE"""),"新北市立鶯歌國民中學")</f>
        <v>新北市立鶯歌國民中學</v>
      </c>
      <c r="F596" s="14" t="str">
        <f>IFERROR(__xludf.DUMMYFUNCTION("""COMPUTED_VALUE"""),"九年級")</f>
        <v>九年級</v>
      </c>
      <c r="G596" s="14" t="str">
        <f>IFERROR(__xludf.DUMMYFUNCTION("""COMPUTED_VALUE"""),"●小禮物")</f>
        <v>●小禮物</v>
      </c>
      <c r="H596" s="8"/>
    </row>
    <row r="597">
      <c r="A597" s="18"/>
      <c r="B597" s="14">
        <f>IFERROR(__xludf.DUMMYFUNCTION("""COMPUTED_VALUE"""),1180141.0)</f>
        <v>1180141</v>
      </c>
      <c r="C597" s="14" t="str">
        <f>IFERROR(__xludf.DUMMYFUNCTION("""COMPUTED_VALUE"""),"林筠甄")</f>
        <v>林筠甄</v>
      </c>
      <c r="D597" s="16" t="str">
        <f>IFERROR(__xludf.DUMMYFUNCTION("""COMPUTED_VALUE"""),"jen*****018@apps.ntpc.edu.tw")</f>
        <v>jen*****018@apps.ntpc.edu.tw</v>
      </c>
      <c r="E597" s="17" t="str">
        <f>IFERROR(__xludf.DUMMYFUNCTION("""COMPUTED_VALUE"""),"新北市立鶯歌國民中學")</f>
        <v>新北市立鶯歌國民中學</v>
      </c>
      <c r="F597" s="14" t="str">
        <f>IFERROR(__xludf.DUMMYFUNCTION("""COMPUTED_VALUE"""),"九年級")</f>
        <v>九年級</v>
      </c>
      <c r="G597" s="14" t="str">
        <f>IFERROR(__xludf.DUMMYFUNCTION("""COMPUTED_VALUE"""),"●小禮物")</f>
        <v>●小禮物</v>
      </c>
      <c r="H597" s="8"/>
    </row>
    <row r="598">
      <c r="A598" s="18"/>
      <c r="B598" s="14">
        <f>IFERROR(__xludf.DUMMYFUNCTION("""COMPUTED_VALUE"""),1180164.0)</f>
        <v>1180164</v>
      </c>
      <c r="C598" s="14" t="str">
        <f>IFERROR(__xludf.DUMMYFUNCTION("""COMPUTED_VALUE"""),"翁莉雯")</f>
        <v>翁莉雯</v>
      </c>
      <c r="D598" s="16" t="str">
        <f>IFERROR(__xludf.DUMMYFUNCTION("""COMPUTED_VALUE"""),"fff*****apps.ntpc.edu.tw")</f>
        <v>fff*****apps.ntpc.edu.tw</v>
      </c>
      <c r="E598" s="17" t="str">
        <f>IFERROR(__xludf.DUMMYFUNCTION("""COMPUTED_VALUE"""),"新北市立鶯歌國民中學")</f>
        <v>新北市立鶯歌國民中學</v>
      </c>
      <c r="F598" s="14" t="str">
        <f>IFERROR(__xludf.DUMMYFUNCTION("""COMPUTED_VALUE"""),"九年級")</f>
        <v>九年級</v>
      </c>
      <c r="G598" s="14" t="str">
        <f>IFERROR(__xludf.DUMMYFUNCTION("""COMPUTED_VALUE"""),"●小禮物")</f>
        <v>●小禮物</v>
      </c>
      <c r="H598" s="8"/>
    </row>
    <row r="599">
      <c r="A599" s="18"/>
      <c r="B599" s="14">
        <f>IFERROR(__xludf.DUMMYFUNCTION("""COMPUTED_VALUE"""),1180136.0)</f>
        <v>1180136</v>
      </c>
      <c r="C599" s="14" t="str">
        <f>IFERROR(__xludf.DUMMYFUNCTION("""COMPUTED_VALUE"""),"陳柏丞")</f>
        <v>陳柏丞</v>
      </c>
      <c r="D599" s="16" t="str">
        <f>IFERROR(__xludf.DUMMYFUNCTION("""COMPUTED_VALUE"""),"agz*****apps.ntpc.edu.tw")</f>
        <v>agz*****apps.ntpc.edu.tw</v>
      </c>
      <c r="E599" s="17" t="str">
        <f>IFERROR(__xludf.DUMMYFUNCTION("""COMPUTED_VALUE"""),"新北市立鶯歌國民中學")</f>
        <v>新北市立鶯歌國民中學</v>
      </c>
      <c r="F599" s="14" t="str">
        <f>IFERROR(__xludf.DUMMYFUNCTION("""COMPUTED_VALUE"""),"九年級")</f>
        <v>九年級</v>
      </c>
      <c r="G599" s="14" t="str">
        <f>IFERROR(__xludf.DUMMYFUNCTION("""COMPUTED_VALUE"""),"●小禮物")</f>
        <v>●小禮物</v>
      </c>
      <c r="H599" s="8"/>
    </row>
    <row r="600">
      <c r="A600" s="18"/>
      <c r="B600" s="14">
        <f>IFERROR(__xludf.DUMMYFUNCTION("""COMPUTED_VALUE"""),1180142.0)</f>
        <v>1180142</v>
      </c>
      <c r="C600" s="14" t="str">
        <f>IFERROR(__xludf.DUMMYFUNCTION("""COMPUTED_VALUE"""),"蘇筱涵")</f>
        <v>蘇筱涵</v>
      </c>
      <c r="D600" s="16" t="str">
        <f>IFERROR(__xludf.DUMMYFUNCTION("""COMPUTED_VALUE"""),"ycf*****6895@apps.ntpc.edu.tw")</f>
        <v>ycf*****6895@apps.ntpc.edu.tw</v>
      </c>
      <c r="E600" s="17" t="str">
        <f>IFERROR(__xludf.DUMMYFUNCTION("""COMPUTED_VALUE"""),"新北市立鶯歌國民中學")</f>
        <v>新北市立鶯歌國民中學</v>
      </c>
      <c r="F600" s="14" t="str">
        <f>IFERROR(__xludf.DUMMYFUNCTION("""COMPUTED_VALUE"""),"九年級")</f>
        <v>九年級</v>
      </c>
      <c r="G600" s="14" t="str">
        <f>IFERROR(__xludf.DUMMYFUNCTION("""COMPUTED_VALUE"""),"●小禮物")</f>
        <v>●小禮物</v>
      </c>
      <c r="H600" s="8"/>
    </row>
    <row r="601">
      <c r="A601" s="18"/>
      <c r="B601" s="14">
        <f>IFERROR(__xludf.DUMMYFUNCTION("""COMPUTED_VALUE"""),1180149.0)</f>
        <v>1180149</v>
      </c>
      <c r="C601" s="14" t="str">
        <f>IFERROR(__xludf.DUMMYFUNCTION("""COMPUTED_VALUE"""),"尤信慈")</f>
        <v>尤信慈</v>
      </c>
      <c r="D601" s="16" t="str">
        <f>IFERROR(__xludf.DUMMYFUNCTION("""COMPUTED_VALUE"""),"kam*****a26@apps.ntpc.edu.tw")</f>
        <v>kam*****a26@apps.ntpc.edu.tw</v>
      </c>
      <c r="E601" s="17" t="str">
        <f>IFERROR(__xludf.DUMMYFUNCTION("""COMPUTED_VALUE"""),"新北市立鶯歌國民中學")</f>
        <v>新北市立鶯歌國民中學</v>
      </c>
      <c r="F601" s="14" t="str">
        <f>IFERROR(__xludf.DUMMYFUNCTION("""COMPUTED_VALUE"""),"九年級")</f>
        <v>九年級</v>
      </c>
      <c r="G601" s="14" t="str">
        <f>IFERROR(__xludf.DUMMYFUNCTION("""COMPUTED_VALUE"""),"獎狀")</f>
        <v>獎狀</v>
      </c>
      <c r="H601" s="8"/>
    </row>
    <row r="602">
      <c r="A602" s="18"/>
      <c r="B602" s="14">
        <f>IFERROR(__xludf.DUMMYFUNCTION("""COMPUTED_VALUE"""),229639.0)</f>
        <v>229639</v>
      </c>
      <c r="C602" s="14" t="str">
        <f>IFERROR(__xludf.DUMMYFUNCTION("""COMPUTED_VALUE"""),"白桂州")</f>
        <v>白桂州</v>
      </c>
      <c r="D602" s="16" t="str">
        <f>IFERROR(__xludf.DUMMYFUNCTION("""COMPUTED_VALUE"""),"die*****4@apps.ntpc.edu.tw")</f>
        <v>die*****4@apps.ntpc.edu.tw</v>
      </c>
      <c r="E602" s="17" t="str">
        <f>IFERROR(__xludf.DUMMYFUNCTION("""COMPUTED_VALUE"""),"新北市立鶯歌國民中學")</f>
        <v>新北市立鶯歌國民中學</v>
      </c>
      <c r="F602" s="14" t="str">
        <f>IFERROR(__xludf.DUMMYFUNCTION("""COMPUTED_VALUE"""),"九年級")</f>
        <v>九年級</v>
      </c>
      <c r="G602" s="14" t="str">
        <f>IFERROR(__xludf.DUMMYFUNCTION("""COMPUTED_VALUE"""),"獎狀")</f>
        <v>獎狀</v>
      </c>
      <c r="H602" s="8"/>
    </row>
    <row r="603">
      <c r="A603" s="18"/>
      <c r="B603" s="14">
        <f>IFERROR(__xludf.DUMMYFUNCTION("""COMPUTED_VALUE"""),1180138.0)</f>
        <v>1180138</v>
      </c>
      <c r="C603" s="14" t="str">
        <f>IFERROR(__xludf.DUMMYFUNCTION("""COMPUTED_VALUE"""),"沈儒憶")</f>
        <v>沈儒憶</v>
      </c>
      <c r="D603" s="16" t="str">
        <f>IFERROR(__xludf.DUMMYFUNCTION("""COMPUTED_VALUE"""),"ann*****@apps.ntpc.edu.tw")</f>
        <v>ann*****@apps.ntpc.edu.tw</v>
      </c>
      <c r="E603" s="17" t="str">
        <f>IFERROR(__xludf.DUMMYFUNCTION("""COMPUTED_VALUE"""),"新北市立鶯歌國民中學")</f>
        <v>新北市立鶯歌國民中學</v>
      </c>
      <c r="F603" s="14" t="str">
        <f>IFERROR(__xludf.DUMMYFUNCTION("""COMPUTED_VALUE"""),"九年級")</f>
        <v>九年級</v>
      </c>
      <c r="G603" s="14" t="str">
        <f>IFERROR(__xludf.DUMMYFUNCTION("""COMPUTED_VALUE"""),"獎狀")</f>
        <v>獎狀</v>
      </c>
      <c r="H603" s="8"/>
    </row>
    <row r="604">
      <c r="A604" s="18"/>
      <c r="B604" s="14">
        <f>IFERROR(__xludf.DUMMYFUNCTION("""COMPUTED_VALUE"""),1180010.0)</f>
        <v>1180010</v>
      </c>
      <c r="C604" s="14" t="str">
        <f>IFERROR(__xludf.DUMMYFUNCTION("""COMPUTED_VALUE"""),"朱奕儒")</f>
        <v>朱奕儒</v>
      </c>
      <c r="D604" s="16" t="str">
        <f>IFERROR(__xludf.DUMMYFUNCTION("""COMPUTED_VALUE"""),"got*****116@apps.ntpc.edu.tw")</f>
        <v>got*****116@apps.ntpc.edu.tw</v>
      </c>
      <c r="E604" s="17" t="str">
        <f>IFERROR(__xludf.DUMMYFUNCTION("""COMPUTED_VALUE"""),"新北市立鶯歌國民中學")</f>
        <v>新北市立鶯歌國民中學</v>
      </c>
      <c r="F604" s="14" t="str">
        <f>IFERROR(__xludf.DUMMYFUNCTION("""COMPUTED_VALUE"""),"九年級")</f>
        <v>九年級</v>
      </c>
      <c r="G604" s="14" t="str">
        <f>IFERROR(__xludf.DUMMYFUNCTION("""COMPUTED_VALUE"""),"●小禮物")</f>
        <v>●小禮物</v>
      </c>
      <c r="H604" s="8"/>
    </row>
    <row r="605">
      <c r="A605" s="18"/>
      <c r="B605" s="14">
        <f>IFERROR(__xludf.DUMMYFUNCTION("""COMPUTED_VALUE"""),1179975.0)</f>
        <v>1179975</v>
      </c>
      <c r="C605" s="14" t="str">
        <f>IFERROR(__xludf.DUMMYFUNCTION("""COMPUTED_VALUE"""),"沈秉憲")</f>
        <v>沈秉憲</v>
      </c>
      <c r="D605" s="16" t="str">
        <f>IFERROR(__xludf.DUMMYFUNCTION("""COMPUTED_VALUE"""),"ycf*****6347@apps.ntpc.edu.tw")</f>
        <v>ycf*****6347@apps.ntpc.edu.tw</v>
      </c>
      <c r="E605" s="17" t="str">
        <f>IFERROR(__xludf.DUMMYFUNCTION("""COMPUTED_VALUE"""),"新北市立鶯歌國民中學")</f>
        <v>新北市立鶯歌國民中學</v>
      </c>
      <c r="F605" s="14" t="str">
        <f>IFERROR(__xludf.DUMMYFUNCTION("""COMPUTED_VALUE"""),"九年級")</f>
        <v>九年級</v>
      </c>
      <c r="G605" s="14" t="str">
        <f>IFERROR(__xludf.DUMMYFUNCTION("""COMPUTED_VALUE"""),"●小禮物")</f>
        <v>●小禮物</v>
      </c>
      <c r="H605" s="8"/>
    </row>
    <row r="606">
      <c r="A606" s="18"/>
      <c r="B606" s="14">
        <f>IFERROR(__xludf.DUMMYFUNCTION("""COMPUTED_VALUE"""),1179961.0)</f>
        <v>1179961</v>
      </c>
      <c r="C606" s="14" t="str">
        <f>IFERROR(__xludf.DUMMYFUNCTION("""COMPUTED_VALUE"""),"林品岑")</f>
        <v>林品岑</v>
      </c>
      <c r="D606" s="16" t="str">
        <f>IFERROR(__xludf.DUMMYFUNCTION("""COMPUTED_VALUE"""),"lin*****1@apps.ntpc.edu.tw")</f>
        <v>lin*****1@apps.ntpc.edu.tw</v>
      </c>
      <c r="E606" s="17" t="str">
        <f>IFERROR(__xludf.DUMMYFUNCTION("""COMPUTED_VALUE"""),"新北市立鶯歌國民中學")</f>
        <v>新北市立鶯歌國民中學</v>
      </c>
      <c r="F606" s="14" t="str">
        <f>IFERROR(__xludf.DUMMYFUNCTION("""COMPUTED_VALUE"""),"九年級")</f>
        <v>九年級</v>
      </c>
      <c r="G606" s="14" t="str">
        <f>IFERROR(__xludf.DUMMYFUNCTION("""COMPUTED_VALUE"""),"●小禮物")</f>
        <v>●小禮物</v>
      </c>
      <c r="H606" s="8"/>
    </row>
    <row r="607">
      <c r="A607" s="18"/>
      <c r="B607" s="14">
        <f>IFERROR(__xludf.DUMMYFUNCTION("""COMPUTED_VALUE"""),1179955.0)</f>
        <v>1179955</v>
      </c>
      <c r="C607" s="14" t="str">
        <f>IFERROR(__xludf.DUMMYFUNCTION("""COMPUTED_VALUE"""),"許弘凱")</f>
        <v>許弘凱</v>
      </c>
      <c r="D607" s="16" t="str">
        <f>IFERROR(__xludf.DUMMYFUNCTION("""COMPUTED_VALUE"""),"ycf*****6338@apps.ntpc.edu.tw")</f>
        <v>ycf*****6338@apps.ntpc.edu.tw</v>
      </c>
      <c r="E607" s="17" t="str">
        <f>IFERROR(__xludf.DUMMYFUNCTION("""COMPUTED_VALUE"""),"新北市立鶯歌國民中學")</f>
        <v>新北市立鶯歌國民中學</v>
      </c>
      <c r="F607" s="14" t="str">
        <f>IFERROR(__xludf.DUMMYFUNCTION("""COMPUTED_VALUE"""),"九年級")</f>
        <v>九年級</v>
      </c>
      <c r="G607" s="14" t="str">
        <f>IFERROR(__xludf.DUMMYFUNCTION("""COMPUTED_VALUE"""),"●小禮物")</f>
        <v>●小禮物</v>
      </c>
      <c r="H607" s="8"/>
    </row>
    <row r="608">
      <c r="A608" s="18"/>
      <c r="B608" s="14">
        <f>IFERROR(__xludf.DUMMYFUNCTION("""COMPUTED_VALUE"""),272111.0)</f>
        <v>272111</v>
      </c>
      <c r="C608" s="14" t="str">
        <f>IFERROR(__xludf.DUMMYFUNCTION("""COMPUTED_VALUE"""),"陳柔安")</f>
        <v>陳柔安</v>
      </c>
      <c r="D608" s="16" t="str">
        <f>IFERROR(__xludf.DUMMYFUNCTION("""COMPUTED_VALUE"""),"eva*****apps.ntpc.edu.tw")</f>
        <v>eva*****apps.ntpc.edu.tw</v>
      </c>
      <c r="E608" s="17" t="str">
        <f>IFERROR(__xludf.DUMMYFUNCTION("""COMPUTED_VALUE"""),"新北市立鶯歌國民中學")</f>
        <v>新北市立鶯歌國民中學</v>
      </c>
      <c r="F608" s="14" t="str">
        <f>IFERROR(__xludf.DUMMYFUNCTION("""COMPUTED_VALUE"""),"九年級")</f>
        <v>九年級</v>
      </c>
      <c r="G608" s="14" t="str">
        <f>IFERROR(__xludf.DUMMYFUNCTION("""COMPUTED_VALUE"""),"●小禮物")</f>
        <v>●小禮物</v>
      </c>
      <c r="H608" s="8"/>
    </row>
    <row r="609">
      <c r="A609" s="18"/>
      <c r="B609" s="14">
        <f>IFERROR(__xludf.DUMMYFUNCTION("""COMPUTED_VALUE"""),1179964.0)</f>
        <v>1179964</v>
      </c>
      <c r="C609" s="14" t="str">
        <f>IFERROR(__xludf.DUMMYFUNCTION("""COMPUTED_VALUE"""),"黃冠錞")</f>
        <v>黃冠錞</v>
      </c>
      <c r="D609" s="16" t="str">
        <f>IFERROR(__xludf.DUMMYFUNCTION("""COMPUTED_VALUE"""),"rog*****0@apps.ntpc.edu.tw")</f>
        <v>rog*****0@apps.ntpc.edu.tw</v>
      </c>
      <c r="E609" s="17" t="str">
        <f>IFERROR(__xludf.DUMMYFUNCTION("""COMPUTED_VALUE"""),"新北市立鶯歌國民中學")</f>
        <v>新北市立鶯歌國民中學</v>
      </c>
      <c r="F609" s="14" t="str">
        <f>IFERROR(__xludf.DUMMYFUNCTION("""COMPUTED_VALUE"""),"九年級")</f>
        <v>九年級</v>
      </c>
      <c r="G609" s="14" t="str">
        <f>IFERROR(__xludf.DUMMYFUNCTION("""COMPUTED_VALUE"""),"●小禮物")</f>
        <v>●小禮物</v>
      </c>
      <c r="H609" s="8"/>
    </row>
    <row r="610">
      <c r="A610" s="18"/>
      <c r="B610" s="14">
        <f>IFERROR(__xludf.DUMMYFUNCTION("""COMPUTED_VALUE"""),1179957.0)</f>
        <v>1179957</v>
      </c>
      <c r="C610" s="14" t="str">
        <f>IFERROR(__xludf.DUMMYFUNCTION("""COMPUTED_VALUE"""),"鄭嘉")</f>
        <v>鄭嘉</v>
      </c>
      <c r="D610" s="16" t="str">
        <f>IFERROR(__xludf.DUMMYFUNCTION("""COMPUTED_VALUE"""),"jia*****apps.ntpc.edu.tw")</f>
        <v>jia*****apps.ntpc.edu.tw</v>
      </c>
      <c r="E610" s="17" t="str">
        <f>IFERROR(__xludf.DUMMYFUNCTION("""COMPUTED_VALUE"""),"新北市立鶯歌國民中學")</f>
        <v>新北市立鶯歌國民中學</v>
      </c>
      <c r="F610" s="14" t="str">
        <f>IFERROR(__xludf.DUMMYFUNCTION("""COMPUTED_VALUE"""),"九年級")</f>
        <v>九年級</v>
      </c>
      <c r="G610" s="14" t="str">
        <f>IFERROR(__xludf.DUMMYFUNCTION("""COMPUTED_VALUE"""),"●小禮物")</f>
        <v>●小禮物</v>
      </c>
      <c r="H610" s="8"/>
    </row>
    <row r="611">
      <c r="A611" s="18"/>
      <c r="B611" s="14">
        <f>IFERROR(__xludf.DUMMYFUNCTION("""COMPUTED_VALUE"""),1179965.0)</f>
        <v>1179965</v>
      </c>
      <c r="C611" s="14" t="str">
        <f>IFERROR(__xludf.DUMMYFUNCTION("""COMPUTED_VALUE"""),"謝竑睿")</f>
        <v>謝竑睿</v>
      </c>
      <c r="D611" s="16" t="str">
        <f>IFERROR(__xludf.DUMMYFUNCTION("""COMPUTED_VALUE"""),"ray*****1@apps.ntpc.edu.tw")</f>
        <v>ray*****1@apps.ntpc.edu.tw</v>
      </c>
      <c r="E611" s="17" t="str">
        <f>IFERROR(__xludf.DUMMYFUNCTION("""COMPUTED_VALUE"""),"新北市立鶯歌國民中學")</f>
        <v>新北市立鶯歌國民中學</v>
      </c>
      <c r="F611" s="14" t="str">
        <f>IFERROR(__xludf.DUMMYFUNCTION("""COMPUTED_VALUE"""),"九年級")</f>
        <v>九年級</v>
      </c>
      <c r="G611" s="14" t="str">
        <f>IFERROR(__xludf.DUMMYFUNCTION("""COMPUTED_VALUE"""),"★禮券$200")</f>
        <v>★禮券$200</v>
      </c>
      <c r="H611" s="8"/>
    </row>
    <row r="612">
      <c r="A612" s="18"/>
      <c r="B612" s="14">
        <f>IFERROR(__xludf.DUMMYFUNCTION("""COMPUTED_VALUE"""),1179959.0)</f>
        <v>1179959</v>
      </c>
      <c r="C612" s="14" t="str">
        <f>IFERROR(__xludf.DUMMYFUNCTION("""COMPUTED_VALUE"""),"胡珈瑄")</f>
        <v>胡珈瑄</v>
      </c>
      <c r="D612" s="16" t="str">
        <f>IFERROR(__xludf.DUMMYFUNCTION("""COMPUTED_VALUE"""),"dor*****@apps.ntpc.edu.tw")</f>
        <v>dor*****@apps.ntpc.edu.tw</v>
      </c>
      <c r="E612" s="17" t="str">
        <f>IFERROR(__xludf.DUMMYFUNCTION("""COMPUTED_VALUE"""),"新北市立鶯歌國民中學")</f>
        <v>新北市立鶯歌國民中學</v>
      </c>
      <c r="F612" s="14" t="str">
        <f>IFERROR(__xludf.DUMMYFUNCTION("""COMPUTED_VALUE"""),"九年級")</f>
        <v>九年級</v>
      </c>
      <c r="G612" s="14" t="str">
        <f>IFERROR(__xludf.DUMMYFUNCTION("""COMPUTED_VALUE"""),"獎狀")</f>
        <v>獎狀</v>
      </c>
      <c r="H612" s="8"/>
    </row>
    <row r="613">
      <c r="A613" s="18"/>
      <c r="B613" s="14">
        <f>IFERROR(__xludf.DUMMYFUNCTION("""COMPUTED_VALUE"""),1179976.0)</f>
        <v>1179976</v>
      </c>
      <c r="C613" s="14" t="str">
        <f>IFERROR(__xludf.DUMMYFUNCTION("""COMPUTED_VALUE"""),"曹庭瑄")</f>
        <v>曹庭瑄</v>
      </c>
      <c r="D613" s="16" t="str">
        <f>IFERROR(__xludf.DUMMYFUNCTION("""COMPUTED_VALUE"""),"yca*****9903@apps.ntpc.edu.tw")</f>
        <v>yca*****9903@apps.ntpc.edu.tw</v>
      </c>
      <c r="E613" s="17" t="str">
        <f>IFERROR(__xludf.DUMMYFUNCTION("""COMPUTED_VALUE"""),"新北市立鶯歌國民中學")</f>
        <v>新北市立鶯歌國民中學</v>
      </c>
      <c r="F613" s="14" t="str">
        <f>IFERROR(__xludf.DUMMYFUNCTION("""COMPUTED_VALUE"""),"九年級")</f>
        <v>九年級</v>
      </c>
      <c r="G613" s="14" t="str">
        <f>IFERROR(__xludf.DUMMYFUNCTION("""COMPUTED_VALUE"""),"獎狀")</f>
        <v>獎狀</v>
      </c>
      <c r="H613" s="8"/>
    </row>
    <row r="614">
      <c r="A614" s="18"/>
      <c r="B614" s="14">
        <f>IFERROR(__xludf.DUMMYFUNCTION("""COMPUTED_VALUE"""),1192386.0)</f>
        <v>1192386</v>
      </c>
      <c r="C614" s="14" t="str">
        <f>IFERROR(__xludf.DUMMYFUNCTION("""COMPUTED_VALUE"""),"陳文豪")</f>
        <v>陳文豪</v>
      </c>
      <c r="D614" s="16" t="str">
        <f>IFERROR(__xludf.DUMMYFUNCTION("""COMPUTED_VALUE"""),"abc*****162@apps.ntpc.edu.tw")</f>
        <v>abc*****162@apps.ntpc.edu.tw</v>
      </c>
      <c r="E614" s="17" t="str">
        <f>IFERROR(__xludf.DUMMYFUNCTION("""COMPUTED_VALUE"""),"新北市立鶯歌國民中學")</f>
        <v>新北市立鶯歌國民中學</v>
      </c>
      <c r="F614" s="14" t="str">
        <f>IFERROR(__xludf.DUMMYFUNCTION("""COMPUTED_VALUE"""),"九年級")</f>
        <v>九年級</v>
      </c>
      <c r="G614" s="14" t="str">
        <f>IFERROR(__xludf.DUMMYFUNCTION("""COMPUTED_VALUE"""),"獎狀")</f>
        <v>獎狀</v>
      </c>
      <c r="H614" s="8"/>
    </row>
    <row r="615">
      <c r="A615" s="18"/>
      <c r="B615" s="14">
        <f>IFERROR(__xludf.DUMMYFUNCTION("""COMPUTED_VALUE"""),1180019.0)</f>
        <v>1180019</v>
      </c>
      <c r="C615" s="14" t="str">
        <f>IFERROR(__xludf.DUMMYFUNCTION("""COMPUTED_VALUE"""),"陳涵煜")</f>
        <v>陳涵煜</v>
      </c>
      <c r="D615" s="16" t="str">
        <f>IFERROR(__xludf.DUMMYFUNCTION("""COMPUTED_VALUE"""),"rub*****pps.ntpc.edu.tw")</f>
        <v>rub*****pps.ntpc.edu.tw</v>
      </c>
      <c r="E615" s="17" t="str">
        <f>IFERROR(__xludf.DUMMYFUNCTION("""COMPUTED_VALUE"""),"新北市立鶯歌國民中學")</f>
        <v>新北市立鶯歌國民中學</v>
      </c>
      <c r="F615" s="14" t="str">
        <f>IFERROR(__xludf.DUMMYFUNCTION("""COMPUTED_VALUE"""),"九年級")</f>
        <v>九年級</v>
      </c>
      <c r="G615" s="14" t="str">
        <f>IFERROR(__xludf.DUMMYFUNCTION("""COMPUTED_VALUE"""),"獎狀")</f>
        <v>獎狀</v>
      </c>
      <c r="H615" s="8"/>
    </row>
    <row r="616">
      <c r="A616" s="18"/>
      <c r="B616" s="14">
        <f>IFERROR(__xludf.DUMMYFUNCTION("""COMPUTED_VALUE"""),1179963.0)</f>
        <v>1179963</v>
      </c>
      <c r="C616" s="14" t="str">
        <f>IFERROR(__xludf.DUMMYFUNCTION("""COMPUTED_VALUE"""),"曾姿穎")</f>
        <v>曾姿穎</v>
      </c>
      <c r="D616" s="16" t="str">
        <f>IFERROR(__xludf.DUMMYFUNCTION("""COMPUTED_VALUE"""),"y15*****apps.ntpc.edu.tw")</f>
        <v>y15*****apps.ntpc.edu.tw</v>
      </c>
      <c r="E616" s="17" t="str">
        <f>IFERROR(__xludf.DUMMYFUNCTION("""COMPUTED_VALUE"""),"新北市立鶯歌國民中學")</f>
        <v>新北市立鶯歌國民中學</v>
      </c>
      <c r="F616" s="14" t="str">
        <f>IFERROR(__xludf.DUMMYFUNCTION("""COMPUTED_VALUE"""),"九年級")</f>
        <v>九年級</v>
      </c>
      <c r="G616" s="14" t="str">
        <f>IFERROR(__xludf.DUMMYFUNCTION("""COMPUTED_VALUE"""),"獎狀")</f>
        <v>獎狀</v>
      </c>
      <c r="H616" s="8"/>
    </row>
    <row r="617">
      <c r="A617" s="18"/>
      <c r="B617" s="14">
        <f>IFERROR(__xludf.DUMMYFUNCTION("""COMPUTED_VALUE"""),1179980.0)</f>
        <v>1179980</v>
      </c>
      <c r="C617" s="14" t="str">
        <f>IFERROR(__xludf.DUMMYFUNCTION("""COMPUTED_VALUE"""),"鍾彥鈞")</f>
        <v>鍾彥鈞</v>
      </c>
      <c r="D617" s="16" t="str">
        <f>IFERROR(__xludf.DUMMYFUNCTION("""COMPUTED_VALUE"""),"h09*****pps.ntpc.edu.tw")</f>
        <v>h09*****pps.ntpc.edu.tw</v>
      </c>
      <c r="E617" s="17" t="str">
        <f>IFERROR(__xludf.DUMMYFUNCTION("""COMPUTED_VALUE"""),"新北市立鶯歌國民中學")</f>
        <v>新北市立鶯歌國民中學</v>
      </c>
      <c r="F617" s="14" t="str">
        <f>IFERROR(__xludf.DUMMYFUNCTION("""COMPUTED_VALUE"""),"九年級")</f>
        <v>九年級</v>
      </c>
      <c r="G617" s="14" t="str">
        <f>IFERROR(__xludf.DUMMYFUNCTION("""COMPUTED_VALUE"""),"獎狀")</f>
        <v>獎狀</v>
      </c>
      <c r="H617" s="8"/>
    </row>
    <row r="618">
      <c r="A618" s="18"/>
      <c r="B618" s="14">
        <f>IFERROR(__xludf.DUMMYFUNCTION("""COMPUTED_VALUE"""),1179970.0)</f>
        <v>1179970</v>
      </c>
      <c r="C618" s="14" t="str">
        <f>IFERROR(__xludf.DUMMYFUNCTION("""COMPUTED_VALUE"""),"簡琪方")</f>
        <v>簡琪方</v>
      </c>
      <c r="D618" s="16" t="str">
        <f>IFERROR(__xludf.DUMMYFUNCTION("""COMPUTED_VALUE"""),"rp1*****ps.ntpc.edu.tw")</f>
        <v>rp1*****ps.ntpc.edu.tw</v>
      </c>
      <c r="E618" s="17" t="str">
        <f>IFERROR(__xludf.DUMMYFUNCTION("""COMPUTED_VALUE"""),"新北市立鶯歌國民中學")</f>
        <v>新北市立鶯歌國民中學</v>
      </c>
      <c r="F618" s="14" t="str">
        <f>IFERROR(__xludf.DUMMYFUNCTION("""COMPUTED_VALUE"""),"九年級")</f>
        <v>九年級</v>
      </c>
      <c r="G618" s="14" t="str">
        <f>IFERROR(__xludf.DUMMYFUNCTION("""COMPUTED_VALUE"""),"獎狀")</f>
        <v>獎狀</v>
      </c>
      <c r="H618" s="8"/>
    </row>
    <row r="619">
      <c r="A619" s="18"/>
      <c r="B619" s="14">
        <f>IFERROR(__xludf.DUMMYFUNCTION("""COMPUTED_VALUE"""),942332.0)</f>
        <v>942332</v>
      </c>
      <c r="C619" s="14" t="str">
        <f>IFERROR(__xludf.DUMMYFUNCTION("""COMPUTED_VALUE"""),"王苡甄")</f>
        <v>王苡甄</v>
      </c>
      <c r="D619" s="16" t="str">
        <f>IFERROR(__xludf.DUMMYFUNCTION("""COMPUTED_VALUE"""),"jen*****apps.ntpc.edu.tw")</f>
        <v>jen*****apps.ntpc.edu.tw</v>
      </c>
      <c r="E619" s="17" t="str">
        <f>IFERROR(__xludf.DUMMYFUNCTION("""COMPUTED_VALUE"""),"新北市立鶯歌國民中學")</f>
        <v>新北市立鶯歌國民中學</v>
      </c>
      <c r="F619" s="14" t="str">
        <f>IFERROR(__xludf.DUMMYFUNCTION("""COMPUTED_VALUE"""),"九年級")</f>
        <v>九年級</v>
      </c>
      <c r="G619" s="14" t="str">
        <f>IFERROR(__xludf.DUMMYFUNCTION("""COMPUTED_VALUE"""),"●小禮物")</f>
        <v>●小禮物</v>
      </c>
      <c r="H619" s="8"/>
    </row>
    <row r="620">
      <c r="A620" s="18"/>
      <c r="B620" s="14">
        <f>IFERROR(__xludf.DUMMYFUNCTION("""COMPUTED_VALUE"""),1180382.0)</f>
        <v>1180382</v>
      </c>
      <c r="C620" s="14" t="str">
        <f>IFERROR(__xludf.DUMMYFUNCTION("""COMPUTED_VALUE"""),"江芷稜")</f>
        <v>江芷稜</v>
      </c>
      <c r="D620" s="16" t="str">
        <f>IFERROR(__xludf.DUMMYFUNCTION("""COMPUTED_VALUE"""),"che*****0109@apps.ntpc.edu.tw")</f>
        <v>che*****0109@apps.ntpc.edu.tw</v>
      </c>
      <c r="E620" s="17" t="str">
        <f>IFERROR(__xludf.DUMMYFUNCTION("""COMPUTED_VALUE"""),"新北市立鶯歌國民中學")</f>
        <v>新北市立鶯歌國民中學</v>
      </c>
      <c r="F620" s="14" t="str">
        <f>IFERROR(__xludf.DUMMYFUNCTION("""COMPUTED_VALUE"""),"九年級")</f>
        <v>九年級</v>
      </c>
      <c r="G620" s="14" t="str">
        <f>IFERROR(__xludf.DUMMYFUNCTION("""COMPUTED_VALUE"""),"●小禮物")</f>
        <v>●小禮物</v>
      </c>
      <c r="H620" s="8"/>
    </row>
    <row r="621">
      <c r="A621" s="18"/>
      <c r="B621" s="14">
        <f>IFERROR(__xludf.DUMMYFUNCTION("""COMPUTED_VALUE"""),1180373.0)</f>
        <v>1180373</v>
      </c>
      <c r="C621" s="14" t="str">
        <f>IFERROR(__xludf.DUMMYFUNCTION("""COMPUTED_VALUE"""),"李羿澄")</f>
        <v>李羿澄</v>
      </c>
      <c r="D621" s="16" t="str">
        <f>IFERROR(__xludf.DUMMYFUNCTION("""COMPUTED_VALUE"""),"din*****30@apps.ntpc.edu.tw")</f>
        <v>din*****30@apps.ntpc.edu.tw</v>
      </c>
      <c r="E621" s="17" t="str">
        <f>IFERROR(__xludf.DUMMYFUNCTION("""COMPUTED_VALUE"""),"新北市立鶯歌國民中學")</f>
        <v>新北市立鶯歌國民中學</v>
      </c>
      <c r="F621" s="14" t="str">
        <f>IFERROR(__xludf.DUMMYFUNCTION("""COMPUTED_VALUE"""),"九年級")</f>
        <v>九年級</v>
      </c>
      <c r="G621" s="14" t="str">
        <f>IFERROR(__xludf.DUMMYFUNCTION("""COMPUTED_VALUE"""),"●小禮物")</f>
        <v>●小禮物</v>
      </c>
      <c r="H621" s="8"/>
    </row>
    <row r="622">
      <c r="A622" s="18"/>
      <c r="B622" s="14">
        <f>IFERROR(__xludf.DUMMYFUNCTION("""COMPUTED_VALUE"""),1180377.0)</f>
        <v>1180377</v>
      </c>
      <c r="C622" s="14" t="str">
        <f>IFERROR(__xludf.DUMMYFUNCTION("""COMPUTED_VALUE"""),"林晨旭")</f>
        <v>林晨旭</v>
      </c>
      <c r="D622" s="16" t="str">
        <f>IFERROR(__xludf.DUMMYFUNCTION("""COMPUTED_VALUE"""),"ycf*****6267@apps.ntpc.edu.tw")</f>
        <v>ycf*****6267@apps.ntpc.edu.tw</v>
      </c>
      <c r="E622" s="17" t="str">
        <f>IFERROR(__xludf.DUMMYFUNCTION("""COMPUTED_VALUE"""),"新北市立鶯歌國民中學")</f>
        <v>新北市立鶯歌國民中學</v>
      </c>
      <c r="F622" s="14" t="str">
        <f>IFERROR(__xludf.DUMMYFUNCTION("""COMPUTED_VALUE"""),"九年級")</f>
        <v>九年級</v>
      </c>
      <c r="G622" s="14" t="str">
        <f>IFERROR(__xludf.DUMMYFUNCTION("""COMPUTED_VALUE"""),"●小禮物")</f>
        <v>●小禮物</v>
      </c>
      <c r="H622" s="8"/>
    </row>
    <row r="623">
      <c r="A623" s="18"/>
      <c r="B623" s="14">
        <f>IFERROR(__xludf.DUMMYFUNCTION("""COMPUTED_VALUE"""),1180387.0)</f>
        <v>1180387</v>
      </c>
      <c r="C623" s="14" t="str">
        <f>IFERROR(__xludf.DUMMYFUNCTION("""COMPUTED_VALUE"""),"林筱凡")</f>
        <v>林筱凡</v>
      </c>
      <c r="D623" s="16" t="str">
        <f>IFERROR(__xludf.DUMMYFUNCTION("""COMPUTED_VALUE"""),"oli*****n0113@apps.ntpc.edu.tw")</f>
        <v>oli*****n0113@apps.ntpc.edu.tw</v>
      </c>
      <c r="E623" s="17" t="str">
        <f>IFERROR(__xludf.DUMMYFUNCTION("""COMPUTED_VALUE"""),"新北市立鶯歌國民中學")</f>
        <v>新北市立鶯歌國民中學</v>
      </c>
      <c r="F623" s="14" t="str">
        <f>IFERROR(__xludf.DUMMYFUNCTION("""COMPUTED_VALUE"""),"九年級")</f>
        <v>九年級</v>
      </c>
      <c r="G623" s="14" t="str">
        <f>IFERROR(__xludf.DUMMYFUNCTION("""COMPUTED_VALUE"""),"●小禮物")</f>
        <v>●小禮物</v>
      </c>
      <c r="H623" s="8"/>
    </row>
    <row r="624">
      <c r="A624" s="18"/>
      <c r="B624" s="14">
        <f>IFERROR(__xludf.DUMMYFUNCTION("""COMPUTED_VALUE"""),1180369.0)</f>
        <v>1180369</v>
      </c>
      <c r="C624" s="14" t="str">
        <f>IFERROR(__xludf.DUMMYFUNCTION("""COMPUTED_VALUE"""),"粘和秀")</f>
        <v>粘和秀</v>
      </c>
      <c r="D624" s="16" t="str">
        <f>IFERROR(__xludf.DUMMYFUNCTION("""COMPUTED_VALUE"""),"cf1*****@apps.ntpc.edu.tw")</f>
        <v>cf1*****@apps.ntpc.edu.tw</v>
      </c>
      <c r="E624" s="17" t="str">
        <f>IFERROR(__xludf.DUMMYFUNCTION("""COMPUTED_VALUE"""),"新北市立鶯歌國民中學")</f>
        <v>新北市立鶯歌國民中學</v>
      </c>
      <c r="F624" s="14" t="str">
        <f>IFERROR(__xludf.DUMMYFUNCTION("""COMPUTED_VALUE"""),"九年級")</f>
        <v>九年級</v>
      </c>
      <c r="G624" s="14" t="str">
        <f>IFERROR(__xludf.DUMMYFUNCTION("""COMPUTED_VALUE"""),"●小禮物")</f>
        <v>●小禮物</v>
      </c>
      <c r="H624" s="8"/>
    </row>
    <row r="625">
      <c r="A625" s="18"/>
      <c r="B625" s="14">
        <f>IFERROR(__xludf.DUMMYFUNCTION("""COMPUTED_VALUE"""),1180385.0)</f>
        <v>1180385</v>
      </c>
      <c r="C625" s="14" t="str">
        <f>IFERROR(__xludf.DUMMYFUNCTION("""COMPUTED_VALUE"""),"連辰侑")</f>
        <v>連辰侑</v>
      </c>
      <c r="D625" s="16" t="str">
        <f>IFERROR(__xludf.DUMMYFUNCTION("""COMPUTED_VALUE"""),"cf1*****@apps.ntpc.edu.tw")</f>
        <v>cf1*****@apps.ntpc.edu.tw</v>
      </c>
      <c r="E625" s="17" t="str">
        <f>IFERROR(__xludf.DUMMYFUNCTION("""COMPUTED_VALUE"""),"新北市立鶯歌國民中學")</f>
        <v>新北市立鶯歌國民中學</v>
      </c>
      <c r="F625" s="14" t="str">
        <f>IFERROR(__xludf.DUMMYFUNCTION("""COMPUTED_VALUE"""),"九年級")</f>
        <v>九年級</v>
      </c>
      <c r="G625" s="14" t="str">
        <f>IFERROR(__xludf.DUMMYFUNCTION("""COMPUTED_VALUE"""),"●小禮物")</f>
        <v>●小禮物</v>
      </c>
      <c r="H625" s="8"/>
    </row>
    <row r="626">
      <c r="A626" s="18"/>
      <c r="B626" s="14">
        <f>IFERROR(__xludf.DUMMYFUNCTION("""COMPUTED_VALUE"""),1180386.0)</f>
        <v>1180386</v>
      </c>
      <c r="C626" s="14" t="str">
        <f>IFERROR(__xludf.DUMMYFUNCTION("""COMPUTED_VALUE"""),"廖子甯")</f>
        <v>廖子甯</v>
      </c>
      <c r="D626" s="16" t="str">
        <f>IFERROR(__xludf.DUMMYFUNCTION("""COMPUTED_VALUE"""),"p66*****apps.ntpc.edu.tw")</f>
        <v>p66*****apps.ntpc.edu.tw</v>
      </c>
      <c r="E626" s="17" t="str">
        <f>IFERROR(__xludf.DUMMYFUNCTION("""COMPUTED_VALUE"""),"新北市立鶯歌國民中學")</f>
        <v>新北市立鶯歌國民中學</v>
      </c>
      <c r="F626" s="14" t="str">
        <f>IFERROR(__xludf.DUMMYFUNCTION("""COMPUTED_VALUE"""),"九年級")</f>
        <v>九年級</v>
      </c>
      <c r="G626" s="14" t="str">
        <f>IFERROR(__xludf.DUMMYFUNCTION("""COMPUTED_VALUE"""),"●小禮物")</f>
        <v>●小禮物</v>
      </c>
      <c r="H626" s="8"/>
    </row>
    <row r="627">
      <c r="A627" s="18"/>
      <c r="B627" s="14">
        <f>IFERROR(__xludf.DUMMYFUNCTION("""COMPUTED_VALUE"""),1180368.0)</f>
        <v>1180368</v>
      </c>
      <c r="C627" s="14" t="str">
        <f>IFERROR(__xludf.DUMMYFUNCTION("""COMPUTED_VALUE"""),"顏汶錡")</f>
        <v>顏汶錡</v>
      </c>
      <c r="D627" s="16" t="str">
        <f>IFERROR(__xludf.DUMMYFUNCTION("""COMPUTED_VALUE"""),"kik*****@apps.ntpc.edu.tw")</f>
        <v>kik*****@apps.ntpc.edu.tw</v>
      </c>
      <c r="E627" s="17" t="str">
        <f>IFERROR(__xludf.DUMMYFUNCTION("""COMPUTED_VALUE"""),"新北市立鶯歌國民中學")</f>
        <v>新北市立鶯歌國民中學</v>
      </c>
      <c r="F627" s="14" t="str">
        <f>IFERROR(__xludf.DUMMYFUNCTION("""COMPUTED_VALUE"""),"九年級")</f>
        <v>九年級</v>
      </c>
      <c r="G627" s="14" t="str">
        <f>IFERROR(__xludf.DUMMYFUNCTION("""COMPUTED_VALUE"""),"●小禮物")</f>
        <v>●小禮物</v>
      </c>
      <c r="H627" s="8"/>
    </row>
    <row r="628">
      <c r="A628" s="18"/>
      <c r="B628" s="14">
        <f>IFERROR(__xludf.DUMMYFUNCTION("""COMPUTED_VALUE"""),1180367.0)</f>
        <v>1180367</v>
      </c>
      <c r="C628" s="14" t="str">
        <f>IFERROR(__xludf.DUMMYFUNCTION("""COMPUTED_VALUE"""),"蔡東銘")</f>
        <v>蔡東銘</v>
      </c>
      <c r="D628" s="16" t="str">
        <f>IFERROR(__xludf.DUMMYFUNCTION("""COMPUTED_VALUE"""),"asd*****992@apps.ntpc.edu.tw")</f>
        <v>asd*****992@apps.ntpc.edu.tw</v>
      </c>
      <c r="E628" s="17" t="str">
        <f>IFERROR(__xludf.DUMMYFUNCTION("""COMPUTED_VALUE"""),"新北市立鶯歌國民中學")</f>
        <v>新北市立鶯歌國民中學</v>
      </c>
      <c r="F628" s="14" t="str">
        <f>IFERROR(__xludf.DUMMYFUNCTION("""COMPUTED_VALUE"""),"九年級")</f>
        <v>九年級</v>
      </c>
      <c r="G628" s="14" t="str">
        <f>IFERROR(__xludf.DUMMYFUNCTION("""COMPUTED_VALUE"""),"★禮券$200")</f>
        <v>★禮券$200</v>
      </c>
      <c r="H628" s="8"/>
    </row>
    <row r="629">
      <c r="A629" s="18"/>
      <c r="B629" s="14">
        <f>IFERROR(__xludf.DUMMYFUNCTION("""COMPUTED_VALUE"""),1180376.0)</f>
        <v>1180376</v>
      </c>
      <c r="C629" s="14" t="str">
        <f>IFERROR(__xludf.DUMMYFUNCTION("""COMPUTED_VALUE"""),"王品鈞")</f>
        <v>王品鈞</v>
      </c>
      <c r="D629" s="16" t="str">
        <f>IFERROR(__xludf.DUMMYFUNCTION("""COMPUTED_VALUE"""),"ste*****8@apps.ntpc.edu.tw")</f>
        <v>ste*****8@apps.ntpc.edu.tw</v>
      </c>
      <c r="E629" s="17" t="str">
        <f>IFERROR(__xludf.DUMMYFUNCTION("""COMPUTED_VALUE"""),"新北市立鶯歌國民中學")</f>
        <v>新北市立鶯歌國民中學</v>
      </c>
      <c r="F629" s="14" t="str">
        <f>IFERROR(__xludf.DUMMYFUNCTION("""COMPUTED_VALUE"""),"九年級")</f>
        <v>九年級</v>
      </c>
      <c r="G629" s="14" t="str">
        <f>IFERROR(__xludf.DUMMYFUNCTION("""COMPUTED_VALUE"""),"獎狀")</f>
        <v>獎狀</v>
      </c>
      <c r="H629" s="8"/>
    </row>
    <row r="630">
      <c r="A630" s="18"/>
      <c r="B630" s="14">
        <f>IFERROR(__xludf.DUMMYFUNCTION("""COMPUTED_VALUE"""),1180379.0)</f>
        <v>1180379</v>
      </c>
      <c r="C630" s="14" t="str">
        <f>IFERROR(__xludf.DUMMYFUNCTION("""COMPUTED_VALUE"""),"吳崇瑋")</f>
        <v>吳崇瑋</v>
      </c>
      <c r="D630" s="16" t="str">
        <f>IFERROR(__xludf.DUMMYFUNCTION("""COMPUTED_VALUE"""),"ala*****@apps.ntpc.edu.tw")</f>
        <v>ala*****@apps.ntpc.edu.tw</v>
      </c>
      <c r="E630" s="17" t="str">
        <f>IFERROR(__xludf.DUMMYFUNCTION("""COMPUTED_VALUE"""),"新北市立鶯歌國民中學")</f>
        <v>新北市立鶯歌國民中學</v>
      </c>
      <c r="F630" s="14" t="str">
        <f>IFERROR(__xludf.DUMMYFUNCTION("""COMPUTED_VALUE"""),"九年級")</f>
        <v>九年級</v>
      </c>
      <c r="G630" s="14" t="str">
        <f>IFERROR(__xludf.DUMMYFUNCTION("""COMPUTED_VALUE"""),"獎狀")</f>
        <v>獎狀</v>
      </c>
      <c r="H630" s="8"/>
    </row>
    <row r="631">
      <c r="A631" s="18"/>
      <c r="B631" s="14">
        <f>IFERROR(__xludf.DUMMYFUNCTION("""COMPUTED_VALUE"""),344277.0)</f>
        <v>344277</v>
      </c>
      <c r="C631" s="14" t="str">
        <f>IFERROR(__xludf.DUMMYFUNCTION("""COMPUTED_VALUE"""),"吳瑞隆")</f>
        <v>吳瑞隆</v>
      </c>
      <c r="D631" s="16" t="str">
        <f>IFERROR(__xludf.DUMMYFUNCTION("""COMPUTED_VALUE"""),"a09*****796@apps.ntpc.edu.tw")</f>
        <v>a09*****796@apps.ntpc.edu.tw</v>
      </c>
      <c r="E631" s="17" t="str">
        <f>IFERROR(__xludf.DUMMYFUNCTION("""COMPUTED_VALUE"""),"新北市立鶯歌國民中學")</f>
        <v>新北市立鶯歌國民中學</v>
      </c>
      <c r="F631" s="14" t="str">
        <f>IFERROR(__xludf.DUMMYFUNCTION("""COMPUTED_VALUE"""),"九年級")</f>
        <v>九年級</v>
      </c>
      <c r="G631" s="14" t="str">
        <f>IFERROR(__xludf.DUMMYFUNCTION("""COMPUTED_VALUE"""),"獎狀")</f>
        <v>獎狀</v>
      </c>
      <c r="H631" s="8"/>
    </row>
    <row r="632">
      <c r="A632" s="18"/>
      <c r="B632" s="14">
        <f>IFERROR(__xludf.DUMMYFUNCTION("""COMPUTED_VALUE"""),240328.0)</f>
        <v>240328</v>
      </c>
      <c r="C632" s="14" t="str">
        <f>IFERROR(__xludf.DUMMYFUNCTION("""COMPUTED_VALUE"""),"李毓祐")</f>
        <v>李毓祐</v>
      </c>
      <c r="D632" s="16" t="str">
        <f>IFERROR(__xludf.DUMMYFUNCTION("""COMPUTED_VALUE"""),"yor*****@apps.ntpc.edu.tw")</f>
        <v>yor*****@apps.ntpc.edu.tw</v>
      </c>
      <c r="E632" s="17" t="str">
        <f>IFERROR(__xludf.DUMMYFUNCTION("""COMPUTED_VALUE"""),"新北市立鶯歌國民中學")</f>
        <v>新北市立鶯歌國民中學</v>
      </c>
      <c r="F632" s="14" t="str">
        <f>IFERROR(__xludf.DUMMYFUNCTION("""COMPUTED_VALUE"""),"九年級")</f>
        <v>九年級</v>
      </c>
      <c r="G632" s="14" t="str">
        <f>IFERROR(__xludf.DUMMYFUNCTION("""COMPUTED_VALUE"""),"獎狀")</f>
        <v>獎狀</v>
      </c>
      <c r="H632" s="8"/>
    </row>
    <row r="633">
      <c r="A633" s="18"/>
      <c r="B633" s="14">
        <f>IFERROR(__xludf.DUMMYFUNCTION("""COMPUTED_VALUE"""),231762.0)</f>
        <v>231762</v>
      </c>
      <c r="C633" s="14" t="str">
        <f>IFERROR(__xludf.DUMMYFUNCTION("""COMPUTED_VALUE"""),"林立宏")</f>
        <v>林立宏</v>
      </c>
      <c r="D633" s="16" t="str">
        <f>IFERROR(__xludf.DUMMYFUNCTION("""COMPUTED_VALUE"""),"leo*****3@apps.ntpc.edu.tw")</f>
        <v>leo*****3@apps.ntpc.edu.tw</v>
      </c>
      <c r="E633" s="17" t="str">
        <f>IFERROR(__xludf.DUMMYFUNCTION("""COMPUTED_VALUE"""),"新北市立鶯歌國民中學")</f>
        <v>新北市立鶯歌國民中學</v>
      </c>
      <c r="F633" s="14" t="str">
        <f>IFERROR(__xludf.DUMMYFUNCTION("""COMPUTED_VALUE"""),"九年級")</f>
        <v>九年級</v>
      </c>
      <c r="G633" s="14" t="str">
        <f>IFERROR(__xludf.DUMMYFUNCTION("""COMPUTED_VALUE"""),"獎狀")</f>
        <v>獎狀</v>
      </c>
      <c r="H633" s="8"/>
    </row>
    <row r="634">
      <c r="A634" s="18"/>
      <c r="B634" s="14">
        <f>IFERROR(__xludf.DUMMYFUNCTION("""COMPUTED_VALUE"""),219609.0)</f>
        <v>219609</v>
      </c>
      <c r="C634" s="14" t="str">
        <f>IFERROR(__xludf.DUMMYFUNCTION("""COMPUTED_VALUE"""),"林孝潔")</f>
        <v>林孝潔</v>
      </c>
      <c r="D634" s="16" t="str">
        <f>IFERROR(__xludf.DUMMYFUNCTION("""COMPUTED_VALUE"""),"sak*****0909@apps.ntpc.edu.tw")</f>
        <v>sak*****0909@apps.ntpc.edu.tw</v>
      </c>
      <c r="E634" s="17" t="str">
        <f>IFERROR(__xludf.DUMMYFUNCTION("""COMPUTED_VALUE"""),"新北市立鶯歌國民中學")</f>
        <v>新北市立鶯歌國民中學</v>
      </c>
      <c r="F634" s="14" t="str">
        <f>IFERROR(__xludf.DUMMYFUNCTION("""COMPUTED_VALUE"""),"九年級")</f>
        <v>九年級</v>
      </c>
      <c r="G634" s="14" t="str">
        <f>IFERROR(__xludf.DUMMYFUNCTION("""COMPUTED_VALUE"""),"獎狀")</f>
        <v>獎狀</v>
      </c>
      <c r="H634" s="8"/>
    </row>
    <row r="635">
      <c r="A635" s="18"/>
      <c r="B635" s="14">
        <f>IFERROR(__xludf.DUMMYFUNCTION("""COMPUTED_VALUE"""),1180378.0)</f>
        <v>1180378</v>
      </c>
      <c r="C635" s="14" t="str">
        <f>IFERROR(__xludf.DUMMYFUNCTION("""COMPUTED_VALUE"""),"林保維")</f>
        <v>林保維</v>
      </c>
      <c r="D635" s="16" t="str">
        <f>IFERROR(__xludf.DUMMYFUNCTION("""COMPUTED_VALUE"""),"ycf*****6785@apps.ntpc.edu.tw")</f>
        <v>ycf*****6785@apps.ntpc.edu.tw</v>
      </c>
      <c r="E635" s="17" t="str">
        <f>IFERROR(__xludf.DUMMYFUNCTION("""COMPUTED_VALUE"""),"新北市立鶯歌國民中學")</f>
        <v>新北市立鶯歌國民中學</v>
      </c>
      <c r="F635" s="14" t="str">
        <f>IFERROR(__xludf.DUMMYFUNCTION("""COMPUTED_VALUE"""),"九年級")</f>
        <v>九年級</v>
      </c>
      <c r="G635" s="14" t="str">
        <f>IFERROR(__xludf.DUMMYFUNCTION("""COMPUTED_VALUE"""),"獎狀")</f>
        <v>獎狀</v>
      </c>
      <c r="H635" s="8"/>
    </row>
    <row r="636">
      <c r="A636" s="18"/>
      <c r="B636" s="14">
        <f>IFERROR(__xludf.DUMMYFUNCTION("""COMPUTED_VALUE"""),1180392.0)</f>
        <v>1180392</v>
      </c>
      <c r="C636" s="14" t="str">
        <f>IFERROR(__xludf.DUMMYFUNCTION("""COMPUTED_VALUE"""),"陳秉宜")</f>
        <v>陳秉宜</v>
      </c>
      <c r="D636" s="16" t="str">
        <f>IFERROR(__xludf.DUMMYFUNCTION("""COMPUTED_VALUE"""),"cha*****9@apps.ntpc.edu.tw")</f>
        <v>cha*****9@apps.ntpc.edu.tw</v>
      </c>
      <c r="E636" s="17" t="str">
        <f>IFERROR(__xludf.DUMMYFUNCTION("""COMPUTED_VALUE"""),"新北市立鶯歌國民中學")</f>
        <v>新北市立鶯歌國民中學</v>
      </c>
      <c r="F636" s="14" t="str">
        <f>IFERROR(__xludf.DUMMYFUNCTION("""COMPUTED_VALUE"""),"九年級")</f>
        <v>九年級</v>
      </c>
      <c r="G636" s="14" t="str">
        <f>IFERROR(__xludf.DUMMYFUNCTION("""COMPUTED_VALUE"""),"獎狀")</f>
        <v>獎狀</v>
      </c>
      <c r="H636" s="8"/>
    </row>
    <row r="637">
      <c r="A637" s="18"/>
      <c r="B637" s="14">
        <f>IFERROR(__xludf.DUMMYFUNCTION("""COMPUTED_VALUE"""),1180374.0)</f>
        <v>1180374</v>
      </c>
      <c r="C637" s="14" t="str">
        <f>IFERROR(__xludf.DUMMYFUNCTION("""COMPUTED_VALUE"""),"劉喆恩")</f>
        <v>劉喆恩</v>
      </c>
      <c r="D637" s="16" t="str">
        <f>IFERROR(__xludf.DUMMYFUNCTION("""COMPUTED_VALUE"""),"edm*****0@apps.ntpc.edu.tw")</f>
        <v>edm*****0@apps.ntpc.edu.tw</v>
      </c>
      <c r="E637" s="17" t="str">
        <f>IFERROR(__xludf.DUMMYFUNCTION("""COMPUTED_VALUE"""),"新北市立鶯歌國民中學")</f>
        <v>新北市立鶯歌國民中學</v>
      </c>
      <c r="F637" s="14" t="str">
        <f>IFERROR(__xludf.DUMMYFUNCTION("""COMPUTED_VALUE"""),"九年級")</f>
        <v>九年級</v>
      </c>
      <c r="G637" s="14" t="str">
        <f>IFERROR(__xludf.DUMMYFUNCTION("""COMPUTED_VALUE"""),"獎狀")</f>
        <v>獎狀</v>
      </c>
      <c r="H637" s="8"/>
    </row>
    <row r="638">
      <c r="A638" s="18"/>
      <c r="B638" s="14">
        <f>IFERROR(__xludf.DUMMYFUNCTION("""COMPUTED_VALUE"""),1180380.0)</f>
        <v>1180380</v>
      </c>
      <c r="C638" s="14" t="str">
        <f>IFERROR(__xludf.DUMMYFUNCTION("""COMPUTED_VALUE"""),"鄭宇呈")</f>
        <v>鄭宇呈</v>
      </c>
      <c r="D638" s="16" t="str">
        <f>IFERROR(__xludf.DUMMYFUNCTION("""COMPUTED_VALUE"""),"leo*****@apps.ntpc.edu.tw")</f>
        <v>leo*****@apps.ntpc.edu.tw</v>
      </c>
      <c r="E638" s="17" t="str">
        <f>IFERROR(__xludf.DUMMYFUNCTION("""COMPUTED_VALUE"""),"新北市立鶯歌國民中學")</f>
        <v>新北市立鶯歌國民中學</v>
      </c>
      <c r="F638" s="14" t="str">
        <f>IFERROR(__xludf.DUMMYFUNCTION("""COMPUTED_VALUE"""),"九年級")</f>
        <v>九年級</v>
      </c>
      <c r="G638" s="14" t="str">
        <f>IFERROR(__xludf.DUMMYFUNCTION("""COMPUTED_VALUE"""),"獎狀")</f>
        <v>獎狀</v>
      </c>
      <c r="H638" s="8"/>
    </row>
    <row r="639">
      <c r="A639" s="18"/>
      <c r="B639" s="14">
        <f>IFERROR(__xludf.DUMMYFUNCTION("""COMPUTED_VALUE"""),1180371.0)</f>
        <v>1180371</v>
      </c>
      <c r="C639" s="14" t="str">
        <f>IFERROR(__xludf.DUMMYFUNCTION("""COMPUTED_VALUE"""),"鄭宇恩")</f>
        <v>鄭宇恩</v>
      </c>
      <c r="D639" s="16" t="str">
        <f>IFERROR(__xludf.DUMMYFUNCTION("""COMPUTED_VALUE"""),"a26*****9@apps.ntpc.edu.tw")</f>
        <v>a26*****9@apps.ntpc.edu.tw</v>
      </c>
      <c r="E639" s="17" t="str">
        <f>IFERROR(__xludf.DUMMYFUNCTION("""COMPUTED_VALUE"""),"新北市立鶯歌國民中學")</f>
        <v>新北市立鶯歌國民中學</v>
      </c>
      <c r="F639" s="14" t="str">
        <f>IFERROR(__xludf.DUMMYFUNCTION("""COMPUTED_VALUE"""),"九年級")</f>
        <v>九年級</v>
      </c>
      <c r="G639" s="14" t="str">
        <f>IFERROR(__xludf.DUMMYFUNCTION("""COMPUTED_VALUE"""),"獎狀")</f>
        <v>獎狀</v>
      </c>
      <c r="H639" s="8"/>
    </row>
    <row r="640">
      <c r="A640" s="18"/>
      <c r="B640" s="14">
        <f>IFERROR(__xludf.DUMMYFUNCTION("""COMPUTED_VALUE"""),677110.0)</f>
        <v>677110</v>
      </c>
      <c r="C640" s="14" t="str">
        <f>IFERROR(__xludf.DUMMYFUNCTION("""COMPUTED_VALUE"""),"戴宜臻")</f>
        <v>戴宜臻</v>
      </c>
      <c r="D640" s="16" t="str">
        <f>IFERROR(__xludf.DUMMYFUNCTION("""COMPUTED_VALUE"""),"cf1*****@apps.ntpc.edu.tw")</f>
        <v>cf1*****@apps.ntpc.edu.tw</v>
      </c>
      <c r="E640" s="17" t="str">
        <f>IFERROR(__xludf.DUMMYFUNCTION("""COMPUTED_VALUE"""),"新北市立鶯歌國民中學")</f>
        <v>新北市立鶯歌國民中學</v>
      </c>
      <c r="F640" s="14" t="str">
        <f>IFERROR(__xludf.DUMMYFUNCTION("""COMPUTED_VALUE"""),"九年級")</f>
        <v>九年級</v>
      </c>
      <c r="G640" s="14" t="str">
        <f>IFERROR(__xludf.DUMMYFUNCTION("""COMPUTED_VALUE"""),"獎狀")</f>
        <v>獎狀</v>
      </c>
      <c r="H640" s="8"/>
    </row>
    <row r="641">
      <c r="A641" s="18"/>
      <c r="B641" s="14">
        <f>IFERROR(__xludf.DUMMYFUNCTION("""COMPUTED_VALUE"""),1183287.0)</f>
        <v>1183287</v>
      </c>
      <c r="C641" s="14" t="str">
        <f>IFERROR(__xludf.DUMMYFUNCTION("""COMPUTED_VALUE"""),"陳芓溱")</f>
        <v>陳芓溱</v>
      </c>
      <c r="D641" s="16" t="str">
        <f>IFERROR(__xludf.DUMMYFUNCTION("""COMPUTED_VALUE"""),"yf1*****@apps.ntpc.edu.tw")</f>
        <v>yf1*****@apps.ntpc.edu.tw</v>
      </c>
      <c r="E641" s="17" t="str">
        <f>IFERROR(__xludf.DUMMYFUNCTION("""COMPUTED_VALUE"""),"新北市立三和國民中學")</f>
        <v>新北市立三和國民中學</v>
      </c>
      <c r="F641" s="14" t="str">
        <f>IFERROR(__xludf.DUMMYFUNCTION("""COMPUTED_VALUE"""),"七年級")</f>
        <v>七年級</v>
      </c>
      <c r="G641" s="14" t="str">
        <f>IFERROR(__xludf.DUMMYFUNCTION("""COMPUTED_VALUE"""),"●小禮物")</f>
        <v>●小禮物</v>
      </c>
      <c r="H641" s="8"/>
    </row>
    <row r="642">
      <c r="A642" s="18"/>
      <c r="B642" s="14">
        <f>IFERROR(__xludf.DUMMYFUNCTION("""COMPUTED_VALUE"""),1183286.0)</f>
        <v>1183286</v>
      </c>
      <c r="C642" s="14" t="str">
        <f>IFERROR(__xludf.DUMMYFUNCTION("""COMPUTED_VALUE"""),"曾彥齊")</f>
        <v>曾彥齊</v>
      </c>
      <c r="D642" s="16" t="str">
        <f>IFERROR(__xludf.DUMMYFUNCTION("""COMPUTED_VALUE"""),"yf1*****@apps.ntpc.edu.tw")</f>
        <v>yf1*****@apps.ntpc.edu.tw</v>
      </c>
      <c r="E642" s="17" t="str">
        <f>IFERROR(__xludf.DUMMYFUNCTION("""COMPUTED_VALUE"""),"新北市立三和國民中學")</f>
        <v>新北市立三和國民中學</v>
      </c>
      <c r="F642" s="14" t="str">
        <f>IFERROR(__xludf.DUMMYFUNCTION("""COMPUTED_VALUE"""),"八年級")</f>
        <v>八年級</v>
      </c>
      <c r="G642" s="14" t="str">
        <f>IFERROR(__xludf.DUMMYFUNCTION("""COMPUTED_VALUE"""),"獎狀")</f>
        <v>獎狀</v>
      </c>
      <c r="H642" s="8"/>
    </row>
    <row r="643">
      <c r="A643" s="18"/>
      <c r="B643" s="14">
        <f>IFERROR(__xludf.DUMMYFUNCTION("""COMPUTED_VALUE"""),819547.0)</f>
        <v>819547</v>
      </c>
      <c r="C643" s="14" t="str">
        <f>IFERROR(__xludf.DUMMYFUNCTION("""COMPUTED_VALUE"""),"李宥臻")</f>
        <v>李宥臻</v>
      </c>
      <c r="D643" s="16" t="str">
        <f>IFERROR(__xludf.DUMMYFUNCTION("""COMPUTED_VALUE"""),"iri*****12@apps.ntpc.edu.tw")</f>
        <v>iri*****12@apps.ntpc.edu.tw</v>
      </c>
      <c r="E643" s="17" t="str">
        <f>IFERROR(__xludf.DUMMYFUNCTION("""COMPUTED_VALUE"""),"新北市立三和國民中學")</f>
        <v>新北市立三和國民中學</v>
      </c>
      <c r="F643" s="14" t="str">
        <f>IFERROR(__xludf.DUMMYFUNCTION("""COMPUTED_VALUE"""),"八年級")</f>
        <v>八年級</v>
      </c>
      <c r="G643" s="14" t="str">
        <f>IFERROR(__xludf.DUMMYFUNCTION("""COMPUTED_VALUE"""),"獎狀")</f>
        <v>獎狀</v>
      </c>
      <c r="H643" s="8"/>
    </row>
    <row r="644">
      <c r="A644" s="18"/>
      <c r="B644" s="14">
        <f>IFERROR(__xludf.DUMMYFUNCTION("""COMPUTED_VALUE"""),1183285.0)</f>
        <v>1183285</v>
      </c>
      <c r="C644" s="14" t="str">
        <f>IFERROR(__xludf.DUMMYFUNCTION("""COMPUTED_VALUE"""),"林意庭")</f>
        <v>林意庭</v>
      </c>
      <c r="D644" s="16" t="str">
        <f>IFERROR(__xludf.DUMMYFUNCTION("""COMPUTED_VALUE"""),"sum*****18@apps.ntpc.edu.tw")</f>
        <v>sum*****18@apps.ntpc.edu.tw</v>
      </c>
      <c r="E644" s="17" t="str">
        <f>IFERROR(__xludf.DUMMYFUNCTION("""COMPUTED_VALUE"""),"新北市立三和國民中學")</f>
        <v>新北市立三和國民中學</v>
      </c>
      <c r="F644" s="14" t="str">
        <f>IFERROR(__xludf.DUMMYFUNCTION("""COMPUTED_VALUE"""),"八年級")</f>
        <v>八年級</v>
      </c>
      <c r="G644" s="14" t="str">
        <f>IFERROR(__xludf.DUMMYFUNCTION("""COMPUTED_VALUE"""),"●小禮物")</f>
        <v>●小禮物</v>
      </c>
      <c r="H644" s="8"/>
    </row>
    <row r="645">
      <c r="A645" s="18"/>
      <c r="B645" s="14">
        <f>IFERROR(__xludf.DUMMYFUNCTION("""COMPUTED_VALUE"""),298048.0)</f>
        <v>298048</v>
      </c>
      <c r="C645" s="14" t="str">
        <f>IFERROR(__xludf.DUMMYFUNCTION("""COMPUTED_VALUE"""),"林郁軒")</f>
        <v>林郁軒</v>
      </c>
      <c r="D645" s="16" t="str">
        <f>IFERROR(__xludf.DUMMYFUNCTION("""COMPUTED_VALUE"""),"ziv*****22.ntpc@mail.edu.tw")</f>
        <v>ziv*****22.ntpc@mail.edu.tw</v>
      </c>
      <c r="E645" s="17" t="str">
        <f>IFERROR(__xludf.DUMMYFUNCTION("""COMPUTED_VALUE"""),"新北市立碧華國民中學")</f>
        <v>新北市立碧華國民中學</v>
      </c>
      <c r="F645" s="14" t="str">
        <f>IFERROR(__xludf.DUMMYFUNCTION("""COMPUTED_VALUE"""),"七年級")</f>
        <v>七年級</v>
      </c>
      <c r="G645" s="14" t="str">
        <f>IFERROR(__xludf.DUMMYFUNCTION("""COMPUTED_VALUE"""),"★禮券$200")</f>
        <v>★禮券$200</v>
      </c>
      <c r="H645" s="8"/>
    </row>
    <row r="646">
      <c r="A646" s="18"/>
      <c r="B646" s="14">
        <f>IFERROR(__xludf.DUMMYFUNCTION("""COMPUTED_VALUE"""),158764.0)</f>
        <v>158764</v>
      </c>
      <c r="C646" s="14" t="str">
        <f>IFERROR(__xludf.DUMMYFUNCTION("""COMPUTED_VALUE"""),"林榆婕")</f>
        <v>林榆婕</v>
      </c>
      <c r="D646" s="16" t="str">
        <f>IFERROR(__xludf.DUMMYFUNCTION("""COMPUTED_VALUE"""),"two*****p@yahoo.com.tw")</f>
        <v>two*****p@yahoo.com.tw</v>
      </c>
      <c r="E646" s="17" t="str">
        <f>IFERROR(__xludf.DUMMYFUNCTION("""COMPUTED_VALUE"""),"新北市立碧華國民中學")</f>
        <v>新北市立碧華國民中學</v>
      </c>
      <c r="F646" s="14" t="str">
        <f>IFERROR(__xludf.DUMMYFUNCTION("""COMPUTED_VALUE"""),"七年級")</f>
        <v>七年級</v>
      </c>
      <c r="G646" s="14" t="str">
        <f>IFERROR(__xludf.DUMMYFUNCTION("""COMPUTED_VALUE"""),"獎狀")</f>
        <v>獎狀</v>
      </c>
      <c r="H646" s="8"/>
    </row>
    <row r="647">
      <c r="A647" s="18"/>
      <c r="B647" s="14">
        <f>IFERROR(__xludf.DUMMYFUNCTION("""COMPUTED_VALUE"""),862599.0)</f>
        <v>862599</v>
      </c>
      <c r="C647" s="14" t="str">
        <f>IFERROR(__xludf.DUMMYFUNCTION("""COMPUTED_VALUE"""),"雷祐誠")</f>
        <v>雷祐誠</v>
      </c>
      <c r="D647" s="16" t="str">
        <f>IFERROR(__xludf.DUMMYFUNCTION("""COMPUTED_VALUE"""),"tho*****0610.ntpc@mail.edu.tw")</f>
        <v>tho*****0610.ntpc@mail.edu.tw</v>
      </c>
      <c r="E647" s="17" t="str">
        <f>IFERROR(__xludf.DUMMYFUNCTION("""COMPUTED_VALUE"""),"新北市立碧華國民中學")</f>
        <v>新北市立碧華國民中學</v>
      </c>
      <c r="F647" s="14" t="str">
        <f>IFERROR(__xludf.DUMMYFUNCTION("""COMPUTED_VALUE"""),"八年級")</f>
        <v>八年級</v>
      </c>
      <c r="G647" s="14" t="str">
        <f>IFERROR(__xludf.DUMMYFUNCTION("""COMPUTED_VALUE"""),"●小禮物")</f>
        <v>●小禮物</v>
      </c>
      <c r="H647" s="8"/>
    </row>
    <row r="648">
      <c r="A648" s="18"/>
      <c r="B648" s="14">
        <f>IFERROR(__xludf.DUMMYFUNCTION("""COMPUTED_VALUE"""),870229.0)</f>
        <v>870229</v>
      </c>
      <c r="C648" s="14" t="str">
        <f>IFERROR(__xludf.DUMMYFUNCTION("""COMPUTED_VALUE"""),"雷祐嘉")</f>
        <v>雷祐嘉</v>
      </c>
      <c r="D648" s="16" t="str">
        <f>IFERROR(__xludf.DUMMYFUNCTION("""COMPUTED_VALUE"""),"han*****0610.ntpc@mail.edu.tw")</f>
        <v>han*****0610.ntpc@mail.edu.tw</v>
      </c>
      <c r="E648" s="17" t="str">
        <f>IFERROR(__xludf.DUMMYFUNCTION("""COMPUTED_VALUE"""),"新北市立碧華國民中學")</f>
        <v>新北市立碧華國民中學</v>
      </c>
      <c r="F648" s="14" t="str">
        <f>IFERROR(__xludf.DUMMYFUNCTION("""COMPUTED_VALUE"""),"八年級")</f>
        <v>八年級</v>
      </c>
      <c r="G648" s="14" t="str">
        <f>IFERROR(__xludf.DUMMYFUNCTION("""COMPUTED_VALUE"""),"獎狀")</f>
        <v>獎狀</v>
      </c>
      <c r="H648" s="8"/>
    </row>
    <row r="649">
      <c r="A649" s="18"/>
      <c r="B649" s="14">
        <f>IFERROR(__xludf.DUMMYFUNCTION("""COMPUTED_VALUE"""),1194192.0)</f>
        <v>1194192</v>
      </c>
      <c r="C649" s="14" t="str">
        <f>IFERROR(__xludf.DUMMYFUNCTION("""COMPUTED_VALUE"""),"鄭詩穎")</f>
        <v>鄭詩穎</v>
      </c>
      <c r="D649" s="16" t="str">
        <f>IFERROR(__xludf.DUMMYFUNCTION("""COMPUTED_VALUE"""),"bhe*****27@mail.edu.tw")</f>
        <v>bhe*****27@mail.edu.tw</v>
      </c>
      <c r="E649" s="17" t="str">
        <f>IFERROR(__xludf.DUMMYFUNCTION("""COMPUTED_VALUE"""),"新北市立碧華國民中學")</f>
        <v>新北市立碧華國民中學</v>
      </c>
      <c r="F649" s="14" t="str">
        <f>IFERROR(__xludf.DUMMYFUNCTION("""COMPUTED_VALUE"""),"八年級")</f>
        <v>八年級</v>
      </c>
      <c r="G649" s="14" t="str">
        <f>IFERROR(__xludf.DUMMYFUNCTION("""COMPUTED_VALUE"""),"獎狀")</f>
        <v>獎狀</v>
      </c>
      <c r="H649" s="8"/>
    </row>
    <row r="650">
      <c r="A650" s="18"/>
      <c r="B650" s="14">
        <f>IFERROR(__xludf.DUMMYFUNCTION("""COMPUTED_VALUE"""),865406.0)</f>
        <v>865406</v>
      </c>
      <c r="C650" s="14" t="str">
        <f>IFERROR(__xludf.DUMMYFUNCTION("""COMPUTED_VALUE"""),"林儀芊")</f>
        <v>林儀芊</v>
      </c>
      <c r="D650" s="16" t="str">
        <f>IFERROR(__xludf.DUMMYFUNCTION("""COMPUTED_VALUE"""),"bhe*****61@mail.edu.tw")</f>
        <v>bhe*****61@mail.edu.tw</v>
      </c>
      <c r="E650" s="17" t="str">
        <f>IFERROR(__xludf.DUMMYFUNCTION("""COMPUTED_VALUE"""),"新北市立碧華國民中學")</f>
        <v>新北市立碧華國民中學</v>
      </c>
      <c r="F650" s="14" t="str">
        <f>IFERROR(__xludf.DUMMYFUNCTION("""COMPUTED_VALUE"""),"八年級")</f>
        <v>八年級</v>
      </c>
      <c r="G650" s="14" t="str">
        <f>IFERROR(__xludf.DUMMYFUNCTION("""COMPUTED_VALUE"""),"獎狀")</f>
        <v>獎狀</v>
      </c>
      <c r="H650" s="8"/>
    </row>
    <row r="651">
      <c r="A651" s="18"/>
      <c r="B651" s="14">
        <f>IFERROR(__xludf.DUMMYFUNCTION("""COMPUTED_VALUE"""),864550.0)</f>
        <v>864550</v>
      </c>
      <c r="C651" s="14" t="str">
        <f>IFERROR(__xludf.DUMMYFUNCTION("""COMPUTED_VALUE"""),"范容萱")</f>
        <v>范容萱</v>
      </c>
      <c r="D651" s="16" t="str">
        <f>IFERROR(__xludf.DUMMYFUNCTION("""COMPUTED_VALUE"""),"sop*****016@gmail.com")</f>
        <v>sop*****016@gmail.com</v>
      </c>
      <c r="E651" s="17" t="str">
        <f>IFERROR(__xludf.DUMMYFUNCTION("""COMPUTED_VALUE"""),"新北市立碧華國民中學")</f>
        <v>新北市立碧華國民中學</v>
      </c>
      <c r="F651" s="14" t="str">
        <f>IFERROR(__xludf.DUMMYFUNCTION("""COMPUTED_VALUE"""),"八年級")</f>
        <v>八年級</v>
      </c>
      <c r="G651" s="14" t="str">
        <f>IFERROR(__xludf.DUMMYFUNCTION("""COMPUTED_VALUE"""),"獎狀")</f>
        <v>獎狀</v>
      </c>
      <c r="H651" s="8"/>
    </row>
    <row r="652">
      <c r="A652" s="18"/>
      <c r="B652" s="14">
        <f>IFERROR(__xludf.DUMMYFUNCTION("""COMPUTED_VALUE"""),1128690.0)</f>
        <v>1128690</v>
      </c>
      <c r="C652" s="14" t="str">
        <f>IFERROR(__xludf.DUMMYFUNCTION("""COMPUTED_VALUE"""),"吳若語")</f>
        <v>吳若語</v>
      </c>
      <c r="D652" s="16" t="str">
        <f>IFERROR(__xludf.DUMMYFUNCTION("""COMPUTED_VALUE"""),"ari*****698@apps.ntpc.edu.tw")</f>
        <v>ari*****698@apps.ntpc.edu.tw</v>
      </c>
      <c r="E652" s="17" t="str">
        <f>IFERROR(__xludf.DUMMYFUNCTION("""COMPUTED_VALUE"""),"新北市立碧華國民中學")</f>
        <v>新北市立碧華國民中學</v>
      </c>
      <c r="F652" s="14" t="str">
        <f>IFERROR(__xludf.DUMMYFUNCTION("""COMPUTED_VALUE"""),"八年級")</f>
        <v>八年級</v>
      </c>
      <c r="G652" s="14" t="str">
        <f>IFERROR(__xludf.DUMMYFUNCTION("""COMPUTED_VALUE"""),"獎狀")</f>
        <v>獎狀</v>
      </c>
      <c r="H652" s="8"/>
    </row>
    <row r="653">
      <c r="A653" s="18"/>
      <c r="B653" s="14">
        <f>IFERROR(__xludf.DUMMYFUNCTION("""COMPUTED_VALUE"""),123849.0)</f>
        <v>123849</v>
      </c>
      <c r="C653" s="14" t="str">
        <f>IFERROR(__xludf.DUMMYFUNCTION("""COMPUTED_VALUE"""),"林榆芸")</f>
        <v>林榆芸</v>
      </c>
      <c r="D653" s="16" t="str">
        <f>IFERROR(__xludf.DUMMYFUNCTION("""COMPUTED_VALUE"""),"dai*****ll@yahoo.com.tw")</f>
        <v>dai*****ll@yahoo.com.tw</v>
      </c>
      <c r="E653" s="17" t="str">
        <f>IFERROR(__xludf.DUMMYFUNCTION("""COMPUTED_VALUE"""),"新北市立碧華國民中學")</f>
        <v>新北市立碧華國民中學</v>
      </c>
      <c r="F653" s="14" t="str">
        <f>IFERROR(__xludf.DUMMYFUNCTION("""COMPUTED_VALUE"""),"八年級")</f>
        <v>八年級</v>
      </c>
      <c r="G653" s="14" t="str">
        <f>IFERROR(__xludf.DUMMYFUNCTION("""COMPUTED_VALUE"""),"獎狀")</f>
        <v>獎狀</v>
      </c>
      <c r="H653" s="8"/>
    </row>
    <row r="654">
      <c r="A654" s="18"/>
      <c r="B654" s="14">
        <f>IFERROR(__xludf.DUMMYFUNCTION("""COMPUTED_VALUE"""),1036365.0)</f>
        <v>1036365</v>
      </c>
      <c r="C654" s="14" t="str">
        <f>IFERROR(__xludf.DUMMYFUNCTION("""COMPUTED_VALUE"""),"廖宏沂")</f>
        <v>廖宏沂</v>
      </c>
      <c r="D654" s="16" t="str">
        <f>IFERROR(__xludf.DUMMYFUNCTION("""COMPUTED_VALUE"""),"bhe*****26@apps.ntpc.edu.tw")</f>
        <v>bhe*****26@apps.ntpc.edu.tw</v>
      </c>
      <c r="E654" s="17" t="str">
        <f>IFERROR(__xludf.DUMMYFUNCTION("""COMPUTED_VALUE"""),"新北市立碧華國民中學")</f>
        <v>新北市立碧華國民中學</v>
      </c>
      <c r="F654" s="14" t="str">
        <f>IFERROR(__xludf.DUMMYFUNCTION("""COMPUTED_VALUE"""),"九年級")</f>
        <v>九年級</v>
      </c>
      <c r="G654" s="14" t="str">
        <f>IFERROR(__xludf.DUMMYFUNCTION("""COMPUTED_VALUE"""),"獎狀")</f>
        <v>獎狀</v>
      </c>
      <c r="H654" s="8"/>
    </row>
    <row r="655">
      <c r="A655" s="18"/>
      <c r="B655" s="14">
        <f>IFERROR(__xludf.DUMMYFUNCTION("""COMPUTED_VALUE"""),1142906.0)</f>
        <v>1142906</v>
      </c>
      <c r="C655" s="14" t="str">
        <f>IFERROR(__xludf.DUMMYFUNCTION("""COMPUTED_VALUE"""),"陳定渝")</f>
        <v>陳定渝</v>
      </c>
      <c r="D655" s="16" t="str">
        <f>IFERROR(__xludf.DUMMYFUNCTION("""COMPUTED_VALUE"""),"rea*****516@yahoo.com.tw")</f>
        <v>rea*****516@yahoo.com.tw</v>
      </c>
      <c r="E655" s="17" t="str">
        <f>IFERROR(__xludf.DUMMYFUNCTION("""COMPUTED_VALUE"""),"鄭義燕學校財團法人新北市私立格致高級中等學校附設國中部")</f>
        <v>鄭義燕學校財團法人新北市私立格致高級中等學校附設國中部</v>
      </c>
      <c r="F655" s="14" t="str">
        <f>IFERROR(__xludf.DUMMYFUNCTION("""COMPUTED_VALUE"""),"七年級")</f>
        <v>七年級</v>
      </c>
      <c r="G655" s="14" t="str">
        <f>IFERROR(__xludf.DUMMYFUNCTION("""COMPUTED_VALUE"""),"●小禮物")</f>
        <v>●小禮物</v>
      </c>
      <c r="H655" s="8"/>
    </row>
    <row r="656">
      <c r="A656" s="18"/>
      <c r="B656" s="14">
        <f>IFERROR(__xludf.DUMMYFUNCTION("""COMPUTED_VALUE"""),929829.0)</f>
        <v>929829</v>
      </c>
      <c r="C656" s="14" t="str">
        <f>IFERROR(__xludf.DUMMYFUNCTION("""COMPUTED_VALUE"""),"李育甄")</f>
        <v>李育甄</v>
      </c>
      <c r="D656" s="16" t="str">
        <f>IFERROR(__xludf.DUMMYFUNCTION("""COMPUTED_VALUE"""),"050*****ail.gjsh.ntpc.edu.tw")</f>
        <v>050*****ail.gjsh.ntpc.edu.tw</v>
      </c>
      <c r="E656" s="17" t="str">
        <f>IFERROR(__xludf.DUMMYFUNCTION("""COMPUTED_VALUE"""),"鄭義燕學校財團法人新北市私立格致高級中等學校附設國中部")</f>
        <v>鄭義燕學校財團法人新北市私立格致高級中等學校附設國中部</v>
      </c>
      <c r="F656" s="14" t="str">
        <f>IFERROR(__xludf.DUMMYFUNCTION("""COMPUTED_VALUE"""),"八年級")</f>
        <v>八年級</v>
      </c>
      <c r="G656" s="14" t="str">
        <f>IFERROR(__xludf.DUMMYFUNCTION("""COMPUTED_VALUE"""),"獎狀")</f>
        <v>獎狀</v>
      </c>
      <c r="H656" s="8"/>
    </row>
    <row r="657">
      <c r="A657" s="18"/>
      <c r="B657" s="14">
        <f>IFERROR(__xludf.DUMMYFUNCTION("""COMPUTED_VALUE"""),929599.0)</f>
        <v>929599</v>
      </c>
      <c r="C657" s="14" t="str">
        <f>IFERROR(__xludf.DUMMYFUNCTION("""COMPUTED_VALUE"""),"林承佑")</f>
        <v>林承佑</v>
      </c>
      <c r="D657" s="16" t="str">
        <f>IFERROR(__xludf.DUMMYFUNCTION("""COMPUTED_VALUE"""),"055*****ail.gjsh.ntpc.edu.tw")</f>
        <v>055*****ail.gjsh.ntpc.edu.tw</v>
      </c>
      <c r="E657" s="17" t="str">
        <f>IFERROR(__xludf.DUMMYFUNCTION("""COMPUTED_VALUE"""),"鄭義燕學校財團法人新北市私立格致高級中等學校附設國中部")</f>
        <v>鄭義燕學校財團法人新北市私立格致高級中等學校附設國中部</v>
      </c>
      <c r="F657" s="14" t="str">
        <f>IFERROR(__xludf.DUMMYFUNCTION("""COMPUTED_VALUE"""),"八年級")</f>
        <v>八年級</v>
      </c>
      <c r="G657" s="14" t="str">
        <f>IFERROR(__xludf.DUMMYFUNCTION("""COMPUTED_VALUE"""),"獎狀")</f>
        <v>獎狀</v>
      </c>
      <c r="H657" s="8"/>
    </row>
    <row r="658">
      <c r="A658" s="18"/>
      <c r="B658" s="14">
        <f>IFERROR(__xludf.DUMMYFUNCTION("""COMPUTED_VALUE"""),931765.0)</f>
        <v>931765</v>
      </c>
      <c r="C658" s="14" t="str">
        <f>IFERROR(__xludf.DUMMYFUNCTION("""COMPUTED_VALUE"""),"洪愷璜")</f>
        <v>洪愷璜</v>
      </c>
      <c r="D658" s="16" t="str">
        <f>IFERROR(__xludf.DUMMYFUNCTION("""COMPUTED_VALUE"""),"050*****ail.gjsh.ntpc.edu.tw")</f>
        <v>050*****ail.gjsh.ntpc.edu.tw</v>
      </c>
      <c r="E658" s="17" t="str">
        <f>IFERROR(__xludf.DUMMYFUNCTION("""COMPUTED_VALUE"""),"鄭義燕學校財團法人新北市私立格致高級中等學校附設國中部")</f>
        <v>鄭義燕學校財團法人新北市私立格致高級中等學校附設國中部</v>
      </c>
      <c r="F658" s="14" t="str">
        <f>IFERROR(__xludf.DUMMYFUNCTION("""COMPUTED_VALUE"""),"八年級")</f>
        <v>八年級</v>
      </c>
      <c r="G658" s="14" t="str">
        <f>IFERROR(__xludf.DUMMYFUNCTION("""COMPUTED_VALUE"""),"●小禮物")</f>
        <v>●小禮物</v>
      </c>
      <c r="H658" s="8"/>
    </row>
    <row r="659">
      <c r="A659" s="18"/>
      <c r="B659" s="14">
        <f>IFERROR(__xludf.DUMMYFUNCTION("""COMPUTED_VALUE"""),1218369.0)</f>
        <v>1218369</v>
      </c>
      <c r="C659" s="14" t="str">
        <f>IFERROR(__xludf.DUMMYFUNCTION("""COMPUTED_VALUE"""),"許韶恩")</f>
        <v>許韶恩</v>
      </c>
      <c r="D659" s="16" t="str">
        <f>IFERROR(__xludf.DUMMYFUNCTION("""COMPUTED_VALUE"""),"joa*****u812@gmail.com")</f>
        <v>joa*****u812@gmail.com</v>
      </c>
      <c r="E659" s="17" t="str">
        <f>IFERROR(__xludf.DUMMYFUNCTION("""COMPUTED_VALUE"""),"鄭義燕學校財團法人新北市私立格致高級中等學校附設國中部")</f>
        <v>鄭義燕學校財團法人新北市私立格致高級中等學校附設國中部</v>
      </c>
      <c r="F659" s="14" t="str">
        <f>IFERROR(__xludf.DUMMYFUNCTION("""COMPUTED_VALUE"""),"八年級")</f>
        <v>八年級</v>
      </c>
      <c r="G659" s="14" t="str">
        <f>IFERROR(__xludf.DUMMYFUNCTION("""COMPUTED_VALUE"""),"●小禮物")</f>
        <v>●小禮物</v>
      </c>
      <c r="H659" s="8"/>
    </row>
    <row r="660">
      <c r="A660" s="18"/>
      <c r="B660" s="14">
        <f>IFERROR(__xludf.DUMMYFUNCTION("""COMPUTED_VALUE"""),937851.0)</f>
        <v>937851</v>
      </c>
      <c r="C660" s="14" t="str">
        <f>IFERROR(__xludf.DUMMYFUNCTION("""COMPUTED_VALUE"""),"王宥翔")</f>
        <v>王宥翔</v>
      </c>
      <c r="D660" s="16" t="str">
        <f>IFERROR(__xludf.DUMMYFUNCTION("""COMPUTED_VALUE"""),"055*****ail.gjsh.ntpc.edu.tw")</f>
        <v>055*****ail.gjsh.ntpc.edu.tw</v>
      </c>
      <c r="E660" s="17" t="str">
        <f>IFERROR(__xludf.DUMMYFUNCTION("""COMPUTED_VALUE"""),"鄭義燕學校財團法人新北市私立格致高級中等學校附設國中部")</f>
        <v>鄭義燕學校財團法人新北市私立格致高級中等學校附設國中部</v>
      </c>
      <c r="F660" s="14" t="str">
        <f>IFERROR(__xludf.DUMMYFUNCTION("""COMPUTED_VALUE"""),"八年級")</f>
        <v>八年級</v>
      </c>
      <c r="G660" s="14" t="str">
        <f>IFERROR(__xludf.DUMMYFUNCTION("""COMPUTED_VALUE"""),"獎狀")</f>
        <v>獎狀</v>
      </c>
      <c r="H660" s="8"/>
    </row>
    <row r="661">
      <c r="A661" s="18"/>
      <c r="B661" s="14">
        <f>IFERROR(__xludf.DUMMYFUNCTION("""COMPUTED_VALUE"""),475359.0)</f>
        <v>475359</v>
      </c>
      <c r="C661" s="14" t="str">
        <f>IFERROR(__xludf.DUMMYFUNCTION("""COMPUTED_VALUE"""),"余姵瑾")</f>
        <v>余姵瑾</v>
      </c>
      <c r="D661" s="16" t="str">
        <f>IFERROR(__xludf.DUMMYFUNCTION("""COMPUTED_VALUE"""),"950*****ail.gjsh.ntpc.edu.tw")</f>
        <v>950*****ail.gjsh.ntpc.edu.tw</v>
      </c>
      <c r="E661" s="17" t="str">
        <f>IFERROR(__xludf.DUMMYFUNCTION("""COMPUTED_VALUE"""),"鄭義燕學校財團法人新北市私立格致高級中等學校附設國中部")</f>
        <v>鄭義燕學校財團法人新北市私立格致高級中等學校附設國中部</v>
      </c>
      <c r="F661" s="14" t="str">
        <f>IFERROR(__xludf.DUMMYFUNCTION("""COMPUTED_VALUE"""),"九年級")</f>
        <v>九年級</v>
      </c>
      <c r="G661" s="14" t="str">
        <f>IFERROR(__xludf.DUMMYFUNCTION("""COMPUTED_VALUE"""),"●小禮物")</f>
        <v>●小禮物</v>
      </c>
      <c r="H661" s="8"/>
    </row>
    <row r="662">
      <c r="A662" s="18"/>
      <c r="B662" s="14">
        <f>IFERROR(__xludf.DUMMYFUNCTION("""COMPUTED_VALUE"""),945014.0)</f>
        <v>945014</v>
      </c>
      <c r="C662" s="14" t="str">
        <f>IFERROR(__xludf.DUMMYFUNCTION("""COMPUTED_VALUE"""),"翁鈺涵")</f>
        <v>翁鈺涵</v>
      </c>
      <c r="D662" s="16" t="str">
        <f>IFERROR(__xludf.DUMMYFUNCTION("""COMPUTED_VALUE"""),"950*****ail.gjsh.ntpc.edu.tw")</f>
        <v>950*****ail.gjsh.ntpc.edu.tw</v>
      </c>
      <c r="E662" s="17" t="str">
        <f>IFERROR(__xludf.DUMMYFUNCTION("""COMPUTED_VALUE"""),"鄭義燕學校財團法人新北市私立格致高級中等學校附設國中部")</f>
        <v>鄭義燕學校財團法人新北市私立格致高級中等學校附設國中部</v>
      </c>
      <c r="F662" s="14" t="str">
        <f>IFERROR(__xludf.DUMMYFUNCTION("""COMPUTED_VALUE"""),"九年級")</f>
        <v>九年級</v>
      </c>
      <c r="G662" s="14" t="str">
        <f>IFERROR(__xludf.DUMMYFUNCTION("""COMPUTED_VALUE"""),"●小禮物")</f>
        <v>●小禮物</v>
      </c>
      <c r="H662" s="8"/>
    </row>
    <row r="663">
      <c r="A663" s="18"/>
      <c r="B663" s="14">
        <f>IFERROR(__xludf.DUMMYFUNCTION("""COMPUTED_VALUE"""),936072.0)</f>
        <v>936072</v>
      </c>
      <c r="C663" s="14" t="str">
        <f>IFERROR(__xludf.DUMMYFUNCTION("""COMPUTED_VALUE"""),"高智恩")</f>
        <v>高智恩</v>
      </c>
      <c r="D663" s="16" t="str">
        <f>IFERROR(__xludf.DUMMYFUNCTION("""COMPUTED_VALUE"""),"955*****ail.gjsh.ntpc.edu.tw")</f>
        <v>955*****ail.gjsh.ntpc.edu.tw</v>
      </c>
      <c r="E663" s="17" t="str">
        <f>IFERROR(__xludf.DUMMYFUNCTION("""COMPUTED_VALUE"""),"鄭義燕學校財團法人新北市私立格致高級中等學校附設國中部")</f>
        <v>鄭義燕學校財團法人新北市私立格致高級中等學校附設國中部</v>
      </c>
      <c r="F663" s="14" t="str">
        <f>IFERROR(__xludf.DUMMYFUNCTION("""COMPUTED_VALUE"""),"九年級")</f>
        <v>九年級</v>
      </c>
      <c r="G663" s="14" t="str">
        <f>IFERROR(__xludf.DUMMYFUNCTION("""COMPUTED_VALUE"""),"●小禮物")</f>
        <v>●小禮物</v>
      </c>
      <c r="H663" s="8"/>
    </row>
    <row r="664">
      <c r="A664" s="18"/>
      <c r="B664" s="14">
        <f>IFERROR(__xludf.DUMMYFUNCTION("""COMPUTED_VALUE"""),1207615.0)</f>
        <v>1207615</v>
      </c>
      <c r="C664" s="14" t="str">
        <f>IFERROR(__xludf.DUMMYFUNCTION("""COMPUTED_VALUE"""),"林皓哲")</f>
        <v>林皓哲</v>
      </c>
      <c r="D664" s="16" t="str">
        <f>IFERROR(__xludf.DUMMYFUNCTION("""COMPUTED_VALUE"""),"955*****ail.gjsh.ntpc.edu.tw")</f>
        <v>955*****ail.gjsh.ntpc.edu.tw</v>
      </c>
      <c r="E664" s="17" t="str">
        <f>IFERROR(__xludf.DUMMYFUNCTION("""COMPUTED_VALUE"""),"鄭義燕學校財團法人新北市私立格致高級中等學校附設國中部")</f>
        <v>鄭義燕學校財團法人新北市私立格致高級中等學校附設國中部</v>
      </c>
      <c r="F664" s="14" t="str">
        <f>IFERROR(__xludf.DUMMYFUNCTION("""COMPUTED_VALUE"""),"九年級")</f>
        <v>九年級</v>
      </c>
      <c r="G664" s="14" t="str">
        <f>IFERROR(__xludf.DUMMYFUNCTION("""COMPUTED_VALUE"""),"獎狀")</f>
        <v>獎狀</v>
      </c>
      <c r="H664" s="8"/>
    </row>
    <row r="665">
      <c r="A665" s="18"/>
      <c r="B665" s="14">
        <f>IFERROR(__xludf.DUMMYFUNCTION("""COMPUTED_VALUE"""),454967.0)</f>
        <v>454967</v>
      </c>
      <c r="C665" s="14" t="str">
        <f>IFERROR(__xludf.DUMMYFUNCTION("""COMPUTED_VALUE"""),"許祐瑄")</f>
        <v>許祐瑄</v>
      </c>
      <c r="D665" s="16" t="str">
        <f>IFERROR(__xludf.DUMMYFUNCTION("""COMPUTED_VALUE"""),"lal*****.ntpc@mail.edu.tw")</f>
        <v>lal*****.ntpc@mail.edu.tw</v>
      </c>
      <c r="E665" s="17" t="str">
        <f>IFERROR(__xludf.DUMMYFUNCTION("""COMPUTED_VALUE"""),"新北市立明志國民中學")</f>
        <v>新北市立明志國民中學</v>
      </c>
      <c r="F665" s="14" t="str">
        <f>IFERROR(__xludf.DUMMYFUNCTION("""COMPUTED_VALUE"""),"七年級")</f>
        <v>七年級</v>
      </c>
      <c r="G665" s="14" t="str">
        <f>IFERROR(__xludf.DUMMYFUNCTION("""COMPUTED_VALUE"""),"●小禮物")</f>
        <v>●小禮物</v>
      </c>
      <c r="H665" s="8"/>
    </row>
    <row r="666">
      <c r="A666" s="18"/>
      <c r="B666" s="14">
        <f>IFERROR(__xludf.DUMMYFUNCTION("""COMPUTED_VALUE"""),354026.0)</f>
        <v>354026</v>
      </c>
      <c r="C666" s="14" t="str">
        <f>IFERROR(__xludf.DUMMYFUNCTION("""COMPUTED_VALUE"""),"劉昀蓁")</f>
        <v>劉昀蓁</v>
      </c>
      <c r="D666" s="16" t="str">
        <f>IFERROR(__xludf.DUMMYFUNCTION("""COMPUTED_VALUE"""),"mia*****tpc@mail.edu.tw")</f>
        <v>mia*****tpc@mail.edu.tw</v>
      </c>
      <c r="E666" s="17" t="str">
        <f>IFERROR(__xludf.DUMMYFUNCTION("""COMPUTED_VALUE"""),"新北市立明志國民中學")</f>
        <v>新北市立明志國民中學</v>
      </c>
      <c r="F666" s="14" t="str">
        <f>IFERROR(__xludf.DUMMYFUNCTION("""COMPUTED_VALUE"""),"八年級")</f>
        <v>八年級</v>
      </c>
      <c r="G666" s="14" t="str">
        <f>IFERROR(__xludf.DUMMYFUNCTION("""COMPUTED_VALUE"""),"●小禮物")</f>
        <v>●小禮物</v>
      </c>
      <c r="H666" s="8"/>
    </row>
    <row r="667">
      <c r="A667" s="18"/>
      <c r="B667" s="14">
        <f>IFERROR(__xludf.DUMMYFUNCTION("""COMPUTED_VALUE"""),1116722.0)</f>
        <v>1116722</v>
      </c>
      <c r="C667" s="14" t="str">
        <f>IFERROR(__xludf.DUMMYFUNCTION("""COMPUTED_VALUE"""),"呂美萱")</f>
        <v>呂美萱</v>
      </c>
      <c r="D667" s="16" t="str">
        <f>IFERROR(__xludf.DUMMYFUNCTION("""COMPUTED_VALUE"""),"c12*****9@apps.ntpc.edu.tw")</f>
        <v>c12*****9@apps.ntpc.edu.tw</v>
      </c>
      <c r="E667" s="17" t="str">
        <f>IFERROR(__xludf.DUMMYFUNCTION("""COMPUTED_VALUE"""),"金陵學校財團法人新北市金陵女子高級中學附設國中部")</f>
        <v>金陵學校財團法人新北市金陵女子高級中學附設國中部</v>
      </c>
      <c r="F667" s="14" t="str">
        <f>IFERROR(__xludf.DUMMYFUNCTION("""COMPUTED_VALUE"""),"八年級")</f>
        <v>八年級</v>
      </c>
      <c r="G667" s="14" t="str">
        <f>IFERROR(__xludf.DUMMYFUNCTION("""COMPUTED_VALUE"""),"獎狀")</f>
        <v>獎狀</v>
      </c>
      <c r="H667" s="8"/>
    </row>
    <row r="668">
      <c r="A668" s="18"/>
      <c r="B668" s="14">
        <f>IFERROR(__xludf.DUMMYFUNCTION("""COMPUTED_VALUE"""),1189906.0)</f>
        <v>1189906</v>
      </c>
      <c r="C668" s="14" t="str">
        <f>IFERROR(__xludf.DUMMYFUNCTION("""COMPUTED_VALUE"""),"詹書榕")</f>
        <v>詹書榕</v>
      </c>
      <c r="D668" s="16" t="str">
        <f>IFERROR(__xludf.DUMMYFUNCTION("""COMPUTED_VALUE"""),"sop*****13@apps.ntpc.edu.tw")</f>
        <v>sop*****13@apps.ntpc.edu.tw</v>
      </c>
      <c r="E668" s="17" t="str">
        <f>IFERROR(__xludf.DUMMYFUNCTION("""COMPUTED_VALUE"""),"金陵學校財團法人新北市金陵女子高級中學附設國中部")</f>
        <v>金陵學校財團法人新北市金陵女子高級中學附設國中部</v>
      </c>
      <c r="F668" s="14" t="str">
        <f>IFERROR(__xludf.DUMMYFUNCTION("""COMPUTED_VALUE"""),"八年級")</f>
        <v>八年級</v>
      </c>
      <c r="G668" s="14" t="str">
        <f>IFERROR(__xludf.DUMMYFUNCTION("""COMPUTED_VALUE"""),"●小禮物")</f>
        <v>●小禮物</v>
      </c>
      <c r="H668" s="8"/>
    </row>
    <row r="669">
      <c r="A669" s="18"/>
      <c r="B669" s="14">
        <f>IFERROR(__xludf.DUMMYFUNCTION("""COMPUTED_VALUE"""),539349.0)</f>
        <v>539349</v>
      </c>
      <c r="C669" s="14" t="str">
        <f>IFERROR(__xludf.DUMMYFUNCTION("""COMPUTED_VALUE"""),"楊淨甯")</f>
        <v>楊淨甯</v>
      </c>
      <c r="D669" s="16" t="str">
        <f>IFERROR(__xludf.DUMMYFUNCTION("""COMPUTED_VALUE"""),"hsp*****5@apps.ntpc.edu.tw")</f>
        <v>hsp*****5@apps.ntpc.edu.tw</v>
      </c>
      <c r="E669" s="17" t="str">
        <f>IFERROR(__xludf.DUMMYFUNCTION("""COMPUTED_VALUE"""),"金陵學校財團法人新北市金陵女子高級中學附設國中部")</f>
        <v>金陵學校財團法人新北市金陵女子高級中學附設國中部</v>
      </c>
      <c r="F669" s="14" t="str">
        <f>IFERROR(__xludf.DUMMYFUNCTION("""COMPUTED_VALUE"""),"八年級")</f>
        <v>八年級</v>
      </c>
      <c r="G669" s="14" t="str">
        <f>IFERROR(__xludf.DUMMYFUNCTION("""COMPUTED_VALUE"""),"●小禮物")</f>
        <v>●小禮物</v>
      </c>
      <c r="H669" s="8"/>
    </row>
    <row r="670">
      <c r="A670" s="18"/>
      <c r="B670" s="14">
        <f>IFERROR(__xludf.DUMMYFUNCTION("""COMPUTED_VALUE"""),1148449.0)</f>
        <v>1148449</v>
      </c>
      <c r="C670" s="14" t="str">
        <f>IFERROR(__xludf.DUMMYFUNCTION("""COMPUTED_VALUE"""),"蔡雨潼")</f>
        <v>蔡雨潼</v>
      </c>
      <c r="D670" s="16" t="str">
        <f>IFERROR(__xludf.DUMMYFUNCTION("""COMPUTED_VALUE"""),"lfe*****44@apps.ntpc.edu.tw")</f>
        <v>lfe*****44@apps.ntpc.edu.tw</v>
      </c>
      <c r="E670" s="17" t="str">
        <f>IFERROR(__xludf.DUMMYFUNCTION("""COMPUTED_VALUE"""),"金陵學校財團法人新北市金陵女子高級中學附設國中部")</f>
        <v>金陵學校財團法人新北市金陵女子高級中學附設國中部</v>
      </c>
      <c r="F670" s="14" t="str">
        <f>IFERROR(__xludf.DUMMYFUNCTION("""COMPUTED_VALUE"""),"八年級")</f>
        <v>八年級</v>
      </c>
      <c r="G670" s="14" t="str">
        <f>IFERROR(__xludf.DUMMYFUNCTION("""COMPUTED_VALUE"""),"獎狀")</f>
        <v>獎狀</v>
      </c>
      <c r="H670" s="8"/>
    </row>
    <row r="671">
      <c r="A671" s="18"/>
      <c r="B671" s="14">
        <f>IFERROR(__xludf.DUMMYFUNCTION("""COMPUTED_VALUE"""),1148497.0)</f>
        <v>1148497</v>
      </c>
      <c r="C671" s="14" t="str">
        <f>IFERROR(__xludf.DUMMYFUNCTION("""COMPUTED_VALUE"""),"李凱琳")</f>
        <v>李凱琳</v>
      </c>
      <c r="D671" s="16" t="str">
        <f>IFERROR(__xludf.DUMMYFUNCTION("""COMPUTED_VALUE"""),"a09*****778@gmail.com")</f>
        <v>a09*****778@gmail.com</v>
      </c>
      <c r="E671" s="17" t="str">
        <f>IFERROR(__xludf.DUMMYFUNCTION("""COMPUTED_VALUE"""),"金陵學校財團法人新北市金陵女子高級中學附設國中部")</f>
        <v>金陵學校財團法人新北市金陵女子高級中學附設國中部</v>
      </c>
      <c r="F671" s="14" t="str">
        <f>IFERROR(__xludf.DUMMYFUNCTION("""COMPUTED_VALUE"""),"八年級")</f>
        <v>八年級</v>
      </c>
      <c r="G671" s="14" t="str">
        <f>IFERROR(__xludf.DUMMYFUNCTION("""COMPUTED_VALUE"""),"獎狀")</f>
        <v>獎狀</v>
      </c>
      <c r="H671" s="8"/>
    </row>
    <row r="672">
      <c r="A672" s="18"/>
      <c r="B672" s="14">
        <f>IFERROR(__xludf.DUMMYFUNCTION("""COMPUTED_VALUE"""),1148519.0)</f>
        <v>1148519</v>
      </c>
      <c r="C672" s="14" t="str">
        <f>IFERROR(__xludf.DUMMYFUNCTION("""COMPUTED_VALUE"""),"陳正苗")</f>
        <v>陳正苗</v>
      </c>
      <c r="D672" s="16" t="str">
        <f>IFERROR(__xludf.DUMMYFUNCTION("""COMPUTED_VALUE"""),"czh*****ao@gmail.com")</f>
        <v>czh*****ao@gmail.com</v>
      </c>
      <c r="E672" s="17" t="str">
        <f>IFERROR(__xludf.DUMMYFUNCTION("""COMPUTED_VALUE"""),"金陵學校財團法人新北市金陵女子高級中學附設國中部")</f>
        <v>金陵學校財團法人新北市金陵女子高級中學附設國中部</v>
      </c>
      <c r="F672" s="14" t="str">
        <f>IFERROR(__xludf.DUMMYFUNCTION("""COMPUTED_VALUE"""),"八年級")</f>
        <v>八年級</v>
      </c>
      <c r="G672" s="14" t="str">
        <f>IFERROR(__xludf.DUMMYFUNCTION("""COMPUTED_VALUE"""),"獎狀")</f>
        <v>獎狀</v>
      </c>
      <c r="H672" s="8"/>
    </row>
    <row r="673">
      <c r="A673" s="18"/>
      <c r="B673" s="14">
        <f>IFERROR(__xludf.DUMMYFUNCTION("""COMPUTED_VALUE"""),899822.0)</f>
        <v>899822</v>
      </c>
      <c r="C673" s="14" t="str">
        <f>IFERROR(__xludf.DUMMYFUNCTION("""COMPUTED_VALUE"""),"黃婕綺")</f>
        <v>黃婕綺</v>
      </c>
      <c r="D673" s="16" t="str">
        <f>IFERROR(__xludf.DUMMYFUNCTION("""COMPUTED_VALUE"""),"jac*****04.ntpc@mail.edu.tw")</f>
        <v>jac*****04.ntpc@mail.edu.tw</v>
      </c>
      <c r="E673" s="17" t="str">
        <f>IFERROR(__xludf.DUMMYFUNCTION("""COMPUTED_VALUE"""),"金陵學校財團法人新北市金陵女子高級中學附設國中部")</f>
        <v>金陵學校財團法人新北市金陵女子高級中學附設國中部</v>
      </c>
      <c r="F673" s="14" t="str">
        <f>IFERROR(__xludf.DUMMYFUNCTION("""COMPUTED_VALUE"""),"八年級")</f>
        <v>八年級</v>
      </c>
      <c r="G673" s="14" t="str">
        <f>IFERROR(__xludf.DUMMYFUNCTION("""COMPUTED_VALUE"""),"獎狀")</f>
        <v>獎狀</v>
      </c>
      <c r="H673" s="8"/>
    </row>
    <row r="674">
      <c r="A674" s="18"/>
      <c r="B674" s="14">
        <f>IFERROR(__xludf.DUMMYFUNCTION("""COMPUTED_VALUE"""),300819.0)</f>
        <v>300819</v>
      </c>
      <c r="C674" s="14" t="str">
        <f>IFERROR(__xludf.DUMMYFUNCTION("""COMPUTED_VALUE"""),"吳品宸")</f>
        <v>吳品宸</v>
      </c>
      <c r="D674" s="16" t="str">
        <f>IFERROR(__xludf.DUMMYFUNCTION("""COMPUTED_VALUE"""),"mj1*****@mail.edu.tw")</f>
        <v>mj1*****@mail.edu.tw</v>
      </c>
      <c r="E674" s="17" t="str">
        <f>IFERROR(__xludf.DUMMYFUNCTION("""COMPUTED_VALUE"""),"金陵學校財團法人新北市金陵女子高級中學附設國中部")</f>
        <v>金陵學校財團法人新北市金陵女子高級中學附設國中部</v>
      </c>
      <c r="F674" s="14" t="str">
        <f>IFERROR(__xludf.DUMMYFUNCTION("""COMPUTED_VALUE"""),"八年級")</f>
        <v>八年級</v>
      </c>
      <c r="G674" s="14" t="str">
        <f>IFERROR(__xludf.DUMMYFUNCTION("""COMPUTED_VALUE"""),"●小禮物")</f>
        <v>●小禮物</v>
      </c>
      <c r="H674" s="8"/>
    </row>
    <row r="675">
      <c r="A675" s="18"/>
      <c r="B675" s="14">
        <f>IFERROR(__xludf.DUMMYFUNCTION("""COMPUTED_VALUE"""),1116694.0)</f>
        <v>1116694</v>
      </c>
      <c r="C675" s="14" t="str">
        <f>IFERROR(__xludf.DUMMYFUNCTION("""COMPUTED_VALUE"""),"李綺溱")</f>
        <v>李綺溱</v>
      </c>
      <c r="D675" s="16" t="str">
        <f>IFERROR(__xludf.DUMMYFUNCTION("""COMPUTED_VALUE"""),"ttp*****11@apps.ntpc.edu.tw")</f>
        <v>ttp*****11@apps.ntpc.edu.tw</v>
      </c>
      <c r="E675" s="17" t="str">
        <f>IFERROR(__xludf.DUMMYFUNCTION("""COMPUTED_VALUE"""),"金陵學校財團法人新北市金陵女子高級中學附設國中部")</f>
        <v>金陵學校財團法人新北市金陵女子高級中學附設國中部</v>
      </c>
      <c r="F675" s="14" t="str">
        <f>IFERROR(__xludf.DUMMYFUNCTION("""COMPUTED_VALUE"""),"八年級")</f>
        <v>八年級</v>
      </c>
      <c r="G675" s="14" t="str">
        <f>IFERROR(__xludf.DUMMYFUNCTION("""COMPUTED_VALUE"""),"獎狀")</f>
        <v>獎狀</v>
      </c>
      <c r="H675" s="8"/>
    </row>
    <row r="676">
      <c r="A676" s="18"/>
      <c r="B676" s="14">
        <f>IFERROR(__xludf.DUMMYFUNCTION("""COMPUTED_VALUE"""),1122771.0)</f>
        <v>1122771</v>
      </c>
      <c r="C676" s="14" t="str">
        <f>IFERROR(__xludf.DUMMYFUNCTION("""COMPUTED_VALUE"""),"陳勻琦")</f>
        <v>陳勻琦</v>
      </c>
      <c r="D676" s="16" t="str">
        <f>IFERROR(__xludf.DUMMYFUNCTION("""COMPUTED_VALUE"""),"yse*****74@apps.ntpc.edu.tw")</f>
        <v>yse*****74@apps.ntpc.edu.tw</v>
      </c>
      <c r="E676" s="17" t="str">
        <f>IFERROR(__xludf.DUMMYFUNCTION("""COMPUTED_VALUE"""),"金陵學校財團法人新北市金陵女子高級中學附設國中部")</f>
        <v>金陵學校財團法人新北市金陵女子高級中學附設國中部</v>
      </c>
      <c r="F676" s="14" t="str">
        <f>IFERROR(__xludf.DUMMYFUNCTION("""COMPUTED_VALUE"""),"八年級")</f>
        <v>八年級</v>
      </c>
      <c r="G676" s="14" t="str">
        <f>IFERROR(__xludf.DUMMYFUNCTION("""COMPUTED_VALUE"""),"獎狀")</f>
        <v>獎狀</v>
      </c>
      <c r="H676" s="8"/>
    </row>
    <row r="677">
      <c r="A677" s="18"/>
      <c r="B677" s="14">
        <f>IFERROR(__xludf.DUMMYFUNCTION("""COMPUTED_VALUE"""),1116501.0)</f>
        <v>1116501</v>
      </c>
      <c r="C677" s="14" t="str">
        <f>IFERROR(__xludf.DUMMYFUNCTION("""COMPUTED_VALUE"""),"黃子庭")</f>
        <v>黃子庭</v>
      </c>
      <c r="D677" s="16" t="str">
        <f>IFERROR(__xludf.DUMMYFUNCTION("""COMPUTED_VALUE"""),"lin*****04@apps.ntpc.edu.tw")</f>
        <v>lin*****04@apps.ntpc.edu.tw</v>
      </c>
      <c r="E677" s="17" t="str">
        <f>IFERROR(__xludf.DUMMYFUNCTION("""COMPUTED_VALUE"""),"金陵學校財團法人新北市金陵女子高級中學附設國中部")</f>
        <v>金陵學校財團法人新北市金陵女子高級中學附設國中部</v>
      </c>
      <c r="F677" s="14" t="str">
        <f>IFERROR(__xludf.DUMMYFUNCTION("""COMPUTED_VALUE"""),"八年級")</f>
        <v>八年級</v>
      </c>
      <c r="G677" s="14" t="str">
        <f>IFERROR(__xludf.DUMMYFUNCTION("""COMPUTED_VALUE"""),"獎狀")</f>
        <v>獎狀</v>
      </c>
      <c r="H677" s="8"/>
    </row>
    <row r="678">
      <c r="A678" s="18"/>
      <c r="B678" s="14">
        <f>IFERROR(__xludf.DUMMYFUNCTION("""COMPUTED_VALUE"""),1116734.0)</f>
        <v>1116734</v>
      </c>
      <c r="C678" s="14" t="str">
        <f>IFERROR(__xludf.DUMMYFUNCTION("""COMPUTED_VALUE"""),"廖芷萱")</f>
        <v>廖芷萱</v>
      </c>
      <c r="D678" s="16" t="str">
        <f>IFERROR(__xludf.DUMMYFUNCTION("""COMPUTED_VALUE"""),"kit*****6@apps.ntpc.edu.tw")</f>
        <v>kit*****6@apps.ntpc.edu.tw</v>
      </c>
      <c r="E678" s="17" t="str">
        <f>IFERROR(__xludf.DUMMYFUNCTION("""COMPUTED_VALUE"""),"金陵學校財團法人新北市金陵女子高級中學附設國中部")</f>
        <v>金陵學校財團法人新北市金陵女子高級中學附設國中部</v>
      </c>
      <c r="F678" s="14" t="str">
        <f>IFERROR(__xludf.DUMMYFUNCTION("""COMPUTED_VALUE"""),"八年級")</f>
        <v>八年級</v>
      </c>
      <c r="G678" s="14" t="str">
        <f>IFERROR(__xludf.DUMMYFUNCTION("""COMPUTED_VALUE"""),"獎狀")</f>
        <v>獎狀</v>
      </c>
      <c r="H678" s="8"/>
    </row>
    <row r="679">
      <c r="A679" s="18"/>
      <c r="B679" s="14">
        <f>IFERROR(__xludf.DUMMYFUNCTION("""COMPUTED_VALUE"""),1148509.0)</f>
        <v>1148509</v>
      </c>
      <c r="C679" s="14" t="str">
        <f>IFERROR(__xludf.DUMMYFUNCTION("""COMPUTED_VALUE"""),"何品儀")</f>
        <v>何品儀</v>
      </c>
      <c r="D679" s="16" t="str">
        <f>IFERROR(__xludf.DUMMYFUNCTION("""COMPUTED_VALUE"""),"sta*****8@apps.ntpc.edu.tw")</f>
        <v>sta*****8@apps.ntpc.edu.tw</v>
      </c>
      <c r="E679" s="17" t="str">
        <f>IFERROR(__xludf.DUMMYFUNCTION("""COMPUTED_VALUE"""),"金陵學校財團法人新北市金陵女子高級中學附設國中部")</f>
        <v>金陵學校財團法人新北市金陵女子高級中學附設國中部</v>
      </c>
      <c r="F679" s="14" t="str">
        <f>IFERROR(__xludf.DUMMYFUNCTION("""COMPUTED_VALUE"""),"八年級")</f>
        <v>八年級</v>
      </c>
      <c r="G679" s="14" t="str">
        <f>IFERROR(__xludf.DUMMYFUNCTION("""COMPUTED_VALUE"""),"●小禮物")</f>
        <v>●小禮物</v>
      </c>
      <c r="H679" s="8"/>
    </row>
    <row r="680">
      <c r="A680" s="18"/>
      <c r="B680" s="14">
        <f>IFERROR(__xludf.DUMMYFUNCTION("""COMPUTED_VALUE"""),1117213.0)</f>
        <v>1117213</v>
      </c>
      <c r="C680" s="14" t="str">
        <f>IFERROR(__xludf.DUMMYFUNCTION("""COMPUTED_VALUE"""),"王寀菱")</f>
        <v>王寀菱</v>
      </c>
      <c r="D680" s="16" t="str">
        <f>IFERROR(__xludf.DUMMYFUNCTION("""COMPUTED_VALUE"""),"pho*****0101@apps.ntpc.edu.tw")</f>
        <v>pho*****0101@apps.ntpc.edu.tw</v>
      </c>
      <c r="E680" s="17" t="str">
        <f>IFERROR(__xludf.DUMMYFUNCTION("""COMPUTED_VALUE"""),"金陵學校財團法人新北市金陵女子高級中學附設國中部")</f>
        <v>金陵學校財團法人新北市金陵女子高級中學附設國中部</v>
      </c>
      <c r="F680" s="14" t="str">
        <f>IFERROR(__xludf.DUMMYFUNCTION("""COMPUTED_VALUE"""),"八年級")</f>
        <v>八年級</v>
      </c>
      <c r="G680" s="14" t="str">
        <f>IFERROR(__xludf.DUMMYFUNCTION("""COMPUTED_VALUE"""),"●小禮物")</f>
        <v>●小禮物</v>
      </c>
      <c r="H680" s="8"/>
    </row>
    <row r="681">
      <c r="A681" s="18"/>
      <c r="B681" s="14">
        <f>IFERROR(__xludf.DUMMYFUNCTION("""COMPUTED_VALUE"""),1149054.0)</f>
        <v>1149054</v>
      </c>
      <c r="C681" s="14" t="str">
        <f>IFERROR(__xludf.DUMMYFUNCTION("""COMPUTED_VALUE"""),"王韻芃")</f>
        <v>王韻芃</v>
      </c>
      <c r="D681" s="16" t="str">
        <f>IFERROR(__xludf.DUMMYFUNCTION("""COMPUTED_VALUE"""),"amb*****007@gmail.com")</f>
        <v>amb*****007@gmail.com</v>
      </c>
      <c r="E681" s="17" t="str">
        <f>IFERROR(__xludf.DUMMYFUNCTION("""COMPUTED_VALUE"""),"金陵學校財團法人新北市金陵女子高級中學附設國中部")</f>
        <v>金陵學校財團法人新北市金陵女子高級中學附設國中部</v>
      </c>
      <c r="F681" s="14" t="str">
        <f>IFERROR(__xludf.DUMMYFUNCTION("""COMPUTED_VALUE"""),"九年級")</f>
        <v>九年級</v>
      </c>
      <c r="G681" s="14" t="str">
        <f>IFERROR(__xludf.DUMMYFUNCTION("""COMPUTED_VALUE"""),"●小禮物")</f>
        <v>●小禮物</v>
      </c>
      <c r="H681" s="8"/>
    </row>
    <row r="682">
      <c r="A682" s="18"/>
      <c r="B682" s="14">
        <f>IFERROR(__xludf.DUMMYFUNCTION("""COMPUTED_VALUE"""),931416.0)</f>
        <v>931416</v>
      </c>
      <c r="C682" s="14" t="str">
        <f>IFERROR(__xludf.DUMMYFUNCTION("""COMPUTED_VALUE"""),"林妍均")</f>
        <v>林妍均</v>
      </c>
      <c r="D682" s="16" t="str">
        <f>IFERROR(__xludf.DUMMYFUNCTION("""COMPUTED_VALUE"""),"eli*****30.ntpc@mail.edu.tw")</f>
        <v>eli*****30.ntpc@mail.edu.tw</v>
      </c>
      <c r="E682" s="17" t="str">
        <f>IFERROR(__xludf.DUMMYFUNCTION("""COMPUTED_VALUE"""),"金陵學校財團法人新北市金陵女子高級中學附設國中部")</f>
        <v>金陵學校財團法人新北市金陵女子高級中學附設國中部</v>
      </c>
      <c r="F682" s="14" t="str">
        <f>IFERROR(__xludf.DUMMYFUNCTION("""COMPUTED_VALUE"""),"九年級")</f>
        <v>九年級</v>
      </c>
      <c r="G682" s="14" t="str">
        <f>IFERROR(__xludf.DUMMYFUNCTION("""COMPUTED_VALUE"""),"●小禮物")</f>
        <v>●小禮物</v>
      </c>
      <c r="H682" s="8"/>
    </row>
    <row r="683">
      <c r="A683" s="18"/>
      <c r="B683" s="14">
        <f>IFERROR(__xludf.DUMMYFUNCTION("""COMPUTED_VALUE"""),1186588.0)</f>
        <v>1186588</v>
      </c>
      <c r="C683" s="14" t="str">
        <f>IFERROR(__xludf.DUMMYFUNCTION("""COMPUTED_VALUE"""),"吳宥萱")</f>
        <v>吳宥萱</v>
      </c>
      <c r="D683" s="16" t="str">
        <f>IFERROR(__xludf.DUMMYFUNCTION("""COMPUTED_VALUE"""),"yse*****15@apps.ntpc.edu.tw")</f>
        <v>yse*****15@apps.ntpc.edu.tw</v>
      </c>
      <c r="E683" s="17" t="str">
        <f>IFERROR(__xludf.DUMMYFUNCTION("""COMPUTED_VALUE"""),"金陵學校財團法人新北市金陵女子高級中學附設國中部")</f>
        <v>金陵學校財團法人新北市金陵女子高級中學附設國中部</v>
      </c>
      <c r="F683" s="14" t="str">
        <f>IFERROR(__xludf.DUMMYFUNCTION("""COMPUTED_VALUE"""),"九年級")</f>
        <v>九年級</v>
      </c>
      <c r="G683" s="14" t="str">
        <f>IFERROR(__xludf.DUMMYFUNCTION("""COMPUTED_VALUE"""),"●小禮物")</f>
        <v>●小禮物</v>
      </c>
      <c r="H683" s="8"/>
    </row>
    <row r="684">
      <c r="A684" s="18"/>
      <c r="B684" s="14">
        <f>IFERROR(__xludf.DUMMYFUNCTION("""COMPUTED_VALUE"""),1186825.0)</f>
        <v>1186825</v>
      </c>
      <c r="C684" s="14" t="str">
        <f>IFERROR(__xludf.DUMMYFUNCTION("""COMPUTED_VALUE"""),"劉育頊")</f>
        <v>劉育頊</v>
      </c>
      <c r="D684" s="16" t="str">
        <f>IFERROR(__xludf.DUMMYFUNCTION("""COMPUTED_VALUE"""),"sha*****61001@apps.ntpc.edu.tw")</f>
        <v>sha*****61001@apps.ntpc.edu.tw</v>
      </c>
      <c r="E684" s="17" t="str">
        <f>IFERROR(__xludf.DUMMYFUNCTION("""COMPUTED_VALUE"""),"金陵學校財團法人新北市金陵女子高級中學附設國中部")</f>
        <v>金陵學校財團法人新北市金陵女子高級中學附設國中部</v>
      </c>
      <c r="F684" s="14" t="str">
        <f>IFERROR(__xludf.DUMMYFUNCTION("""COMPUTED_VALUE"""),"九年級")</f>
        <v>九年級</v>
      </c>
      <c r="G684" s="14" t="str">
        <f>IFERROR(__xludf.DUMMYFUNCTION("""COMPUTED_VALUE"""),"●小禮物")</f>
        <v>●小禮物</v>
      </c>
      <c r="H684" s="8"/>
    </row>
    <row r="685">
      <c r="A685" s="18"/>
      <c r="B685" s="14">
        <f>IFERROR(__xludf.DUMMYFUNCTION("""COMPUTED_VALUE"""),1218762.0)</f>
        <v>1218762</v>
      </c>
      <c r="C685" s="14" t="str">
        <f>IFERROR(__xludf.DUMMYFUNCTION("""COMPUTED_VALUE"""),"張昕妘")</f>
        <v>張昕妘</v>
      </c>
      <c r="D685" s="16" t="str">
        <f>IFERROR(__xludf.DUMMYFUNCTION("""COMPUTED_VALUE"""),"cin*****321@apps.ntpc.edu.tw")</f>
        <v>cin*****321@apps.ntpc.edu.tw</v>
      </c>
      <c r="E685" s="17" t="str">
        <f>IFERROR(__xludf.DUMMYFUNCTION("""COMPUTED_VALUE"""),"金陵學校財團法人新北市金陵女子高級中學附設國中部")</f>
        <v>金陵學校財團法人新北市金陵女子高級中學附設國中部</v>
      </c>
      <c r="F685" s="14" t="str">
        <f>IFERROR(__xludf.DUMMYFUNCTION("""COMPUTED_VALUE"""),"九年級")</f>
        <v>九年級</v>
      </c>
      <c r="G685" s="14" t="str">
        <f>IFERROR(__xludf.DUMMYFUNCTION("""COMPUTED_VALUE"""),"獎狀")</f>
        <v>獎狀</v>
      </c>
      <c r="H685" s="8"/>
    </row>
    <row r="686">
      <c r="A686" s="18"/>
      <c r="B686" s="14">
        <f>IFERROR(__xludf.DUMMYFUNCTION("""COMPUTED_VALUE"""),1218785.0)</f>
        <v>1218785</v>
      </c>
      <c r="C686" s="14" t="str">
        <f>IFERROR(__xludf.DUMMYFUNCTION("""COMPUTED_VALUE"""),"陳宣妤")</f>
        <v>陳宣妤</v>
      </c>
      <c r="D686" s="16" t="str">
        <f>IFERROR(__xludf.DUMMYFUNCTION("""COMPUTED_VALUE"""),"tin*****15@apps.ntpc.edu.tw")</f>
        <v>tin*****15@apps.ntpc.edu.tw</v>
      </c>
      <c r="E686" s="17" t="str">
        <f>IFERROR(__xludf.DUMMYFUNCTION("""COMPUTED_VALUE"""),"金陵學校財團法人新北市金陵女子高級中學附設國中部")</f>
        <v>金陵學校財團法人新北市金陵女子高級中學附設國中部</v>
      </c>
      <c r="F686" s="14" t="str">
        <f>IFERROR(__xludf.DUMMYFUNCTION("""COMPUTED_VALUE"""),"九年級")</f>
        <v>九年級</v>
      </c>
      <c r="G686" s="14" t="str">
        <f>IFERROR(__xludf.DUMMYFUNCTION("""COMPUTED_VALUE"""),"獎狀")</f>
        <v>獎狀</v>
      </c>
      <c r="H686" s="8"/>
    </row>
    <row r="687">
      <c r="A687" s="18"/>
      <c r="B687" s="14">
        <f>IFERROR(__xludf.DUMMYFUNCTION("""COMPUTED_VALUE"""),1186537.0)</f>
        <v>1186537</v>
      </c>
      <c r="C687" s="14" t="str">
        <f>IFERROR(__xludf.DUMMYFUNCTION("""COMPUTED_VALUE"""),"曾婕莃")</f>
        <v>曾婕莃</v>
      </c>
      <c r="D687" s="16" t="str">
        <f>IFERROR(__xludf.DUMMYFUNCTION("""COMPUTED_VALUE"""),"jes*****14@apps.ntpc.edu.tw")</f>
        <v>jes*****14@apps.ntpc.edu.tw</v>
      </c>
      <c r="E687" s="17" t="str">
        <f>IFERROR(__xludf.DUMMYFUNCTION("""COMPUTED_VALUE"""),"新北市立中平國民中學")</f>
        <v>新北市立中平國民中學</v>
      </c>
      <c r="F687" s="14" t="str">
        <f>IFERROR(__xludf.DUMMYFUNCTION("""COMPUTED_VALUE"""),"七年級")</f>
        <v>七年級</v>
      </c>
      <c r="G687" s="14" t="str">
        <f>IFERROR(__xludf.DUMMYFUNCTION("""COMPUTED_VALUE"""),"●小禮物")</f>
        <v>●小禮物</v>
      </c>
      <c r="H687" s="8"/>
    </row>
    <row r="688">
      <c r="A688" s="18"/>
      <c r="B688" s="14">
        <f>IFERROR(__xludf.DUMMYFUNCTION("""COMPUTED_VALUE"""),555127.0)</f>
        <v>555127</v>
      </c>
      <c r="C688" s="14" t="str">
        <f>IFERROR(__xludf.DUMMYFUNCTION("""COMPUTED_VALUE"""),"張哲瑞")</f>
        <v>張哲瑞</v>
      </c>
      <c r="D688" s="16" t="str">
        <f>IFERROR(__xludf.DUMMYFUNCTION("""COMPUTED_VALUE"""),"lfe*****33.ntpc@mail.edu.tw")</f>
        <v>lfe*****33.ntpc@mail.edu.tw</v>
      </c>
      <c r="E688" s="17" t="str">
        <f>IFERROR(__xludf.DUMMYFUNCTION("""COMPUTED_VALUE"""),"新北市立中平國民中學")</f>
        <v>新北市立中平國民中學</v>
      </c>
      <c r="F688" s="14" t="str">
        <f>IFERROR(__xludf.DUMMYFUNCTION("""COMPUTED_VALUE"""),"七年級")</f>
        <v>七年級</v>
      </c>
      <c r="G688" s="14" t="str">
        <f>IFERROR(__xludf.DUMMYFUNCTION("""COMPUTED_VALUE"""),"獎狀")</f>
        <v>獎狀</v>
      </c>
      <c r="H688" s="8"/>
    </row>
    <row r="689">
      <c r="A689" s="18"/>
      <c r="B689" s="14">
        <f>IFERROR(__xludf.DUMMYFUNCTION("""COMPUTED_VALUE"""),1201521.0)</f>
        <v>1201521</v>
      </c>
      <c r="C689" s="14" t="str">
        <f>IFERROR(__xludf.DUMMYFUNCTION("""COMPUTED_VALUE"""),"徐婕芸")</f>
        <v>徐婕芸</v>
      </c>
      <c r="D689" s="16" t="str">
        <f>IFERROR(__xludf.DUMMYFUNCTION("""COMPUTED_VALUE"""),"lfe*****47@apps.ntpc.edu.tw")</f>
        <v>lfe*****47@apps.ntpc.edu.tw</v>
      </c>
      <c r="E689" s="17" t="str">
        <f>IFERROR(__xludf.DUMMYFUNCTION("""COMPUTED_VALUE"""),"新北市立中平國民中學")</f>
        <v>新北市立中平國民中學</v>
      </c>
      <c r="F689" s="14" t="str">
        <f>IFERROR(__xludf.DUMMYFUNCTION("""COMPUTED_VALUE"""),"七年級")</f>
        <v>七年級</v>
      </c>
      <c r="G689" s="14" t="str">
        <f>IFERROR(__xludf.DUMMYFUNCTION("""COMPUTED_VALUE"""),"●小禮物")</f>
        <v>●小禮物</v>
      </c>
      <c r="H689" s="8"/>
    </row>
    <row r="690">
      <c r="A690" s="18"/>
      <c r="B690" s="14">
        <f>IFERROR(__xludf.DUMMYFUNCTION("""COMPUTED_VALUE"""),996801.0)</f>
        <v>996801</v>
      </c>
      <c r="C690" s="14" t="str">
        <f>IFERROR(__xludf.DUMMYFUNCTION("""COMPUTED_VALUE"""),"黃筠捷")</f>
        <v>黃筠捷</v>
      </c>
      <c r="D690" s="16" t="str">
        <f>IFERROR(__xludf.DUMMYFUNCTION("""COMPUTED_VALUE"""),"lfe*****73@apps.ntpc.edu.tw")</f>
        <v>lfe*****73@apps.ntpc.edu.tw</v>
      </c>
      <c r="E690" s="17" t="str">
        <f>IFERROR(__xludf.DUMMYFUNCTION("""COMPUTED_VALUE"""),"新北市立中平國民中學")</f>
        <v>新北市立中平國民中學</v>
      </c>
      <c r="F690" s="14" t="str">
        <f>IFERROR(__xludf.DUMMYFUNCTION("""COMPUTED_VALUE"""),"八年級")</f>
        <v>八年級</v>
      </c>
      <c r="G690" s="14" t="str">
        <f>IFERROR(__xludf.DUMMYFUNCTION("""COMPUTED_VALUE"""),"獎狀")</f>
        <v>獎狀</v>
      </c>
      <c r="H690" s="8"/>
    </row>
    <row r="691">
      <c r="A691" s="18"/>
      <c r="B691" s="14">
        <f>IFERROR(__xludf.DUMMYFUNCTION("""COMPUTED_VALUE"""),708199.0)</f>
        <v>708199</v>
      </c>
      <c r="C691" s="14" t="str">
        <f>IFERROR(__xludf.DUMMYFUNCTION("""COMPUTED_VALUE"""),"黃之澧")</f>
        <v>黃之澧</v>
      </c>
      <c r="D691" s="16" t="str">
        <f>IFERROR(__xludf.DUMMYFUNCTION("""COMPUTED_VALUE"""),"all*****29.ntpc@mail.edu.tw")</f>
        <v>all*****29.ntpc@mail.edu.tw</v>
      </c>
      <c r="E691" s="17" t="str">
        <f>IFERROR(__xludf.DUMMYFUNCTION("""COMPUTED_VALUE"""),"新北市立中平國民中學")</f>
        <v>新北市立中平國民中學</v>
      </c>
      <c r="F691" s="14" t="str">
        <f>IFERROR(__xludf.DUMMYFUNCTION("""COMPUTED_VALUE"""),"八年級")</f>
        <v>八年級</v>
      </c>
      <c r="G691" s="14" t="str">
        <f>IFERROR(__xludf.DUMMYFUNCTION("""COMPUTED_VALUE"""),"●小禮物")</f>
        <v>●小禮物</v>
      </c>
      <c r="H691" s="8"/>
    </row>
    <row r="692">
      <c r="A692" s="18"/>
      <c r="B692" s="14">
        <f>IFERROR(__xludf.DUMMYFUNCTION("""COMPUTED_VALUE"""),1148624.0)</f>
        <v>1148624</v>
      </c>
      <c r="C692" s="14" t="str">
        <f>IFERROR(__xludf.DUMMYFUNCTION("""COMPUTED_VALUE"""),"蔡承澔")</f>
        <v>蔡承澔</v>
      </c>
      <c r="D692" s="16" t="str">
        <f>IFERROR(__xludf.DUMMYFUNCTION("""COMPUTED_VALUE"""),"lfe*****41@apps.ntpc.edu.tw")</f>
        <v>lfe*****41@apps.ntpc.edu.tw</v>
      </c>
      <c r="E692" s="17" t="str">
        <f>IFERROR(__xludf.DUMMYFUNCTION("""COMPUTED_VALUE"""),"剛恆毅學校財團法人新北市天主教恆毅高級中學附設國中部")</f>
        <v>剛恆毅學校財團法人新北市天主教恆毅高級中學附設國中部</v>
      </c>
      <c r="F692" s="14" t="str">
        <f>IFERROR(__xludf.DUMMYFUNCTION("""COMPUTED_VALUE"""),"七年級")</f>
        <v>七年級</v>
      </c>
      <c r="G692" s="14" t="str">
        <f>IFERROR(__xludf.DUMMYFUNCTION("""COMPUTED_VALUE"""),"獎狀")</f>
        <v>獎狀</v>
      </c>
      <c r="H692" s="8"/>
    </row>
    <row r="693">
      <c r="A693" s="18"/>
      <c r="B693" s="14">
        <f>IFERROR(__xludf.DUMMYFUNCTION("""COMPUTED_VALUE"""),822838.0)</f>
        <v>822838</v>
      </c>
      <c r="C693" s="14" t="str">
        <f>IFERROR(__xludf.DUMMYFUNCTION("""COMPUTED_VALUE"""),"梁恩理")</f>
        <v>梁恩理</v>
      </c>
      <c r="D693" s="16" t="str">
        <f>IFERROR(__xludf.DUMMYFUNCTION("""COMPUTED_VALUE"""),"e20*****8@apps.ntpc.edu.tw")</f>
        <v>e20*****8@apps.ntpc.edu.tw</v>
      </c>
      <c r="E693" s="17" t="str">
        <f>IFERROR(__xludf.DUMMYFUNCTION("""COMPUTED_VALUE"""),"新北市立新莊國民中學")</f>
        <v>新北市立新莊國民中學</v>
      </c>
      <c r="F693" s="14" t="str">
        <f>IFERROR(__xludf.DUMMYFUNCTION("""COMPUTED_VALUE"""),"八年級")</f>
        <v>八年級</v>
      </c>
      <c r="G693" s="14" t="str">
        <f>IFERROR(__xludf.DUMMYFUNCTION("""COMPUTED_VALUE"""),"●小禮物")</f>
        <v>●小禮物</v>
      </c>
      <c r="H693" s="8"/>
    </row>
    <row r="694">
      <c r="A694" s="18"/>
      <c r="B694" s="14">
        <f>IFERROR(__xludf.DUMMYFUNCTION("""COMPUTED_VALUE"""),556806.0)</f>
        <v>556806</v>
      </c>
      <c r="C694" s="14" t="str">
        <f>IFERROR(__xludf.DUMMYFUNCTION("""COMPUTED_VALUE"""),"鄧又嘉")</f>
        <v>鄧又嘉</v>
      </c>
      <c r="D694" s="16" t="str">
        <f>IFERROR(__xludf.DUMMYFUNCTION("""COMPUTED_VALUE"""),"st1*****05a@apps.ntpc.edu.tw")</f>
        <v>st1*****05a@apps.ntpc.edu.tw</v>
      </c>
      <c r="E694" s="17" t="str">
        <f>IFERROR(__xludf.DUMMYFUNCTION("""COMPUTED_VALUE"""),"新北市立新莊國民中學")</f>
        <v>新北市立新莊國民中學</v>
      </c>
      <c r="F694" s="14" t="str">
        <f>IFERROR(__xludf.DUMMYFUNCTION("""COMPUTED_VALUE"""),"八年級")</f>
        <v>八年級</v>
      </c>
      <c r="G694" s="14" t="str">
        <f>IFERROR(__xludf.DUMMYFUNCTION("""COMPUTED_VALUE"""),"●小禮物")</f>
        <v>●小禮物</v>
      </c>
      <c r="H694" s="8"/>
    </row>
    <row r="695">
      <c r="A695" s="18"/>
      <c r="B695" s="14">
        <f>IFERROR(__xludf.DUMMYFUNCTION("""COMPUTED_VALUE"""),814993.0)</f>
        <v>814993</v>
      </c>
      <c r="C695" s="14" t="str">
        <f>IFERROR(__xludf.DUMMYFUNCTION("""COMPUTED_VALUE"""),"黃藎萱")</f>
        <v>黃藎萱</v>
      </c>
      <c r="D695" s="16" t="str">
        <f>IFERROR(__xludf.DUMMYFUNCTION("""COMPUTED_VALUE"""),"f70*****tpc@mail.edu.tw")</f>
        <v>f70*****tpc@mail.edu.tw</v>
      </c>
      <c r="E695" s="17" t="str">
        <f>IFERROR(__xludf.DUMMYFUNCTION("""COMPUTED_VALUE"""),"新北市立新莊國民中學")</f>
        <v>新北市立新莊國民中學</v>
      </c>
      <c r="F695" s="14" t="str">
        <f>IFERROR(__xludf.DUMMYFUNCTION("""COMPUTED_VALUE"""),"八年級")</f>
        <v>八年級</v>
      </c>
      <c r="G695" s="14" t="str">
        <f>IFERROR(__xludf.DUMMYFUNCTION("""COMPUTED_VALUE"""),"●小禮物")</f>
        <v>●小禮物</v>
      </c>
      <c r="H695" s="8"/>
    </row>
    <row r="696">
      <c r="A696" s="18"/>
      <c r="B696" s="14">
        <f>IFERROR(__xludf.DUMMYFUNCTION("""COMPUTED_VALUE"""),1219422.0)</f>
        <v>1219422</v>
      </c>
      <c r="C696" s="14" t="str">
        <f>IFERROR(__xludf.DUMMYFUNCTION("""COMPUTED_VALUE"""),"施宇玹")</f>
        <v>施宇玹</v>
      </c>
      <c r="D696" s="16" t="str">
        <f>IFERROR(__xludf.DUMMYFUNCTION("""COMPUTED_VALUE"""),"st1*****17a@apps.ntpc.edu.tw")</f>
        <v>st1*****17a@apps.ntpc.edu.tw</v>
      </c>
      <c r="E696" s="17" t="str">
        <f>IFERROR(__xludf.DUMMYFUNCTION("""COMPUTED_VALUE"""),"新北市立新莊國民中學")</f>
        <v>新北市立新莊國民中學</v>
      </c>
      <c r="F696" s="14" t="str">
        <f>IFERROR(__xludf.DUMMYFUNCTION("""COMPUTED_VALUE"""),"八年級")</f>
        <v>八年級</v>
      </c>
      <c r="G696" s="14" t="str">
        <f>IFERROR(__xludf.DUMMYFUNCTION("""COMPUTED_VALUE"""),"獎狀")</f>
        <v>獎狀</v>
      </c>
      <c r="H696" s="8"/>
    </row>
    <row r="697">
      <c r="A697" s="18"/>
      <c r="B697" s="14">
        <f>IFERROR(__xludf.DUMMYFUNCTION("""COMPUTED_VALUE"""),1219413.0)</f>
        <v>1219413</v>
      </c>
      <c r="C697" s="14" t="str">
        <f>IFERROR(__xludf.DUMMYFUNCTION("""COMPUTED_VALUE"""),"李允傑")</f>
        <v>李允傑</v>
      </c>
      <c r="D697" s="16" t="str">
        <f>IFERROR(__xludf.DUMMYFUNCTION("""COMPUTED_VALUE"""),"lfe*****14@apps.ntpc.edu.tw")</f>
        <v>lfe*****14@apps.ntpc.edu.tw</v>
      </c>
      <c r="E697" s="17" t="str">
        <f>IFERROR(__xludf.DUMMYFUNCTION("""COMPUTED_VALUE"""),"新北市立新莊國民中學")</f>
        <v>新北市立新莊國民中學</v>
      </c>
      <c r="F697" s="14" t="str">
        <f>IFERROR(__xludf.DUMMYFUNCTION("""COMPUTED_VALUE"""),"八年級")</f>
        <v>八年級</v>
      </c>
      <c r="G697" s="14" t="str">
        <f>IFERROR(__xludf.DUMMYFUNCTION("""COMPUTED_VALUE"""),"●小禮物")</f>
        <v>●小禮物</v>
      </c>
      <c r="H697" s="8"/>
    </row>
    <row r="698">
      <c r="A698" s="18"/>
      <c r="B698" s="14">
        <f>IFERROR(__xludf.DUMMYFUNCTION("""COMPUTED_VALUE"""),153056.0)</f>
        <v>153056</v>
      </c>
      <c r="C698" s="14" t="str">
        <f>IFERROR(__xludf.DUMMYFUNCTION("""COMPUTED_VALUE"""),"陳宥蓉")</f>
        <v>陳宥蓉</v>
      </c>
      <c r="D698" s="16" t="str">
        <f>IFERROR(__xludf.DUMMYFUNCTION("""COMPUTED_VALUE"""),"eri*****7@apps.ntpc.edu.tw")</f>
        <v>eri*****7@apps.ntpc.edu.tw</v>
      </c>
      <c r="E698" s="17" t="str">
        <f>IFERROR(__xludf.DUMMYFUNCTION("""COMPUTED_VALUE"""),"新北市立新莊國民中學")</f>
        <v>新北市立新莊國民中學</v>
      </c>
      <c r="F698" s="14" t="str">
        <f>IFERROR(__xludf.DUMMYFUNCTION("""COMPUTED_VALUE"""),"八年級")</f>
        <v>八年級</v>
      </c>
      <c r="G698" s="14" t="str">
        <f>IFERROR(__xludf.DUMMYFUNCTION("""COMPUTED_VALUE"""),"●小禮物")</f>
        <v>●小禮物</v>
      </c>
      <c r="H698" s="8"/>
    </row>
    <row r="699">
      <c r="A699" s="18"/>
      <c r="B699" s="14">
        <f>IFERROR(__xludf.DUMMYFUNCTION("""COMPUTED_VALUE"""),87975.0)</f>
        <v>87975</v>
      </c>
      <c r="C699" s="14" t="str">
        <f>IFERROR(__xludf.DUMMYFUNCTION("""COMPUTED_VALUE"""),"呂承哲")</f>
        <v>呂承哲</v>
      </c>
      <c r="D699" s="16" t="str">
        <f>IFERROR(__xludf.DUMMYFUNCTION("""COMPUTED_VALUE"""),"jer*****4048@gmail.com")</f>
        <v>jer*****4048@gmail.com</v>
      </c>
      <c r="E699" s="17" t="str">
        <f>IFERROR(__xludf.DUMMYFUNCTION("""COMPUTED_VALUE"""),"新北市立丹鳳高級中學附設國中部")</f>
        <v>新北市立丹鳳高級中學附設國中部</v>
      </c>
      <c r="F699" s="14" t="str">
        <f>IFERROR(__xludf.DUMMYFUNCTION("""COMPUTED_VALUE"""),"九年級")</f>
        <v>九年級</v>
      </c>
      <c r="G699" s="14" t="str">
        <f>IFERROR(__xludf.DUMMYFUNCTION("""COMPUTED_VALUE"""),"●小禮物")</f>
        <v>●小禮物</v>
      </c>
      <c r="H699" s="8"/>
    </row>
    <row r="700">
      <c r="A700" s="18"/>
      <c r="B700" s="14">
        <f>IFERROR(__xludf.DUMMYFUNCTION("""COMPUTED_VALUE"""),564961.0)</f>
        <v>564961</v>
      </c>
      <c r="C700" s="14" t="str">
        <f>IFERROR(__xludf.DUMMYFUNCTION("""COMPUTED_VALUE"""),"廖子嫻")</f>
        <v>廖子嫻</v>
      </c>
      <c r="D700" s="16" t="str">
        <f>IFERROR(__xludf.DUMMYFUNCTION("""COMPUTED_VALUE"""),"cha*****hui@yahoo.com.tw")</f>
        <v>cha*****hui@yahoo.com.tw</v>
      </c>
      <c r="E700" s="17" t="str">
        <f>IFERROR(__xludf.DUMMYFUNCTION("""COMPUTED_VALUE"""),"新北市立義學國民中學")</f>
        <v>新北市立義學國民中學</v>
      </c>
      <c r="F700" s="14" t="str">
        <f>IFERROR(__xludf.DUMMYFUNCTION("""COMPUTED_VALUE"""),"八年級")</f>
        <v>八年級</v>
      </c>
      <c r="G700" s="14" t="str">
        <f>IFERROR(__xludf.DUMMYFUNCTION("""COMPUTED_VALUE"""),"●小禮物")</f>
        <v>●小禮物</v>
      </c>
      <c r="H700" s="8"/>
    </row>
    <row r="701">
      <c r="A701" s="18"/>
      <c r="B701" s="14">
        <f>IFERROR(__xludf.DUMMYFUNCTION("""COMPUTED_VALUE"""),637203.0)</f>
        <v>637203</v>
      </c>
      <c r="C701" s="14" t="str">
        <f>IFERROR(__xludf.DUMMYFUNCTION("""COMPUTED_VALUE"""),"王柏謙")</f>
        <v>王柏謙</v>
      </c>
      <c r="D701" s="16" t="str">
        <f>IFERROR(__xludf.DUMMYFUNCTION("""COMPUTED_VALUE"""),"f94*****.ntpc@mail.edu.tw")</f>
        <v>f94*****.ntpc@mail.edu.tw</v>
      </c>
      <c r="E701" s="17" t="str">
        <f>IFERROR(__xludf.DUMMYFUNCTION("""COMPUTED_VALUE"""),"新北市立義學國民中學")</f>
        <v>新北市立義學國民中學</v>
      </c>
      <c r="F701" s="14" t="str">
        <f>IFERROR(__xludf.DUMMYFUNCTION("""COMPUTED_VALUE"""),"八年級")</f>
        <v>八年級</v>
      </c>
      <c r="G701" s="14" t="str">
        <f>IFERROR(__xludf.DUMMYFUNCTION("""COMPUTED_VALUE"""),"●小禮物")</f>
        <v>●小禮物</v>
      </c>
      <c r="H701" s="8"/>
    </row>
    <row r="702">
      <c r="A702" s="18"/>
      <c r="B702" s="14">
        <f>IFERROR(__xludf.DUMMYFUNCTION("""COMPUTED_VALUE"""),741149.0)</f>
        <v>741149</v>
      </c>
      <c r="C702" s="14" t="str">
        <f>IFERROR(__xludf.DUMMYFUNCTION("""COMPUTED_VALUE"""),"鄭聿琳")</f>
        <v>鄭聿琳</v>
      </c>
      <c r="D702" s="16" t="str">
        <f>IFERROR(__xludf.DUMMYFUNCTION("""COMPUTED_VALUE"""),"ire*****624@apps.ntpc.edu.tw")</f>
        <v>ire*****624@apps.ntpc.edu.tw</v>
      </c>
      <c r="E702" s="17" t="str">
        <f>IFERROR(__xludf.DUMMYFUNCTION("""COMPUTED_VALUE"""),"新北市立佳林國民中學")</f>
        <v>新北市立佳林國民中學</v>
      </c>
      <c r="F702" s="14" t="str">
        <f>IFERROR(__xludf.DUMMYFUNCTION("""COMPUTED_VALUE"""),"七年級")</f>
        <v>七年級</v>
      </c>
      <c r="G702" s="14" t="str">
        <f>IFERROR(__xludf.DUMMYFUNCTION("""COMPUTED_VALUE"""),"●小禮物")</f>
        <v>●小禮物</v>
      </c>
      <c r="H702" s="8"/>
    </row>
    <row r="703">
      <c r="A703" s="18"/>
      <c r="B703" s="14">
        <f>IFERROR(__xludf.DUMMYFUNCTION("""COMPUTED_VALUE"""),935454.0)</f>
        <v>935454</v>
      </c>
      <c r="C703" s="14" t="str">
        <f>IFERROR(__xludf.DUMMYFUNCTION("""COMPUTED_VALUE"""),"李秉宸")</f>
        <v>李秉宸</v>
      </c>
      <c r="D703" s="16" t="str">
        <f>IFERROR(__xludf.DUMMYFUNCTION("""COMPUTED_VALUE"""),"s16*****9.dyjh.tyc.edu.tw")</f>
        <v>s16*****9.dyjh.tyc.edu.tw</v>
      </c>
      <c r="E703" s="17" t="str">
        <f>IFERROR(__xludf.DUMMYFUNCTION("""COMPUTED_VALUE"""),"新北市立佳林國民中學")</f>
        <v>新北市立佳林國民中學</v>
      </c>
      <c r="F703" s="14" t="str">
        <f>IFERROR(__xludf.DUMMYFUNCTION("""COMPUTED_VALUE"""),"八年級")</f>
        <v>八年級</v>
      </c>
      <c r="G703" s="14" t="str">
        <f>IFERROR(__xludf.DUMMYFUNCTION("""COMPUTED_VALUE"""),"●小禮物")</f>
        <v>●小禮物</v>
      </c>
      <c r="H703" s="8"/>
    </row>
    <row r="704">
      <c r="A704" s="18"/>
      <c r="B704" s="14">
        <f>IFERROR(__xludf.DUMMYFUNCTION("""COMPUTED_VALUE"""),935415.0)</f>
        <v>935415</v>
      </c>
      <c r="C704" s="14" t="str">
        <f>IFERROR(__xludf.DUMMYFUNCTION("""COMPUTED_VALUE"""),"李秉祐")</f>
        <v>李秉祐</v>
      </c>
      <c r="D704" s="16" t="str">
        <f>IFERROR(__xludf.DUMMYFUNCTION("""COMPUTED_VALUE"""),"s16*****9.dyjh.tyc.edu.tw")</f>
        <v>s16*****9.dyjh.tyc.edu.tw</v>
      </c>
      <c r="E704" s="17" t="str">
        <f>IFERROR(__xludf.DUMMYFUNCTION("""COMPUTED_VALUE"""),"新北市立佳林國民中學")</f>
        <v>新北市立佳林國民中學</v>
      </c>
      <c r="F704" s="14" t="str">
        <f>IFERROR(__xludf.DUMMYFUNCTION("""COMPUTED_VALUE"""),"八年級")</f>
        <v>八年級</v>
      </c>
      <c r="G704" s="14" t="str">
        <f>IFERROR(__xludf.DUMMYFUNCTION("""COMPUTED_VALUE"""),"●小禮物")</f>
        <v>●小禮物</v>
      </c>
      <c r="H704" s="8"/>
    </row>
    <row r="705">
      <c r="A705" s="18"/>
      <c r="B705" s="14">
        <f>IFERROR(__xludf.DUMMYFUNCTION("""COMPUTED_VALUE"""),363622.0)</f>
        <v>363622</v>
      </c>
      <c r="C705" s="14" t="str">
        <f>IFERROR(__xludf.DUMMYFUNCTION("""COMPUTED_VALUE"""),"余亞喆")</f>
        <v>余亞喆</v>
      </c>
      <c r="D705" s="16" t="str">
        <f>IFERROR(__xludf.DUMMYFUNCTION("""COMPUTED_VALUE"""),"yuy*****ntpc@mail.edu.tw")</f>
        <v>yuy*****ntpc@mail.edu.tw</v>
      </c>
      <c r="E705" s="17" t="str">
        <f>IFERROR(__xludf.DUMMYFUNCTION("""COMPUTED_VALUE"""),"新北市立崇林國民中學")</f>
        <v>新北市立崇林國民中學</v>
      </c>
      <c r="F705" s="14" t="str">
        <f>IFERROR(__xludf.DUMMYFUNCTION("""COMPUTED_VALUE"""),"七年級")</f>
        <v>七年級</v>
      </c>
      <c r="G705" s="14" t="str">
        <f>IFERROR(__xludf.DUMMYFUNCTION("""COMPUTED_VALUE"""),"●小禮物")</f>
        <v>●小禮物</v>
      </c>
      <c r="H705" s="8"/>
    </row>
    <row r="706">
      <c r="A706" s="18"/>
      <c r="B706" s="14">
        <f>IFERROR(__xludf.DUMMYFUNCTION("""COMPUTED_VALUE"""),89460.0)</f>
        <v>89460</v>
      </c>
      <c r="C706" s="14" t="str">
        <f>IFERROR(__xludf.DUMMYFUNCTION("""COMPUTED_VALUE"""),"謝雯欣")</f>
        <v>謝雯欣</v>
      </c>
      <c r="D706" s="16" t="str">
        <f>IFERROR(__xludf.DUMMYFUNCTION("""COMPUTED_VALUE"""),"eve*****98@msn.com")</f>
        <v>eve*****98@msn.com</v>
      </c>
      <c r="E706" s="17" t="str">
        <f>IFERROR(__xludf.DUMMYFUNCTION("""COMPUTED_VALUE"""),"新北市立崇林國民中學")</f>
        <v>新北市立崇林國民中學</v>
      </c>
      <c r="F706" s="14" t="str">
        <f>IFERROR(__xludf.DUMMYFUNCTION("""COMPUTED_VALUE"""),"八年級")</f>
        <v>八年級</v>
      </c>
      <c r="G706" s="14" t="str">
        <f>IFERROR(__xludf.DUMMYFUNCTION("""COMPUTED_VALUE"""),"●小禮物")</f>
        <v>●小禮物</v>
      </c>
      <c r="H706" s="8"/>
    </row>
    <row r="707">
      <c r="A707" s="18"/>
      <c r="B707" s="14">
        <f>IFERROR(__xludf.DUMMYFUNCTION("""COMPUTED_VALUE"""),712136.0)</f>
        <v>712136</v>
      </c>
      <c r="C707" s="14" t="str">
        <f>IFERROR(__xludf.DUMMYFUNCTION("""COMPUTED_VALUE"""),"李亮昀")</f>
        <v>李亮昀</v>
      </c>
      <c r="D707" s="16" t="str">
        <f>IFERROR(__xludf.DUMMYFUNCTION("""COMPUTED_VALUE"""),"f26*****5.ntpc@mail.edu.tw")</f>
        <v>f26*****5.ntpc@mail.edu.tw</v>
      </c>
      <c r="E707" s="17" t="str">
        <f>IFERROR(__xludf.DUMMYFUNCTION("""COMPUTED_VALUE"""),"新北市立崇林國民中學")</f>
        <v>新北市立崇林國民中學</v>
      </c>
      <c r="F707" s="14" t="str">
        <f>IFERROR(__xludf.DUMMYFUNCTION("""COMPUTED_VALUE"""),"八年級")</f>
        <v>八年級</v>
      </c>
      <c r="G707" s="14" t="str">
        <f>IFERROR(__xludf.DUMMYFUNCTION("""COMPUTED_VALUE"""),"獎狀")</f>
        <v>獎狀</v>
      </c>
      <c r="H707" s="8"/>
    </row>
    <row r="708">
      <c r="A708" s="18"/>
      <c r="B708" s="14">
        <f>IFERROR(__xludf.DUMMYFUNCTION("""COMPUTED_VALUE"""),1123489.0)</f>
        <v>1123489</v>
      </c>
      <c r="C708" s="14" t="str">
        <f>IFERROR(__xludf.DUMMYFUNCTION("""COMPUTED_VALUE"""),"野崎心音")</f>
        <v>野崎心音</v>
      </c>
      <c r="D708" s="16" t="str">
        <f>IFERROR(__xludf.DUMMYFUNCTION("""COMPUTED_VALUE"""),"kok*****1027@apps.ntpc.edu.tw")</f>
        <v>kok*****1027@apps.ntpc.edu.tw</v>
      </c>
      <c r="E708" s="17" t="str">
        <f>IFERROR(__xludf.DUMMYFUNCTION("""COMPUTED_VALUE"""),"新北市立崇林國民中學")</f>
        <v>新北市立崇林國民中學</v>
      </c>
      <c r="F708" s="14" t="str">
        <f>IFERROR(__xludf.DUMMYFUNCTION("""COMPUTED_VALUE"""),"八年級")</f>
        <v>八年級</v>
      </c>
      <c r="G708" s="14" t="str">
        <f>IFERROR(__xludf.DUMMYFUNCTION("""COMPUTED_VALUE"""),"獎狀")</f>
        <v>獎狀</v>
      </c>
      <c r="H708" s="8"/>
    </row>
    <row r="709">
      <c r="A709" s="18"/>
      <c r="B709" s="14">
        <f>IFERROR(__xludf.DUMMYFUNCTION("""COMPUTED_VALUE"""),783327.0)</f>
        <v>783327</v>
      </c>
      <c r="C709" s="14" t="str">
        <f>IFERROR(__xludf.DUMMYFUNCTION("""COMPUTED_VALUE"""),"邱品鈞")</f>
        <v>邱品鈞</v>
      </c>
      <c r="D709" s="16" t="str">
        <f>IFERROR(__xludf.DUMMYFUNCTION("""COMPUTED_VALUE"""),"qpj*****ntpc@mail.edu.tw")</f>
        <v>qpj*****ntpc@mail.edu.tw</v>
      </c>
      <c r="E709" s="17" t="str">
        <f>IFERROR(__xludf.DUMMYFUNCTION("""COMPUTED_VALUE"""),"新北市立崇林國民中學")</f>
        <v>新北市立崇林國民中學</v>
      </c>
      <c r="F709" s="14" t="str">
        <f>IFERROR(__xludf.DUMMYFUNCTION("""COMPUTED_VALUE"""),"九年級")</f>
        <v>九年級</v>
      </c>
      <c r="G709" s="14" t="str">
        <f>IFERROR(__xludf.DUMMYFUNCTION("""COMPUTED_VALUE"""),"●小禮物")</f>
        <v>●小禮物</v>
      </c>
      <c r="H709" s="8"/>
    </row>
    <row r="710">
      <c r="A710" s="18"/>
      <c r="B710" s="14">
        <f>IFERROR(__xludf.DUMMYFUNCTION("""COMPUTED_VALUE"""),1129812.0)</f>
        <v>1129812</v>
      </c>
      <c r="C710" s="14" t="str">
        <f>IFERROR(__xludf.DUMMYFUNCTION("""COMPUTED_VALUE"""),"郭醫和")</f>
        <v>郭醫和</v>
      </c>
      <c r="D710" s="16" t="str">
        <f>IFERROR(__xludf.DUMMYFUNCTION("""COMPUTED_VALUE"""),"u05*****apps.ntpc.edu.tw")</f>
        <v>u05*****apps.ntpc.edu.tw</v>
      </c>
      <c r="E710" s="17" t="str">
        <f>IFERROR(__xludf.DUMMYFUNCTION("""COMPUTED_VALUE"""),"新北市立林口國民中學")</f>
        <v>新北市立林口國民中學</v>
      </c>
      <c r="F710" s="14" t="str">
        <f>IFERROR(__xludf.DUMMYFUNCTION("""COMPUTED_VALUE"""),"八年級")</f>
        <v>八年級</v>
      </c>
      <c r="G710" s="14" t="str">
        <f>IFERROR(__xludf.DUMMYFUNCTION("""COMPUTED_VALUE"""),"★禮券$500")</f>
        <v>★禮券$500</v>
      </c>
      <c r="H710" s="8"/>
    </row>
    <row r="711">
      <c r="A711" s="18"/>
      <c r="B711" s="14">
        <f>IFERROR(__xludf.DUMMYFUNCTION("""COMPUTED_VALUE"""),906376.0)</f>
        <v>906376</v>
      </c>
      <c r="C711" s="14" t="str">
        <f>IFERROR(__xludf.DUMMYFUNCTION("""COMPUTED_VALUE"""),"卓庭緯")</f>
        <v>卓庭緯</v>
      </c>
      <c r="D711" s="16" t="str">
        <f>IFERROR(__xludf.DUMMYFUNCTION("""COMPUTED_VALUE"""),"lke*****0@apps.ntpc.edu.tw")</f>
        <v>lke*****0@apps.ntpc.edu.tw</v>
      </c>
      <c r="E711" s="17" t="str">
        <f>IFERROR(__xludf.DUMMYFUNCTION("""COMPUTED_VALUE"""),"新北市立林口國民中學")</f>
        <v>新北市立林口國民中學</v>
      </c>
      <c r="F711" s="14" t="str">
        <f>IFERROR(__xludf.DUMMYFUNCTION("""COMPUTED_VALUE"""),"九年級")</f>
        <v>九年級</v>
      </c>
      <c r="G711" s="14" t="str">
        <f>IFERROR(__xludf.DUMMYFUNCTION("""COMPUTED_VALUE"""),"●小禮物")</f>
        <v>●小禮物</v>
      </c>
      <c r="H711" s="8"/>
    </row>
    <row r="712">
      <c r="A712" s="18"/>
      <c r="B712" s="14">
        <f>IFERROR(__xludf.DUMMYFUNCTION("""COMPUTED_VALUE"""),1198960.0)</f>
        <v>1198960</v>
      </c>
      <c r="C712" s="14" t="str">
        <f>IFERROR(__xludf.DUMMYFUNCTION("""COMPUTED_VALUE"""),"施力豪")</f>
        <v>施力豪</v>
      </c>
      <c r="D712" s="16" t="str">
        <f>IFERROR(__xludf.DUMMYFUNCTION("""COMPUTED_VALUE"""),"lj1*****stu.kcislk.ntpc.edu.tw")</f>
        <v>lj1*****stu.kcislk.ntpc.edu.tw</v>
      </c>
      <c r="E712" s="17" t="str">
        <f>IFERROR(__xludf.DUMMYFUNCTION("""COMPUTED_VALUE"""),"龍騰學校財團法人新北市林口康橋國際高級中等學校附設國中部")</f>
        <v>龍騰學校財團法人新北市林口康橋國際高級中等學校附設國中部</v>
      </c>
      <c r="F712" s="14" t="str">
        <f>IFERROR(__xludf.DUMMYFUNCTION("""COMPUTED_VALUE"""),"七年級")</f>
        <v>七年級</v>
      </c>
      <c r="G712" s="14" t="str">
        <f>IFERROR(__xludf.DUMMYFUNCTION("""COMPUTED_VALUE"""),"●小禮物")</f>
        <v>●小禮物</v>
      </c>
      <c r="H712" s="8"/>
    </row>
    <row r="713">
      <c r="A713" s="18"/>
      <c r="B713" s="14">
        <f>IFERROR(__xludf.DUMMYFUNCTION("""COMPUTED_VALUE"""),434906.0)</f>
        <v>434906</v>
      </c>
      <c r="C713" s="14" t="str">
        <f>IFERROR(__xludf.DUMMYFUNCTION("""COMPUTED_VALUE"""),"張允安")</f>
        <v>張允安</v>
      </c>
      <c r="D713" s="16" t="str">
        <f>IFERROR(__xludf.DUMMYFUNCTION("""COMPUTED_VALUE"""),"le0*****stu.kcislk.ntpc.edu.tw")</f>
        <v>le0*****stu.kcislk.ntpc.edu.tw</v>
      </c>
      <c r="E713" s="17" t="str">
        <f>IFERROR(__xludf.DUMMYFUNCTION("""COMPUTED_VALUE"""),"龍騰學校財團法人新北市林口康橋國際高級中等學校附設國中部")</f>
        <v>龍騰學校財團法人新北市林口康橋國際高級中等學校附設國中部</v>
      </c>
      <c r="F713" s="14" t="str">
        <f>IFERROR(__xludf.DUMMYFUNCTION("""COMPUTED_VALUE"""),"七年級")</f>
        <v>七年級</v>
      </c>
      <c r="G713" s="14" t="str">
        <f>IFERROR(__xludf.DUMMYFUNCTION("""COMPUTED_VALUE"""),"●小禮物")</f>
        <v>●小禮物</v>
      </c>
      <c r="H713" s="8"/>
    </row>
    <row r="714">
      <c r="A714" s="18"/>
      <c r="B714" s="14">
        <f>IFERROR(__xludf.DUMMYFUNCTION("""COMPUTED_VALUE"""),460536.0)</f>
        <v>460536</v>
      </c>
      <c r="C714" s="14" t="str">
        <f>IFERROR(__xludf.DUMMYFUNCTION("""COMPUTED_VALUE"""),"張芸瑄")</f>
        <v>張芸瑄</v>
      </c>
      <c r="D714" s="16" t="str">
        <f>IFERROR(__xludf.DUMMYFUNCTION("""COMPUTED_VALUE"""),"lj0*****stu.kcislk.ntpc.edu.tw")</f>
        <v>lj0*****stu.kcislk.ntpc.edu.tw</v>
      </c>
      <c r="E714" s="17" t="str">
        <f>IFERROR(__xludf.DUMMYFUNCTION("""COMPUTED_VALUE"""),"龍騰學校財團法人新北市林口康橋國際高級中等學校附設國中部")</f>
        <v>龍騰學校財團法人新北市林口康橋國際高級中等學校附設國中部</v>
      </c>
      <c r="F714" s="14" t="str">
        <f>IFERROR(__xludf.DUMMYFUNCTION("""COMPUTED_VALUE"""),"九年級")</f>
        <v>九年級</v>
      </c>
      <c r="G714" s="14" t="str">
        <f>IFERROR(__xludf.DUMMYFUNCTION("""COMPUTED_VALUE"""),"獎狀")</f>
        <v>獎狀</v>
      </c>
      <c r="H714" s="8"/>
    </row>
    <row r="715">
      <c r="A715" s="18"/>
      <c r="B715" s="14">
        <f>IFERROR(__xludf.DUMMYFUNCTION("""COMPUTED_VALUE"""),1208241.0)</f>
        <v>1208241</v>
      </c>
      <c r="C715" s="14" t="str">
        <f>IFERROR(__xludf.DUMMYFUNCTION("""COMPUTED_VALUE"""),"賴鈞佑")</f>
        <v>賴鈞佑</v>
      </c>
      <c r="D715" s="16" t="str">
        <f>IFERROR(__xludf.DUMMYFUNCTION("""COMPUTED_VALUE"""),"595*****fe@gmail.com")</f>
        <v>595*****fe@gmail.com</v>
      </c>
      <c r="E715" s="17" t="str">
        <f>IFERROR(__xludf.DUMMYFUNCTION("""COMPUTED_VALUE"""),"新北市私立徐匯高級中學附設國中部")</f>
        <v>新北市私立徐匯高級中學附設國中部</v>
      </c>
      <c r="F715" s="14" t="str">
        <f>IFERROR(__xludf.DUMMYFUNCTION("""COMPUTED_VALUE"""),"七年級")</f>
        <v>七年級</v>
      </c>
      <c r="G715" s="14" t="str">
        <f>IFERROR(__xludf.DUMMYFUNCTION("""COMPUTED_VALUE"""),"●小禮物")</f>
        <v>●小禮物</v>
      </c>
      <c r="H715" s="8"/>
    </row>
    <row r="716">
      <c r="A716" s="18"/>
      <c r="B716" s="14">
        <f>IFERROR(__xludf.DUMMYFUNCTION("""COMPUTED_VALUE"""),1151731.0)</f>
        <v>1151731</v>
      </c>
      <c r="C716" s="14" t="str">
        <f>IFERROR(__xludf.DUMMYFUNCTION("""COMPUTED_VALUE"""),"林伯叡")</f>
        <v>林伯叡</v>
      </c>
      <c r="D716" s="16" t="str">
        <f>IFERROR(__xludf.DUMMYFUNCTION("""COMPUTED_VALUE"""),"jas*****981213@gmail.com")</f>
        <v>jas*****981213@gmail.com</v>
      </c>
      <c r="E716" s="17" t="str">
        <f>IFERROR(__xludf.DUMMYFUNCTION("""COMPUTED_VALUE"""),"新北市私立徐匯高級中學附設國中部")</f>
        <v>新北市私立徐匯高級中學附設國中部</v>
      </c>
      <c r="F716" s="14" t="str">
        <f>IFERROR(__xludf.DUMMYFUNCTION("""COMPUTED_VALUE"""),"七年級")</f>
        <v>七年級</v>
      </c>
      <c r="G716" s="14" t="str">
        <f>IFERROR(__xludf.DUMMYFUNCTION("""COMPUTED_VALUE"""),"●小禮物")</f>
        <v>●小禮物</v>
      </c>
      <c r="H716" s="8"/>
    </row>
    <row r="717">
      <c r="A717" s="18"/>
      <c r="B717" s="14">
        <f>IFERROR(__xludf.DUMMYFUNCTION("""COMPUTED_VALUE"""),1150439.0)</f>
        <v>1150439</v>
      </c>
      <c r="C717" s="14" t="str">
        <f>IFERROR(__xludf.DUMMYFUNCTION("""COMPUTED_VALUE"""),"李昶慶")</f>
        <v>李昶慶</v>
      </c>
      <c r="D717" s="16" t="str">
        <f>IFERROR(__xludf.DUMMYFUNCTION("""COMPUTED_VALUE"""),"dus*****0423@gmail.com")</f>
        <v>dus*****0423@gmail.com</v>
      </c>
      <c r="E717" s="17" t="str">
        <f>IFERROR(__xludf.DUMMYFUNCTION("""COMPUTED_VALUE"""),"新北市私立徐匯高級中學附設國中部")</f>
        <v>新北市私立徐匯高級中學附設國中部</v>
      </c>
      <c r="F717" s="14" t="str">
        <f>IFERROR(__xludf.DUMMYFUNCTION("""COMPUTED_VALUE"""),"七年級")</f>
        <v>七年級</v>
      </c>
      <c r="G717" s="14" t="str">
        <f>IFERROR(__xludf.DUMMYFUNCTION("""COMPUTED_VALUE"""),"●小禮物")</f>
        <v>●小禮物</v>
      </c>
      <c r="H717" s="8"/>
    </row>
    <row r="718">
      <c r="A718" s="18"/>
      <c r="B718" s="14">
        <f>IFERROR(__xludf.DUMMYFUNCTION("""COMPUTED_VALUE"""),1218759.0)</f>
        <v>1218759</v>
      </c>
      <c r="C718" s="14" t="str">
        <f>IFERROR(__xludf.DUMMYFUNCTION("""COMPUTED_VALUE"""),"盧語辰")</f>
        <v>盧語辰</v>
      </c>
      <c r="D718" s="16" t="str">
        <f>IFERROR(__xludf.DUMMYFUNCTION("""COMPUTED_VALUE"""),"a09*****080@gmail.com")</f>
        <v>a09*****080@gmail.com</v>
      </c>
      <c r="E718" s="17" t="str">
        <f>IFERROR(__xludf.DUMMYFUNCTION("""COMPUTED_VALUE"""),"新北市私立徐匯高級中學附設國中部")</f>
        <v>新北市私立徐匯高級中學附設國中部</v>
      </c>
      <c r="F718" s="14" t="str">
        <f>IFERROR(__xludf.DUMMYFUNCTION("""COMPUTED_VALUE"""),"七年級")</f>
        <v>七年級</v>
      </c>
      <c r="G718" s="14" t="str">
        <f>IFERROR(__xludf.DUMMYFUNCTION("""COMPUTED_VALUE"""),"●小禮物")</f>
        <v>●小禮物</v>
      </c>
      <c r="H718" s="8"/>
    </row>
    <row r="719">
      <c r="A719" s="18"/>
      <c r="B719" s="14">
        <f>IFERROR(__xludf.DUMMYFUNCTION("""COMPUTED_VALUE"""),1151759.0)</f>
        <v>1151759</v>
      </c>
      <c r="C719" s="14" t="str">
        <f>IFERROR(__xludf.DUMMYFUNCTION("""COMPUTED_VALUE"""),"王奕程")</f>
        <v>王奕程</v>
      </c>
      <c r="D719" s="16" t="str">
        <f>IFERROR(__xludf.DUMMYFUNCTION("""COMPUTED_VALUE"""),"ian*****12512@gmail.com")</f>
        <v>ian*****12512@gmail.com</v>
      </c>
      <c r="E719" s="17" t="str">
        <f>IFERROR(__xludf.DUMMYFUNCTION("""COMPUTED_VALUE"""),"新北市私立徐匯高級中學附設國中部")</f>
        <v>新北市私立徐匯高級中學附設國中部</v>
      </c>
      <c r="F719" s="14" t="str">
        <f>IFERROR(__xludf.DUMMYFUNCTION("""COMPUTED_VALUE"""),"七年級")</f>
        <v>七年級</v>
      </c>
      <c r="G719" s="14" t="str">
        <f>IFERROR(__xludf.DUMMYFUNCTION("""COMPUTED_VALUE"""),"獎狀")</f>
        <v>獎狀</v>
      </c>
      <c r="H719" s="8"/>
    </row>
    <row r="720">
      <c r="A720" s="18"/>
      <c r="B720" s="14">
        <f>IFERROR(__xludf.DUMMYFUNCTION("""COMPUTED_VALUE"""),1208096.0)</f>
        <v>1208096</v>
      </c>
      <c r="C720" s="14" t="str">
        <f>IFERROR(__xludf.DUMMYFUNCTION("""COMPUTED_VALUE"""),"李洺侑")</f>
        <v>李洺侑</v>
      </c>
      <c r="D720" s="16" t="str">
        <f>IFERROR(__xludf.DUMMYFUNCTION("""COMPUTED_VALUE"""),"sco*****00222@gmail.com")</f>
        <v>sco*****00222@gmail.com</v>
      </c>
      <c r="E720" s="17" t="str">
        <f>IFERROR(__xludf.DUMMYFUNCTION("""COMPUTED_VALUE"""),"新北市私立徐匯高級中學附設國中部")</f>
        <v>新北市私立徐匯高級中學附設國中部</v>
      </c>
      <c r="F720" s="14" t="str">
        <f>IFERROR(__xludf.DUMMYFUNCTION("""COMPUTED_VALUE"""),"七年級")</f>
        <v>七年級</v>
      </c>
      <c r="G720" s="14" t="str">
        <f>IFERROR(__xludf.DUMMYFUNCTION("""COMPUTED_VALUE"""),"獎狀")</f>
        <v>獎狀</v>
      </c>
      <c r="H720" s="8"/>
    </row>
    <row r="721">
      <c r="A721" s="18"/>
      <c r="B721" s="14">
        <f>IFERROR(__xludf.DUMMYFUNCTION("""COMPUTED_VALUE"""),1150399.0)</f>
        <v>1150399</v>
      </c>
      <c r="C721" s="14" t="str">
        <f>IFERROR(__xludf.DUMMYFUNCTION("""COMPUTED_VALUE"""),"梁寓閎")</f>
        <v>梁寓閎</v>
      </c>
      <c r="D721" s="16" t="str">
        <f>IFERROR(__xludf.DUMMYFUNCTION("""COMPUTED_VALUE"""),"sho*****28@gmail.com")</f>
        <v>sho*****28@gmail.com</v>
      </c>
      <c r="E721" s="17" t="str">
        <f>IFERROR(__xludf.DUMMYFUNCTION("""COMPUTED_VALUE"""),"新北市私立徐匯高級中學附設國中部")</f>
        <v>新北市私立徐匯高級中學附設國中部</v>
      </c>
      <c r="F721" s="14" t="str">
        <f>IFERROR(__xludf.DUMMYFUNCTION("""COMPUTED_VALUE"""),"七年級")</f>
        <v>七年級</v>
      </c>
      <c r="G721" s="14" t="str">
        <f>IFERROR(__xludf.DUMMYFUNCTION("""COMPUTED_VALUE"""),"獎狀")</f>
        <v>獎狀</v>
      </c>
      <c r="H721" s="8"/>
    </row>
    <row r="722">
      <c r="A722" s="18"/>
      <c r="B722" s="14">
        <f>IFERROR(__xludf.DUMMYFUNCTION("""COMPUTED_VALUE"""),1157984.0)</f>
        <v>1157984</v>
      </c>
      <c r="C722" s="14" t="str">
        <f>IFERROR(__xludf.DUMMYFUNCTION("""COMPUTED_VALUE"""),"陳佳佑")</f>
        <v>陳佳佑</v>
      </c>
      <c r="D722" s="16" t="str">
        <f>IFERROR(__xludf.DUMMYFUNCTION("""COMPUTED_VALUE"""),"ter*****99@gmail.com")</f>
        <v>ter*****99@gmail.com</v>
      </c>
      <c r="E722" s="17" t="str">
        <f>IFERROR(__xludf.DUMMYFUNCTION("""COMPUTED_VALUE"""),"新北市私立徐匯高級中學附設國中部")</f>
        <v>新北市私立徐匯高級中學附設國中部</v>
      </c>
      <c r="F722" s="14" t="str">
        <f>IFERROR(__xludf.DUMMYFUNCTION("""COMPUTED_VALUE"""),"七年級")</f>
        <v>七年級</v>
      </c>
      <c r="G722" s="14" t="str">
        <f>IFERROR(__xludf.DUMMYFUNCTION("""COMPUTED_VALUE"""),"獎狀")</f>
        <v>獎狀</v>
      </c>
      <c r="H722" s="8"/>
    </row>
    <row r="723">
      <c r="A723" s="18"/>
      <c r="B723" s="14">
        <f>IFERROR(__xludf.DUMMYFUNCTION("""COMPUTED_VALUE"""),1217056.0)</f>
        <v>1217056</v>
      </c>
      <c r="C723" s="14" t="str">
        <f>IFERROR(__xludf.DUMMYFUNCTION("""COMPUTED_VALUE"""),"陳柏翰")</f>
        <v>陳柏翰</v>
      </c>
      <c r="D723" s="16" t="str">
        <f>IFERROR(__xludf.DUMMYFUNCTION("""COMPUTED_VALUE"""),"now*****62@gmail.com")</f>
        <v>now*****62@gmail.com</v>
      </c>
      <c r="E723" s="17" t="str">
        <f>IFERROR(__xludf.DUMMYFUNCTION("""COMPUTED_VALUE"""),"新北市私立徐匯高級中學附設國中部")</f>
        <v>新北市私立徐匯高級中學附設國中部</v>
      </c>
      <c r="F723" s="14" t="str">
        <f>IFERROR(__xludf.DUMMYFUNCTION("""COMPUTED_VALUE"""),"七年級")</f>
        <v>七年級</v>
      </c>
      <c r="G723" s="14" t="str">
        <f>IFERROR(__xludf.DUMMYFUNCTION("""COMPUTED_VALUE"""),"獎狀")</f>
        <v>獎狀</v>
      </c>
      <c r="H723" s="8"/>
    </row>
    <row r="724">
      <c r="A724" s="18"/>
      <c r="B724" s="14">
        <f>IFERROR(__xludf.DUMMYFUNCTION("""COMPUTED_VALUE"""),1181832.0)</f>
        <v>1181832</v>
      </c>
      <c r="C724" s="14" t="str">
        <f>IFERROR(__xludf.DUMMYFUNCTION("""COMPUTED_VALUE"""),"蘇廷軒")</f>
        <v>蘇廷軒</v>
      </c>
      <c r="D724" s="16" t="str">
        <f>IFERROR(__xludf.DUMMYFUNCTION("""COMPUTED_VALUE"""),"alb*****5241@gmail.com")</f>
        <v>alb*****5241@gmail.com</v>
      </c>
      <c r="E724" s="17" t="str">
        <f>IFERROR(__xludf.DUMMYFUNCTION("""COMPUTED_VALUE"""),"新北市私立徐匯高級中學附設國中部")</f>
        <v>新北市私立徐匯高級中學附設國中部</v>
      </c>
      <c r="F724" s="14" t="str">
        <f>IFERROR(__xludf.DUMMYFUNCTION("""COMPUTED_VALUE"""),"七年級")</f>
        <v>七年級</v>
      </c>
      <c r="G724" s="14" t="str">
        <f>IFERROR(__xludf.DUMMYFUNCTION("""COMPUTED_VALUE"""),"獎狀")</f>
        <v>獎狀</v>
      </c>
      <c r="H724" s="8"/>
    </row>
    <row r="725">
      <c r="A725" s="18"/>
      <c r="B725" s="14">
        <f>IFERROR(__xludf.DUMMYFUNCTION("""COMPUTED_VALUE"""),1150523.0)</f>
        <v>1150523</v>
      </c>
      <c r="C725" s="14" t="str">
        <f>IFERROR(__xludf.DUMMYFUNCTION("""COMPUTED_VALUE"""),"張騰丰")</f>
        <v>張騰丰</v>
      </c>
      <c r="D725" s="16" t="str">
        <f>IFERROR(__xludf.DUMMYFUNCTION("""COMPUTED_VALUE"""),"osc*****1@apps.ntpc.edu.tw")</f>
        <v>osc*****1@apps.ntpc.edu.tw</v>
      </c>
      <c r="E725" s="17" t="str">
        <f>IFERROR(__xludf.DUMMYFUNCTION("""COMPUTED_VALUE"""),"新北市私立徐匯高級中學附設國中部")</f>
        <v>新北市私立徐匯高級中學附設國中部</v>
      </c>
      <c r="F725" s="14" t="str">
        <f>IFERROR(__xludf.DUMMYFUNCTION("""COMPUTED_VALUE"""),"七年級")</f>
        <v>七年級</v>
      </c>
      <c r="G725" s="14" t="str">
        <f>IFERROR(__xludf.DUMMYFUNCTION("""COMPUTED_VALUE"""),"●小禮物")</f>
        <v>●小禮物</v>
      </c>
      <c r="H725" s="8"/>
    </row>
    <row r="726">
      <c r="A726" s="18"/>
      <c r="B726" s="14">
        <f>IFERROR(__xludf.DUMMYFUNCTION("""COMPUTED_VALUE"""),1186114.0)</f>
        <v>1186114</v>
      </c>
      <c r="C726" s="14" t="str">
        <f>IFERROR(__xludf.DUMMYFUNCTION("""COMPUTED_VALUE"""),"唐博威")</f>
        <v>唐博威</v>
      </c>
      <c r="D726" s="16" t="str">
        <f>IFERROR(__xludf.DUMMYFUNCTION("""COMPUTED_VALUE"""),"ber*****11.ntpc@mail.edu.tw")</f>
        <v>ber*****11.ntpc@mail.edu.tw</v>
      </c>
      <c r="E726" s="17" t="str">
        <f>IFERROR(__xludf.DUMMYFUNCTION("""COMPUTED_VALUE"""),"新北市私立徐匯高級中學附設國中部")</f>
        <v>新北市私立徐匯高級中學附設國中部</v>
      </c>
      <c r="F726" s="14" t="str">
        <f>IFERROR(__xludf.DUMMYFUNCTION("""COMPUTED_VALUE"""),"七年級")</f>
        <v>七年級</v>
      </c>
      <c r="G726" s="14" t="str">
        <f>IFERROR(__xludf.DUMMYFUNCTION("""COMPUTED_VALUE"""),"●小禮物")</f>
        <v>●小禮物</v>
      </c>
      <c r="H726" s="8"/>
    </row>
    <row r="727">
      <c r="A727" s="18"/>
      <c r="B727" s="14">
        <f>IFERROR(__xludf.DUMMYFUNCTION("""COMPUTED_VALUE"""),1164080.0)</f>
        <v>1164080</v>
      </c>
      <c r="C727" s="14" t="str">
        <f>IFERROR(__xludf.DUMMYFUNCTION("""COMPUTED_VALUE"""),"陳立恩")</f>
        <v>陳立恩</v>
      </c>
      <c r="D727" s="16" t="str">
        <f>IFERROR(__xludf.DUMMYFUNCTION("""COMPUTED_VALUE"""),"hp0*****pps.ntpc.edu.tw")</f>
        <v>hp0*****pps.ntpc.edu.tw</v>
      </c>
      <c r="E727" s="17" t="str">
        <f>IFERROR(__xludf.DUMMYFUNCTION("""COMPUTED_VALUE"""),"新北市私立徐匯高級中學附設國中部")</f>
        <v>新北市私立徐匯高級中學附設國中部</v>
      </c>
      <c r="F727" s="14" t="str">
        <f>IFERROR(__xludf.DUMMYFUNCTION("""COMPUTED_VALUE"""),"七年級")</f>
        <v>七年級</v>
      </c>
      <c r="G727" s="14" t="str">
        <f>IFERROR(__xludf.DUMMYFUNCTION("""COMPUTED_VALUE"""),"●小禮物")</f>
        <v>●小禮物</v>
      </c>
      <c r="H727" s="8"/>
    </row>
    <row r="728">
      <c r="A728" s="18"/>
      <c r="B728" s="14">
        <f>IFERROR(__xludf.DUMMYFUNCTION("""COMPUTED_VALUE"""),1208770.0)</f>
        <v>1208770</v>
      </c>
      <c r="C728" s="14" t="str">
        <f>IFERROR(__xludf.DUMMYFUNCTION("""COMPUTED_VALUE"""),"趙亮銓")</f>
        <v>趙亮銓</v>
      </c>
      <c r="D728" s="16" t="str">
        <f>IFERROR(__xludf.DUMMYFUNCTION("""COMPUTED_VALUE"""),"mik*****@apps.ntpc.edu.tw")</f>
        <v>mik*****@apps.ntpc.edu.tw</v>
      </c>
      <c r="E728" s="17" t="str">
        <f>IFERROR(__xludf.DUMMYFUNCTION("""COMPUTED_VALUE"""),"新北市私立徐匯高級中學附設國中部")</f>
        <v>新北市私立徐匯高級中學附設國中部</v>
      </c>
      <c r="F728" s="14" t="str">
        <f>IFERROR(__xludf.DUMMYFUNCTION("""COMPUTED_VALUE"""),"七年級")</f>
        <v>七年級</v>
      </c>
      <c r="G728" s="14" t="str">
        <f>IFERROR(__xludf.DUMMYFUNCTION("""COMPUTED_VALUE"""),"●小禮物")</f>
        <v>●小禮物</v>
      </c>
      <c r="H728" s="8"/>
    </row>
    <row r="729">
      <c r="A729" s="18"/>
      <c r="B729" s="14">
        <f>IFERROR(__xludf.DUMMYFUNCTION("""COMPUTED_VALUE"""),1217009.0)</f>
        <v>1217009</v>
      </c>
      <c r="C729" s="14" t="str">
        <f>IFERROR(__xludf.DUMMYFUNCTION("""COMPUTED_VALUE"""),"林室澄")</f>
        <v>林室澄</v>
      </c>
      <c r="D729" s="16" t="str">
        <f>IFERROR(__xludf.DUMMYFUNCTION("""COMPUTED_VALUE"""),"kik*****27@gmail.com")</f>
        <v>kik*****27@gmail.com</v>
      </c>
      <c r="E729" s="17" t="str">
        <f>IFERROR(__xludf.DUMMYFUNCTION("""COMPUTED_VALUE"""),"新北市私立徐匯高級中學附設國中部")</f>
        <v>新北市私立徐匯高級中學附設國中部</v>
      </c>
      <c r="F729" s="14" t="str">
        <f>IFERROR(__xludf.DUMMYFUNCTION("""COMPUTED_VALUE"""),"七年級")</f>
        <v>七年級</v>
      </c>
      <c r="G729" s="14" t="str">
        <f>IFERROR(__xludf.DUMMYFUNCTION("""COMPUTED_VALUE"""),"★禮券$500")</f>
        <v>★禮券$500</v>
      </c>
      <c r="H729" s="8"/>
    </row>
    <row r="730">
      <c r="A730" s="18"/>
      <c r="B730" s="14">
        <f>IFERROR(__xludf.DUMMYFUNCTION("""COMPUTED_VALUE"""),1208083.0)</f>
        <v>1208083</v>
      </c>
      <c r="C730" s="14" t="str">
        <f>IFERROR(__xludf.DUMMYFUNCTION("""COMPUTED_VALUE"""),"黃昱昇")</f>
        <v>黃昱昇</v>
      </c>
      <c r="D730" s="16" t="str">
        <f>IFERROR(__xludf.DUMMYFUNCTION("""COMPUTED_VALUE"""),"moo*****581669@gmail.com")</f>
        <v>moo*****581669@gmail.com</v>
      </c>
      <c r="E730" s="17" t="str">
        <f>IFERROR(__xludf.DUMMYFUNCTION("""COMPUTED_VALUE"""),"新北市私立徐匯高級中學附設國中部")</f>
        <v>新北市私立徐匯高級中學附設國中部</v>
      </c>
      <c r="F730" s="14" t="str">
        <f>IFERROR(__xludf.DUMMYFUNCTION("""COMPUTED_VALUE"""),"七年級")</f>
        <v>七年級</v>
      </c>
      <c r="G730" s="14" t="str">
        <f>IFERROR(__xludf.DUMMYFUNCTION("""COMPUTED_VALUE"""),"★禮券$500")</f>
        <v>★禮券$500</v>
      </c>
      <c r="H730" s="8"/>
    </row>
    <row r="731">
      <c r="A731" s="18"/>
      <c r="B731" s="14">
        <f>IFERROR(__xludf.DUMMYFUNCTION("""COMPUTED_VALUE"""),1151162.0)</f>
        <v>1151162</v>
      </c>
      <c r="C731" s="14" t="str">
        <f>IFERROR(__xludf.DUMMYFUNCTION("""COMPUTED_VALUE"""),"李文斌")</f>
        <v>李文斌</v>
      </c>
      <c r="D731" s="16" t="str">
        <f>IFERROR(__xludf.DUMMYFUNCTION("""COMPUTED_VALUE"""),"kr1*****07@gmail.com")</f>
        <v>kr1*****07@gmail.com</v>
      </c>
      <c r="E731" s="17" t="str">
        <f>IFERROR(__xludf.DUMMYFUNCTION("""COMPUTED_VALUE"""),"新北市私立徐匯高級中學附設國中部")</f>
        <v>新北市私立徐匯高級中學附設國中部</v>
      </c>
      <c r="F731" s="14" t="str">
        <f>IFERROR(__xludf.DUMMYFUNCTION("""COMPUTED_VALUE"""),"七年級")</f>
        <v>七年級</v>
      </c>
      <c r="G731" s="14" t="str">
        <f>IFERROR(__xludf.DUMMYFUNCTION("""COMPUTED_VALUE"""),"獎狀")</f>
        <v>獎狀</v>
      </c>
      <c r="H731" s="8"/>
    </row>
    <row r="732">
      <c r="A732" s="18"/>
      <c r="B732" s="14">
        <f>IFERROR(__xludf.DUMMYFUNCTION("""COMPUTED_VALUE"""),1151729.0)</f>
        <v>1151729</v>
      </c>
      <c r="C732" s="14" t="str">
        <f>IFERROR(__xludf.DUMMYFUNCTION("""COMPUTED_VALUE"""),"李穎叡")</f>
        <v>李穎叡</v>
      </c>
      <c r="D732" s="16" t="str">
        <f>IFERROR(__xludf.DUMMYFUNCTION("""COMPUTED_VALUE"""),"dan*****29.ntpc@mail.edu.tw")</f>
        <v>dan*****29.ntpc@mail.edu.tw</v>
      </c>
      <c r="E732" s="17" t="str">
        <f>IFERROR(__xludf.DUMMYFUNCTION("""COMPUTED_VALUE"""),"新北市私立徐匯高級中學附設國中部")</f>
        <v>新北市私立徐匯高級中學附設國中部</v>
      </c>
      <c r="F732" s="14" t="str">
        <f>IFERROR(__xludf.DUMMYFUNCTION("""COMPUTED_VALUE"""),"七年級")</f>
        <v>七年級</v>
      </c>
      <c r="G732" s="14" t="str">
        <f>IFERROR(__xludf.DUMMYFUNCTION("""COMPUTED_VALUE"""),"獎狀")</f>
        <v>獎狀</v>
      </c>
      <c r="H732" s="8"/>
    </row>
    <row r="733">
      <c r="A733" s="18"/>
      <c r="B733" s="14">
        <f>IFERROR(__xludf.DUMMYFUNCTION("""COMPUTED_VALUE"""),1217073.0)</f>
        <v>1217073</v>
      </c>
      <c r="C733" s="14" t="str">
        <f>IFERROR(__xludf.DUMMYFUNCTION("""COMPUTED_VALUE"""),"林哲宇")</f>
        <v>林哲宇</v>
      </c>
      <c r="D733" s="16" t="str">
        <f>IFERROR(__xludf.DUMMYFUNCTION("""COMPUTED_VALUE"""),"jhe*****0904@gmail.com")</f>
        <v>jhe*****0904@gmail.com</v>
      </c>
      <c r="E733" s="17" t="str">
        <f>IFERROR(__xludf.DUMMYFUNCTION("""COMPUTED_VALUE"""),"新北市私立徐匯高級中學附設國中部")</f>
        <v>新北市私立徐匯高級中學附設國中部</v>
      </c>
      <c r="F733" s="14" t="str">
        <f>IFERROR(__xludf.DUMMYFUNCTION("""COMPUTED_VALUE"""),"七年級")</f>
        <v>七年級</v>
      </c>
      <c r="G733" s="14" t="str">
        <f>IFERROR(__xludf.DUMMYFUNCTION("""COMPUTED_VALUE"""),"獎狀")</f>
        <v>獎狀</v>
      </c>
      <c r="H733" s="8"/>
    </row>
    <row r="734">
      <c r="A734" s="18"/>
      <c r="B734" s="14">
        <f>IFERROR(__xludf.DUMMYFUNCTION("""COMPUTED_VALUE"""),1159422.0)</f>
        <v>1159422</v>
      </c>
      <c r="C734" s="14" t="str">
        <f>IFERROR(__xludf.DUMMYFUNCTION("""COMPUTED_VALUE"""),"張宥恩")</f>
        <v>張宥恩</v>
      </c>
      <c r="D734" s="16" t="str">
        <f>IFERROR(__xludf.DUMMYFUNCTION("""COMPUTED_VALUE"""),"s10*****6.ntpc@mail.edu.tw")</f>
        <v>s10*****6.ntpc@mail.edu.tw</v>
      </c>
      <c r="E734" s="17" t="str">
        <f>IFERROR(__xludf.DUMMYFUNCTION("""COMPUTED_VALUE"""),"新北市私立徐匯高級中學附設國中部")</f>
        <v>新北市私立徐匯高級中學附設國中部</v>
      </c>
      <c r="F734" s="14" t="str">
        <f>IFERROR(__xludf.DUMMYFUNCTION("""COMPUTED_VALUE"""),"七年級")</f>
        <v>七年級</v>
      </c>
      <c r="G734" s="14" t="str">
        <f>IFERROR(__xludf.DUMMYFUNCTION("""COMPUTED_VALUE"""),"獎狀")</f>
        <v>獎狀</v>
      </c>
      <c r="H734" s="8"/>
    </row>
    <row r="735">
      <c r="A735" s="18"/>
      <c r="B735" s="14">
        <f>IFERROR(__xludf.DUMMYFUNCTION("""COMPUTED_VALUE"""),1199550.0)</f>
        <v>1199550</v>
      </c>
      <c r="C735" s="14" t="str">
        <f>IFERROR(__xludf.DUMMYFUNCTION("""COMPUTED_VALUE"""),"張宥崴")</f>
        <v>張宥崴</v>
      </c>
      <c r="D735" s="16" t="str">
        <f>IFERROR(__xludf.DUMMYFUNCTION("""COMPUTED_VALUE"""),"zha*****wai326@gmail.com")</f>
        <v>zha*****wai326@gmail.com</v>
      </c>
      <c r="E735" s="17" t="str">
        <f>IFERROR(__xludf.DUMMYFUNCTION("""COMPUTED_VALUE"""),"新北市私立徐匯高級中學附設國中部")</f>
        <v>新北市私立徐匯高級中學附設國中部</v>
      </c>
      <c r="F735" s="14" t="str">
        <f>IFERROR(__xludf.DUMMYFUNCTION("""COMPUTED_VALUE"""),"七年級")</f>
        <v>七年級</v>
      </c>
      <c r="G735" s="14" t="str">
        <f>IFERROR(__xludf.DUMMYFUNCTION("""COMPUTED_VALUE"""),"獎狀")</f>
        <v>獎狀</v>
      </c>
      <c r="H735" s="8"/>
    </row>
    <row r="736">
      <c r="A736" s="18"/>
      <c r="B736" s="14">
        <f>IFERROR(__xludf.DUMMYFUNCTION("""COMPUTED_VALUE"""),480820.0)</f>
        <v>480820</v>
      </c>
      <c r="C736" s="14" t="str">
        <f>IFERROR(__xludf.DUMMYFUNCTION("""COMPUTED_VALUE"""),"陳建存")</f>
        <v>陳建存</v>
      </c>
      <c r="D736" s="16" t="str">
        <f>IFERROR(__xludf.DUMMYFUNCTION("""COMPUTED_VALUE"""),"lu1*****.ntpc@mail.edu.tw")</f>
        <v>lu1*****.ntpc@mail.edu.tw</v>
      </c>
      <c r="E736" s="17" t="str">
        <f>IFERROR(__xludf.DUMMYFUNCTION("""COMPUTED_VALUE"""),"新北市私立徐匯高級中學附設國中部")</f>
        <v>新北市私立徐匯高級中學附設國中部</v>
      </c>
      <c r="F736" s="14" t="str">
        <f>IFERROR(__xludf.DUMMYFUNCTION("""COMPUTED_VALUE"""),"七年級")</f>
        <v>七年級</v>
      </c>
      <c r="G736" s="14" t="str">
        <f>IFERROR(__xludf.DUMMYFUNCTION("""COMPUTED_VALUE"""),"獎狀")</f>
        <v>獎狀</v>
      </c>
      <c r="H736" s="8"/>
    </row>
    <row r="737">
      <c r="A737" s="18"/>
      <c r="B737" s="14">
        <f>IFERROR(__xludf.DUMMYFUNCTION("""COMPUTED_VALUE"""),1216984.0)</f>
        <v>1216984</v>
      </c>
      <c r="C737" s="14" t="str">
        <f>IFERROR(__xludf.DUMMYFUNCTION("""COMPUTED_VALUE"""),"葉洧岑")</f>
        <v>葉洧岑</v>
      </c>
      <c r="D737" s="16" t="str">
        <f>IFERROR(__xludf.DUMMYFUNCTION("""COMPUTED_VALUE"""),"tho*****11@apps.ntpc.edu.tw")</f>
        <v>tho*****11@apps.ntpc.edu.tw</v>
      </c>
      <c r="E737" s="17" t="str">
        <f>IFERROR(__xludf.DUMMYFUNCTION("""COMPUTED_VALUE"""),"新北市私立徐匯高級中學附設國中部")</f>
        <v>新北市私立徐匯高級中學附設國中部</v>
      </c>
      <c r="F737" s="14" t="str">
        <f>IFERROR(__xludf.DUMMYFUNCTION("""COMPUTED_VALUE"""),"七年級")</f>
        <v>七年級</v>
      </c>
      <c r="G737" s="14" t="str">
        <f>IFERROR(__xludf.DUMMYFUNCTION("""COMPUTED_VALUE"""),"獎狀")</f>
        <v>獎狀</v>
      </c>
      <c r="H737" s="8"/>
    </row>
    <row r="738">
      <c r="A738" s="18"/>
      <c r="B738" s="14">
        <f>IFERROR(__xludf.DUMMYFUNCTION("""COMPUTED_VALUE"""),1085833.0)</f>
        <v>1085833</v>
      </c>
      <c r="C738" s="14" t="str">
        <f>IFERROR(__xludf.DUMMYFUNCTION("""COMPUTED_VALUE"""),"謝秉學")</f>
        <v>謝秉學</v>
      </c>
      <c r="D738" s="16" t="str">
        <f>IFERROR(__xludf.DUMMYFUNCTION("""COMPUTED_VALUE"""),"pag*****gamolces@gmail.com")</f>
        <v>pag*****gamolces@gmail.com</v>
      </c>
      <c r="E738" s="17" t="str">
        <f>IFERROR(__xludf.DUMMYFUNCTION("""COMPUTED_VALUE"""),"新北市立鷺江國民中學")</f>
        <v>新北市立鷺江國民中學</v>
      </c>
      <c r="F738" s="14" t="str">
        <f>IFERROR(__xludf.DUMMYFUNCTION("""COMPUTED_VALUE"""),"七年級")</f>
        <v>七年級</v>
      </c>
      <c r="G738" s="14" t="str">
        <f>IFERROR(__xludf.DUMMYFUNCTION("""COMPUTED_VALUE"""),"●小禮物")</f>
        <v>●小禮物</v>
      </c>
      <c r="H738" s="8"/>
    </row>
    <row r="739">
      <c r="A739" s="18"/>
      <c r="B739" s="14">
        <f>IFERROR(__xludf.DUMMYFUNCTION("""COMPUTED_VALUE"""),1177791.0)</f>
        <v>1177791</v>
      </c>
      <c r="C739" s="14" t="str">
        <f>IFERROR(__xludf.DUMMYFUNCTION("""COMPUTED_VALUE"""),"賴泓達")</f>
        <v>賴泓達</v>
      </c>
      <c r="D739" s="16" t="str">
        <f>IFERROR(__xludf.DUMMYFUNCTION("""COMPUTED_VALUE"""),"d10*****ntpc@mail.edu.tw")</f>
        <v>d10*****ntpc@mail.edu.tw</v>
      </c>
      <c r="E739" s="17" t="str">
        <f>IFERROR(__xludf.DUMMYFUNCTION("""COMPUTED_VALUE"""),"新北市立五股國民中學")</f>
        <v>新北市立五股國民中學</v>
      </c>
      <c r="F739" s="14" t="str">
        <f>IFERROR(__xludf.DUMMYFUNCTION("""COMPUTED_VALUE"""),"八年級")</f>
        <v>八年級</v>
      </c>
      <c r="G739" s="14" t="str">
        <f>IFERROR(__xludf.DUMMYFUNCTION("""COMPUTED_VALUE"""),"●小禮物")</f>
        <v>●小禮物</v>
      </c>
      <c r="H739" s="8"/>
    </row>
    <row r="740">
      <c r="A740" s="18"/>
      <c r="B740" s="14">
        <f>IFERROR(__xludf.DUMMYFUNCTION("""COMPUTED_VALUE"""),1184845.0)</f>
        <v>1184845</v>
      </c>
      <c r="C740" s="14" t="str">
        <f>IFERROR(__xludf.DUMMYFUNCTION("""COMPUTED_VALUE"""),"洪詩涵")</f>
        <v>洪詩涵</v>
      </c>
      <c r="D740" s="16" t="str">
        <f>IFERROR(__xludf.DUMMYFUNCTION("""COMPUTED_VALUE"""),"d10*****apps.ntpc.edu.tw")</f>
        <v>d10*****apps.ntpc.edu.tw</v>
      </c>
      <c r="E740" s="17" t="str">
        <f>IFERROR(__xludf.DUMMYFUNCTION("""COMPUTED_VALUE"""),"新北市立五股國民中學")</f>
        <v>新北市立五股國民中學</v>
      </c>
      <c r="F740" s="14" t="str">
        <f>IFERROR(__xludf.DUMMYFUNCTION("""COMPUTED_VALUE"""),"八年級")</f>
        <v>八年級</v>
      </c>
      <c r="G740" s="14" t="str">
        <f>IFERROR(__xludf.DUMMYFUNCTION("""COMPUTED_VALUE"""),"獎狀")</f>
        <v>獎狀</v>
      </c>
      <c r="H740" s="8"/>
    </row>
    <row r="741">
      <c r="A741" s="18"/>
      <c r="B741" s="14">
        <f>IFERROR(__xludf.DUMMYFUNCTION("""COMPUTED_VALUE"""),1177927.0)</f>
        <v>1177927</v>
      </c>
      <c r="C741" s="14" t="str">
        <f>IFERROR(__xludf.DUMMYFUNCTION("""COMPUTED_VALUE"""),"李妮臻")</f>
        <v>李妮臻</v>
      </c>
      <c r="D741" s="16" t="str">
        <f>IFERROR(__xludf.DUMMYFUNCTION("""COMPUTED_VALUE"""),"d10*****ntpc@mail.edu.tw")</f>
        <v>d10*****ntpc@mail.edu.tw</v>
      </c>
      <c r="E741" s="17" t="str">
        <f>IFERROR(__xludf.DUMMYFUNCTION("""COMPUTED_VALUE"""),"新北市立五股國民中學")</f>
        <v>新北市立五股國民中學</v>
      </c>
      <c r="F741" s="14" t="str">
        <f>IFERROR(__xludf.DUMMYFUNCTION("""COMPUTED_VALUE"""),"八年級")</f>
        <v>八年級</v>
      </c>
      <c r="G741" s="14" t="str">
        <f>IFERROR(__xludf.DUMMYFUNCTION("""COMPUTED_VALUE"""),"●小禮物")</f>
        <v>●小禮物</v>
      </c>
      <c r="H741" s="8"/>
    </row>
    <row r="742">
      <c r="A742" s="18"/>
      <c r="B742" s="14">
        <f>IFERROR(__xludf.DUMMYFUNCTION("""COMPUTED_VALUE"""),1177868.0)</f>
        <v>1177868</v>
      </c>
      <c r="C742" s="14" t="str">
        <f>IFERROR(__xludf.DUMMYFUNCTION("""COMPUTED_VALUE"""),"劉家姍")</f>
        <v>劉家姍</v>
      </c>
      <c r="D742" s="16" t="str">
        <f>IFERROR(__xludf.DUMMYFUNCTION("""COMPUTED_VALUE"""),"w30*****tpc@mail.edu.tw")</f>
        <v>w30*****tpc@mail.edu.tw</v>
      </c>
      <c r="E742" s="17" t="str">
        <f>IFERROR(__xludf.DUMMYFUNCTION("""COMPUTED_VALUE"""),"新北市立五股國民中學")</f>
        <v>新北市立五股國民中學</v>
      </c>
      <c r="F742" s="14" t="str">
        <f>IFERROR(__xludf.DUMMYFUNCTION("""COMPUTED_VALUE"""),"八年級")</f>
        <v>八年級</v>
      </c>
      <c r="G742" s="14" t="str">
        <f>IFERROR(__xludf.DUMMYFUNCTION("""COMPUTED_VALUE"""),"獎狀")</f>
        <v>獎狀</v>
      </c>
      <c r="H742" s="8"/>
    </row>
    <row r="743">
      <c r="A743" s="18"/>
      <c r="B743" s="14">
        <f>IFERROR(__xludf.DUMMYFUNCTION("""COMPUTED_VALUE"""),1177775.0)</f>
        <v>1177775</v>
      </c>
      <c r="C743" s="14" t="str">
        <f>IFERROR(__xludf.DUMMYFUNCTION("""COMPUTED_VALUE"""),"徐煒傑")</f>
        <v>徐煒傑</v>
      </c>
      <c r="D743" s="16" t="str">
        <f>IFERROR(__xludf.DUMMYFUNCTION("""COMPUTED_VALUE"""),"r10*****ntpc@mail.edu.tw")</f>
        <v>r10*****ntpc@mail.edu.tw</v>
      </c>
      <c r="E743" s="17" t="str">
        <f>IFERROR(__xludf.DUMMYFUNCTION("""COMPUTED_VALUE"""),"新北市立五股國民中學")</f>
        <v>新北市立五股國民中學</v>
      </c>
      <c r="F743" s="14" t="str">
        <f>IFERROR(__xludf.DUMMYFUNCTION("""COMPUTED_VALUE"""),"八年級")</f>
        <v>八年級</v>
      </c>
      <c r="G743" s="14" t="str">
        <f>IFERROR(__xludf.DUMMYFUNCTION("""COMPUTED_VALUE"""),"●小禮物")</f>
        <v>●小禮物</v>
      </c>
      <c r="H743" s="8"/>
    </row>
    <row r="744">
      <c r="A744" s="18"/>
      <c r="B744" s="14">
        <f>IFERROR(__xludf.DUMMYFUNCTION("""COMPUTED_VALUE"""),638435.0)</f>
        <v>638435</v>
      </c>
      <c r="C744" s="14" t="str">
        <f>IFERROR(__xludf.DUMMYFUNCTION("""COMPUTED_VALUE"""),"陳冠宏")</f>
        <v>陳冠宏</v>
      </c>
      <c r="D744" s="16" t="str">
        <f>IFERROR(__xludf.DUMMYFUNCTION("""COMPUTED_VALUE"""),"hen*****8.ntpc@mail.edu.tw")</f>
        <v>hen*****8.ntpc@mail.edu.tw</v>
      </c>
      <c r="E744" s="17" t="str">
        <f>IFERROR(__xludf.DUMMYFUNCTION("""COMPUTED_VALUE"""),"新北市立五股國民中學")</f>
        <v>新北市立五股國民中學</v>
      </c>
      <c r="F744" s="14" t="str">
        <f>IFERROR(__xludf.DUMMYFUNCTION("""COMPUTED_VALUE"""),"八年級")</f>
        <v>八年級</v>
      </c>
      <c r="G744" s="14" t="str">
        <f>IFERROR(__xludf.DUMMYFUNCTION("""COMPUTED_VALUE"""),"●小禮物")</f>
        <v>●小禮物</v>
      </c>
      <c r="H744" s="8"/>
    </row>
    <row r="745">
      <c r="A745" s="18"/>
      <c r="B745" s="14">
        <f>IFERROR(__xludf.DUMMYFUNCTION("""COMPUTED_VALUE"""),1177793.0)</f>
        <v>1177793</v>
      </c>
      <c r="C745" s="14" t="str">
        <f>IFERROR(__xludf.DUMMYFUNCTION("""COMPUTED_VALUE"""),"蔡旻祥")</f>
        <v>蔡旻祥</v>
      </c>
      <c r="D745" s="16" t="str">
        <f>IFERROR(__xludf.DUMMYFUNCTION("""COMPUTED_VALUE"""),"aa0*****c@mail.edu.tw")</f>
        <v>aa0*****c@mail.edu.tw</v>
      </c>
      <c r="E745" s="17" t="str">
        <f>IFERROR(__xludf.DUMMYFUNCTION("""COMPUTED_VALUE"""),"新北市立五股國民中學")</f>
        <v>新北市立五股國民中學</v>
      </c>
      <c r="F745" s="14" t="str">
        <f>IFERROR(__xludf.DUMMYFUNCTION("""COMPUTED_VALUE"""),"八年級")</f>
        <v>八年級</v>
      </c>
      <c r="G745" s="14" t="str">
        <f>IFERROR(__xludf.DUMMYFUNCTION("""COMPUTED_VALUE"""),"●小禮物")</f>
        <v>●小禮物</v>
      </c>
      <c r="H745" s="8"/>
    </row>
    <row r="746">
      <c r="A746" s="18"/>
      <c r="B746" s="14">
        <f>IFERROR(__xludf.DUMMYFUNCTION("""COMPUTED_VALUE"""),1177744.0)</f>
        <v>1177744</v>
      </c>
      <c r="C746" s="14" t="str">
        <f>IFERROR(__xludf.DUMMYFUNCTION("""COMPUTED_VALUE"""),"鄭喜愷")</f>
        <v>鄭喜愷</v>
      </c>
      <c r="D746" s="16" t="str">
        <f>IFERROR(__xludf.DUMMYFUNCTION("""COMPUTED_VALUE"""),"wwa*****@mail.edu.tw")</f>
        <v>wwa*****@mail.edu.tw</v>
      </c>
      <c r="E746" s="17" t="str">
        <f>IFERROR(__xludf.DUMMYFUNCTION("""COMPUTED_VALUE"""),"新北市立五股國民中學")</f>
        <v>新北市立五股國民中學</v>
      </c>
      <c r="F746" s="14" t="str">
        <f>IFERROR(__xludf.DUMMYFUNCTION("""COMPUTED_VALUE"""),"八年級")</f>
        <v>八年級</v>
      </c>
      <c r="G746" s="14" t="str">
        <f>IFERROR(__xludf.DUMMYFUNCTION("""COMPUTED_VALUE"""),"●小禮物")</f>
        <v>●小禮物</v>
      </c>
      <c r="H746" s="8"/>
    </row>
    <row r="747">
      <c r="A747" s="18"/>
      <c r="B747" s="14">
        <f>IFERROR(__xludf.DUMMYFUNCTION("""COMPUTED_VALUE"""),1177789.0)</f>
        <v>1177789</v>
      </c>
      <c r="C747" s="14" t="str">
        <f>IFERROR(__xludf.DUMMYFUNCTION("""COMPUTED_VALUE"""),"馮宣綺")</f>
        <v>馮宣綺</v>
      </c>
      <c r="D747" s="16" t="str">
        <f>IFERROR(__xludf.DUMMYFUNCTION("""COMPUTED_VALUE"""),"z97*****ntpc@mail.edu.tw")</f>
        <v>z97*****ntpc@mail.edu.tw</v>
      </c>
      <c r="E747" s="17" t="str">
        <f>IFERROR(__xludf.DUMMYFUNCTION("""COMPUTED_VALUE"""),"新北市立五股國民中學")</f>
        <v>新北市立五股國民中學</v>
      </c>
      <c r="F747" s="14" t="str">
        <f>IFERROR(__xludf.DUMMYFUNCTION("""COMPUTED_VALUE"""),"八年級")</f>
        <v>八年級</v>
      </c>
      <c r="G747" s="14" t="str">
        <f>IFERROR(__xludf.DUMMYFUNCTION("""COMPUTED_VALUE"""),"★禮券$200")</f>
        <v>★禮券$200</v>
      </c>
      <c r="H747" s="8"/>
    </row>
    <row r="748">
      <c r="A748" s="18"/>
      <c r="B748" s="14">
        <f>IFERROR(__xludf.DUMMYFUNCTION("""COMPUTED_VALUE"""),1177742.0)</f>
        <v>1177742</v>
      </c>
      <c r="C748" s="14" t="str">
        <f>IFERROR(__xludf.DUMMYFUNCTION("""COMPUTED_VALUE"""),"謝均佑")</f>
        <v>謝均佑</v>
      </c>
      <c r="D748" s="16" t="str">
        <f>IFERROR(__xludf.DUMMYFUNCTION("""COMPUTED_VALUE"""),"rge*****11@mail.edu.tw")</f>
        <v>rge*****11@mail.edu.tw</v>
      </c>
      <c r="E748" s="17" t="str">
        <f>IFERROR(__xludf.DUMMYFUNCTION("""COMPUTED_VALUE"""),"新北市立五股國民中學")</f>
        <v>新北市立五股國民中學</v>
      </c>
      <c r="F748" s="14" t="str">
        <f>IFERROR(__xludf.DUMMYFUNCTION("""COMPUTED_VALUE"""),"八年級")</f>
        <v>八年級</v>
      </c>
      <c r="G748" s="14" t="str">
        <f>IFERROR(__xludf.DUMMYFUNCTION("""COMPUTED_VALUE"""),"★禮券$500")</f>
        <v>★禮券$500</v>
      </c>
      <c r="H748" s="8"/>
    </row>
    <row r="749">
      <c r="A749" s="18"/>
      <c r="B749" s="14">
        <f>IFERROR(__xludf.DUMMYFUNCTION("""COMPUTED_VALUE"""),1190032.0)</f>
        <v>1190032</v>
      </c>
      <c r="C749" s="14" t="str">
        <f>IFERROR(__xludf.DUMMYFUNCTION("""COMPUTED_VALUE"""),"周妤欣")</f>
        <v>周妤欣</v>
      </c>
      <c r="D749" s="16" t="str">
        <f>IFERROR(__xludf.DUMMYFUNCTION("""COMPUTED_VALUE"""),"d40*****tpc@mail.edu.tw")</f>
        <v>d40*****tpc@mail.edu.tw</v>
      </c>
      <c r="E749" s="17" t="str">
        <f>IFERROR(__xludf.DUMMYFUNCTION("""COMPUTED_VALUE"""),"新北市立五股國民中學")</f>
        <v>新北市立五股國民中學</v>
      </c>
      <c r="F749" s="14" t="str">
        <f>IFERROR(__xludf.DUMMYFUNCTION("""COMPUTED_VALUE"""),"八年級")</f>
        <v>八年級</v>
      </c>
      <c r="G749" s="14" t="str">
        <f>IFERROR(__xludf.DUMMYFUNCTION("""COMPUTED_VALUE"""),"獎狀")</f>
        <v>獎狀</v>
      </c>
      <c r="H749" s="8"/>
    </row>
    <row r="750">
      <c r="A750" s="18"/>
      <c r="B750" s="14">
        <f>IFERROR(__xludf.DUMMYFUNCTION("""COMPUTED_VALUE"""),1152490.0)</f>
        <v>1152490</v>
      </c>
      <c r="C750" s="14" t="str">
        <f>IFERROR(__xludf.DUMMYFUNCTION("""COMPUTED_VALUE"""),"林于喬")</f>
        <v>林于喬</v>
      </c>
      <c r="D750" s="16" t="str">
        <f>IFERROR(__xludf.DUMMYFUNCTION("""COMPUTED_VALUE"""),"w30*****tpc@mail.edu.tw")</f>
        <v>w30*****tpc@mail.edu.tw</v>
      </c>
      <c r="E750" s="17" t="str">
        <f>IFERROR(__xludf.DUMMYFUNCTION("""COMPUTED_VALUE"""),"新北市立五股國民中學")</f>
        <v>新北市立五股國民中學</v>
      </c>
      <c r="F750" s="14" t="str">
        <f>IFERROR(__xludf.DUMMYFUNCTION("""COMPUTED_VALUE"""),"八年級")</f>
        <v>八年級</v>
      </c>
      <c r="G750" s="14" t="str">
        <f>IFERROR(__xludf.DUMMYFUNCTION("""COMPUTED_VALUE"""),"獎狀")</f>
        <v>獎狀</v>
      </c>
      <c r="H750" s="8"/>
    </row>
    <row r="751">
      <c r="A751" s="18"/>
      <c r="B751" s="14">
        <f>IFERROR(__xludf.DUMMYFUNCTION("""COMPUTED_VALUE"""),1177788.0)</f>
        <v>1177788</v>
      </c>
      <c r="C751" s="14" t="str">
        <f>IFERROR(__xludf.DUMMYFUNCTION("""COMPUTED_VALUE"""),"林思儀")</f>
        <v>林思儀</v>
      </c>
      <c r="D751" s="16" t="str">
        <f>IFERROR(__xludf.DUMMYFUNCTION("""COMPUTED_VALUE"""),"w30*****tpc@mail.edu.tw")</f>
        <v>w30*****tpc@mail.edu.tw</v>
      </c>
      <c r="E751" s="17" t="str">
        <f>IFERROR(__xludf.DUMMYFUNCTION("""COMPUTED_VALUE"""),"新北市立五股國民中學")</f>
        <v>新北市立五股國民中學</v>
      </c>
      <c r="F751" s="14" t="str">
        <f>IFERROR(__xludf.DUMMYFUNCTION("""COMPUTED_VALUE"""),"八年級")</f>
        <v>八年級</v>
      </c>
      <c r="G751" s="14" t="str">
        <f>IFERROR(__xludf.DUMMYFUNCTION("""COMPUTED_VALUE"""),"獎狀")</f>
        <v>獎狀</v>
      </c>
      <c r="H751" s="8"/>
    </row>
    <row r="752">
      <c r="A752" s="18"/>
      <c r="B752" s="14">
        <f>IFERROR(__xludf.DUMMYFUNCTION("""COMPUTED_VALUE"""),1177741.0)</f>
        <v>1177741</v>
      </c>
      <c r="C752" s="14" t="str">
        <f>IFERROR(__xludf.DUMMYFUNCTION("""COMPUTED_VALUE"""),"林煜杰")</f>
        <v>林煜杰</v>
      </c>
      <c r="D752" s="16" t="str">
        <f>IFERROR(__xludf.DUMMYFUNCTION("""COMPUTED_VALUE"""),"cz1*****.ntpc@mail.edu.tw")</f>
        <v>cz1*****.ntpc@mail.edu.tw</v>
      </c>
      <c r="E752" s="17" t="str">
        <f>IFERROR(__xludf.DUMMYFUNCTION("""COMPUTED_VALUE"""),"新北市立五股國民中學")</f>
        <v>新北市立五股國民中學</v>
      </c>
      <c r="F752" s="14" t="str">
        <f>IFERROR(__xludf.DUMMYFUNCTION("""COMPUTED_VALUE"""),"八年級")</f>
        <v>八年級</v>
      </c>
      <c r="G752" s="14" t="str">
        <f>IFERROR(__xludf.DUMMYFUNCTION("""COMPUTED_VALUE"""),"獎狀")</f>
        <v>獎狀</v>
      </c>
      <c r="H752" s="8"/>
    </row>
    <row r="753">
      <c r="A753" s="18"/>
      <c r="B753" s="14">
        <f>IFERROR(__xludf.DUMMYFUNCTION("""COMPUTED_VALUE"""),1177778.0)</f>
        <v>1177778</v>
      </c>
      <c r="C753" s="14" t="str">
        <f>IFERROR(__xludf.DUMMYFUNCTION("""COMPUTED_VALUE"""),"邵可璇")</f>
        <v>邵可璇</v>
      </c>
      <c r="D753" s="16" t="str">
        <f>IFERROR(__xludf.DUMMYFUNCTION("""COMPUTED_VALUE"""),"b40*****ail.edu.tw")</f>
        <v>b40*****ail.edu.tw</v>
      </c>
      <c r="E753" s="17" t="str">
        <f>IFERROR(__xludf.DUMMYFUNCTION("""COMPUTED_VALUE"""),"新北市立五股國民中學")</f>
        <v>新北市立五股國民中學</v>
      </c>
      <c r="F753" s="14" t="str">
        <f>IFERROR(__xludf.DUMMYFUNCTION("""COMPUTED_VALUE"""),"八年級")</f>
        <v>八年級</v>
      </c>
      <c r="G753" s="14" t="str">
        <f>IFERROR(__xludf.DUMMYFUNCTION("""COMPUTED_VALUE"""),"獎狀")</f>
        <v>獎狀</v>
      </c>
      <c r="H753" s="8"/>
    </row>
    <row r="754">
      <c r="A754" s="18"/>
      <c r="B754" s="14">
        <f>IFERROR(__xludf.DUMMYFUNCTION("""COMPUTED_VALUE"""),1177784.0)</f>
        <v>1177784</v>
      </c>
      <c r="C754" s="14" t="str">
        <f>IFERROR(__xludf.DUMMYFUNCTION("""COMPUTED_VALUE"""),"陳奕勳")</f>
        <v>陳奕勳</v>
      </c>
      <c r="D754" s="16" t="str">
        <f>IFERROR(__xludf.DUMMYFUNCTION("""COMPUTED_VALUE"""),"eas*****5.ntpc@mail.edu.tw")</f>
        <v>eas*****5.ntpc@mail.edu.tw</v>
      </c>
      <c r="E754" s="17" t="str">
        <f>IFERROR(__xludf.DUMMYFUNCTION("""COMPUTED_VALUE"""),"新北市立五股國民中學")</f>
        <v>新北市立五股國民中學</v>
      </c>
      <c r="F754" s="14" t="str">
        <f>IFERROR(__xludf.DUMMYFUNCTION("""COMPUTED_VALUE"""),"八年級")</f>
        <v>八年級</v>
      </c>
      <c r="G754" s="14" t="str">
        <f>IFERROR(__xludf.DUMMYFUNCTION("""COMPUTED_VALUE"""),"獎狀")</f>
        <v>獎狀</v>
      </c>
      <c r="H754" s="8"/>
    </row>
    <row r="755">
      <c r="A755" s="18"/>
      <c r="B755" s="14">
        <f>IFERROR(__xludf.DUMMYFUNCTION("""COMPUTED_VALUE"""),1177743.0)</f>
        <v>1177743</v>
      </c>
      <c r="C755" s="14" t="str">
        <f>IFERROR(__xludf.DUMMYFUNCTION("""COMPUTED_VALUE"""),"陳宥銘")</f>
        <v>陳宥銘</v>
      </c>
      <c r="D755" s="16" t="str">
        <f>IFERROR(__xludf.DUMMYFUNCTION("""COMPUTED_VALUE"""),"a10*****ntpc@mail.edu.tw")</f>
        <v>a10*****ntpc@mail.edu.tw</v>
      </c>
      <c r="E755" s="17" t="str">
        <f>IFERROR(__xludf.DUMMYFUNCTION("""COMPUTED_VALUE"""),"新北市立五股國民中學")</f>
        <v>新北市立五股國民中學</v>
      </c>
      <c r="F755" s="14" t="str">
        <f>IFERROR(__xludf.DUMMYFUNCTION("""COMPUTED_VALUE"""),"八年級")</f>
        <v>八年級</v>
      </c>
      <c r="G755" s="14" t="str">
        <f>IFERROR(__xludf.DUMMYFUNCTION("""COMPUTED_VALUE"""),"獎狀")</f>
        <v>獎狀</v>
      </c>
      <c r="H755" s="8"/>
    </row>
    <row r="756">
      <c r="A756" s="18"/>
      <c r="B756" s="14">
        <f>IFERROR(__xludf.DUMMYFUNCTION("""COMPUTED_VALUE"""),1177768.0)</f>
        <v>1177768</v>
      </c>
      <c r="C756" s="14" t="str">
        <f>IFERROR(__xludf.DUMMYFUNCTION("""COMPUTED_VALUE"""),"鄭元富")</f>
        <v>鄭元富</v>
      </c>
      <c r="D756" s="16" t="str">
        <f>IFERROR(__xludf.DUMMYFUNCTION("""COMPUTED_VALUE"""),"w30*****tpc@mail.edu.tw")</f>
        <v>w30*****tpc@mail.edu.tw</v>
      </c>
      <c r="E756" s="17" t="str">
        <f>IFERROR(__xludf.DUMMYFUNCTION("""COMPUTED_VALUE"""),"新北市立五股國民中學")</f>
        <v>新北市立五股國民中學</v>
      </c>
      <c r="F756" s="14" t="str">
        <f>IFERROR(__xludf.DUMMYFUNCTION("""COMPUTED_VALUE"""),"八年級")</f>
        <v>八年級</v>
      </c>
      <c r="G756" s="14" t="str">
        <f>IFERROR(__xludf.DUMMYFUNCTION("""COMPUTED_VALUE"""),"獎狀")</f>
        <v>獎狀</v>
      </c>
      <c r="H756" s="8"/>
    </row>
    <row r="757">
      <c r="A757" s="18"/>
      <c r="B757" s="14">
        <f>IFERROR(__xludf.DUMMYFUNCTION("""COMPUTED_VALUE"""),1177866.0)</f>
        <v>1177866</v>
      </c>
      <c r="C757" s="14" t="str">
        <f>IFERROR(__xludf.DUMMYFUNCTION("""COMPUTED_VALUE"""),"吳柏文")</f>
        <v>吳柏文</v>
      </c>
      <c r="D757" s="16" t="str">
        <f>IFERROR(__xludf.DUMMYFUNCTION("""COMPUTED_VALUE"""),"lyl*****.ntpc@mail.edu.tw")</f>
        <v>lyl*****.ntpc@mail.edu.tw</v>
      </c>
      <c r="E757" s="17" t="str">
        <f>IFERROR(__xludf.DUMMYFUNCTION("""COMPUTED_VALUE"""),"新北市立五股國民中學")</f>
        <v>新北市立五股國民中學</v>
      </c>
      <c r="F757" s="14" t="str">
        <f>IFERROR(__xludf.DUMMYFUNCTION("""COMPUTED_VALUE"""),"八年級")</f>
        <v>八年級</v>
      </c>
      <c r="G757" s="14" t="str">
        <f>IFERROR(__xludf.DUMMYFUNCTION("""COMPUTED_VALUE"""),"●小禮物")</f>
        <v>●小禮物</v>
      </c>
      <c r="H757" s="8"/>
    </row>
    <row r="758">
      <c r="A758" s="18"/>
      <c r="B758" s="14">
        <f>IFERROR(__xludf.DUMMYFUNCTION("""COMPUTED_VALUE"""),1177883.0)</f>
        <v>1177883</v>
      </c>
      <c r="C758" s="14" t="str">
        <f>IFERROR(__xludf.DUMMYFUNCTION("""COMPUTED_VALUE"""),"宋讚")</f>
        <v>宋讚</v>
      </c>
      <c r="D758" s="16" t="str">
        <f>IFERROR(__xludf.DUMMYFUNCTION("""COMPUTED_VALUE"""),"chr*****5.ntpc@mail.edu.tw")</f>
        <v>chr*****5.ntpc@mail.edu.tw</v>
      </c>
      <c r="E758" s="17" t="str">
        <f>IFERROR(__xludf.DUMMYFUNCTION("""COMPUTED_VALUE"""),"新北市立五股國民中學")</f>
        <v>新北市立五股國民中學</v>
      </c>
      <c r="F758" s="14" t="str">
        <f>IFERROR(__xludf.DUMMYFUNCTION("""COMPUTED_VALUE"""),"八年級")</f>
        <v>八年級</v>
      </c>
      <c r="G758" s="14" t="str">
        <f>IFERROR(__xludf.DUMMYFUNCTION("""COMPUTED_VALUE"""),"●小禮物")</f>
        <v>●小禮物</v>
      </c>
      <c r="H758" s="8"/>
    </row>
    <row r="759">
      <c r="A759" s="18"/>
      <c r="B759" s="14">
        <f>IFERROR(__xludf.DUMMYFUNCTION("""COMPUTED_VALUE"""),1177874.0)</f>
        <v>1177874</v>
      </c>
      <c r="C759" s="14" t="str">
        <f>IFERROR(__xludf.DUMMYFUNCTION("""COMPUTED_VALUE"""),"林孟萱")</f>
        <v>林孟萱</v>
      </c>
      <c r="D759" s="16" t="str">
        <f>IFERROR(__xludf.DUMMYFUNCTION("""COMPUTED_VALUE"""),"d10*****ntpc@mail.edu.tw")</f>
        <v>d10*****ntpc@mail.edu.tw</v>
      </c>
      <c r="E759" s="17" t="str">
        <f>IFERROR(__xludf.DUMMYFUNCTION("""COMPUTED_VALUE"""),"新北市立五股國民中學")</f>
        <v>新北市立五股國民中學</v>
      </c>
      <c r="F759" s="14" t="str">
        <f>IFERROR(__xludf.DUMMYFUNCTION("""COMPUTED_VALUE"""),"八年級")</f>
        <v>八年級</v>
      </c>
      <c r="G759" s="14" t="str">
        <f>IFERROR(__xludf.DUMMYFUNCTION("""COMPUTED_VALUE"""),"●小禮物")</f>
        <v>●小禮物</v>
      </c>
      <c r="H759" s="8"/>
    </row>
    <row r="760">
      <c r="A760" s="18"/>
      <c r="B760" s="14">
        <f>IFERROR(__xludf.DUMMYFUNCTION("""COMPUTED_VALUE"""),1177929.0)</f>
        <v>1177929</v>
      </c>
      <c r="C760" s="14" t="str">
        <f>IFERROR(__xludf.DUMMYFUNCTION("""COMPUTED_VALUE"""),"張芷瑄")</f>
        <v>張芷瑄</v>
      </c>
      <c r="D760" s="16" t="str">
        <f>IFERROR(__xludf.DUMMYFUNCTION("""COMPUTED_VALUE"""),"d10*****mail.edu.tw")</f>
        <v>d10*****mail.edu.tw</v>
      </c>
      <c r="E760" s="17" t="str">
        <f>IFERROR(__xludf.DUMMYFUNCTION("""COMPUTED_VALUE"""),"新北市立五股國民中學")</f>
        <v>新北市立五股國民中學</v>
      </c>
      <c r="F760" s="14" t="str">
        <f>IFERROR(__xludf.DUMMYFUNCTION("""COMPUTED_VALUE"""),"八年級")</f>
        <v>八年級</v>
      </c>
      <c r="G760" s="14" t="str">
        <f>IFERROR(__xludf.DUMMYFUNCTION("""COMPUTED_VALUE"""),"●小禮物")</f>
        <v>●小禮物</v>
      </c>
      <c r="H760" s="8"/>
    </row>
    <row r="761">
      <c r="A761" s="18"/>
      <c r="B761" s="14">
        <f>IFERROR(__xludf.DUMMYFUNCTION("""COMPUTED_VALUE"""),1178046.0)</f>
        <v>1178046</v>
      </c>
      <c r="C761" s="14" t="str">
        <f>IFERROR(__xludf.DUMMYFUNCTION("""COMPUTED_VALUE"""),"張家弘")</f>
        <v>張家弘</v>
      </c>
      <c r="D761" s="16" t="str">
        <f>IFERROR(__xludf.DUMMYFUNCTION("""COMPUTED_VALUE"""),"a10*****ntpc@mail.edu.tw")</f>
        <v>a10*****ntpc@mail.edu.tw</v>
      </c>
      <c r="E761" s="17" t="str">
        <f>IFERROR(__xludf.DUMMYFUNCTION("""COMPUTED_VALUE"""),"新北市立五股國民中學")</f>
        <v>新北市立五股國民中學</v>
      </c>
      <c r="F761" s="14" t="str">
        <f>IFERROR(__xludf.DUMMYFUNCTION("""COMPUTED_VALUE"""),"八年級")</f>
        <v>八年級</v>
      </c>
      <c r="G761" s="14" t="str">
        <f>IFERROR(__xludf.DUMMYFUNCTION("""COMPUTED_VALUE"""),"●小禮物")</f>
        <v>●小禮物</v>
      </c>
      <c r="H761" s="8"/>
    </row>
    <row r="762">
      <c r="A762" s="18"/>
      <c r="B762" s="14">
        <f>IFERROR(__xludf.DUMMYFUNCTION("""COMPUTED_VALUE"""),1177879.0)</f>
        <v>1177879</v>
      </c>
      <c r="C762" s="14" t="str">
        <f>IFERROR(__xludf.DUMMYFUNCTION("""COMPUTED_VALUE"""),"張嘉榕")</f>
        <v>張嘉榕</v>
      </c>
      <c r="D762" s="16" t="str">
        <f>IFERROR(__xludf.DUMMYFUNCTION("""COMPUTED_VALUE"""),"cal*****tpc@mail.edu.tw")</f>
        <v>cal*****tpc@mail.edu.tw</v>
      </c>
      <c r="E762" s="17" t="str">
        <f>IFERROR(__xludf.DUMMYFUNCTION("""COMPUTED_VALUE"""),"新北市立五股國民中學")</f>
        <v>新北市立五股國民中學</v>
      </c>
      <c r="F762" s="14" t="str">
        <f>IFERROR(__xludf.DUMMYFUNCTION("""COMPUTED_VALUE"""),"八年級")</f>
        <v>八年級</v>
      </c>
      <c r="G762" s="14" t="str">
        <f>IFERROR(__xludf.DUMMYFUNCTION("""COMPUTED_VALUE"""),"●小禮物")</f>
        <v>●小禮物</v>
      </c>
      <c r="H762" s="8"/>
    </row>
    <row r="763">
      <c r="A763" s="18"/>
      <c r="B763" s="14">
        <f>IFERROR(__xludf.DUMMYFUNCTION("""COMPUTED_VALUE"""),1177870.0)</f>
        <v>1177870</v>
      </c>
      <c r="C763" s="14" t="str">
        <f>IFERROR(__xludf.DUMMYFUNCTION("""COMPUTED_VALUE"""),"陳紫薇")</f>
        <v>陳紫薇</v>
      </c>
      <c r="D763" s="16" t="str">
        <f>IFERROR(__xludf.DUMMYFUNCTION("""COMPUTED_VALUE"""),"yf1*****.ntpc@mail.edu.tw")</f>
        <v>yf1*****.ntpc@mail.edu.tw</v>
      </c>
      <c r="E763" s="17" t="str">
        <f>IFERROR(__xludf.DUMMYFUNCTION("""COMPUTED_VALUE"""),"新北市立五股國民中學")</f>
        <v>新北市立五股國民中學</v>
      </c>
      <c r="F763" s="14" t="str">
        <f>IFERROR(__xludf.DUMMYFUNCTION("""COMPUTED_VALUE"""),"八年級")</f>
        <v>八年級</v>
      </c>
      <c r="G763" s="14" t="str">
        <f>IFERROR(__xludf.DUMMYFUNCTION("""COMPUTED_VALUE"""),"●小禮物")</f>
        <v>●小禮物</v>
      </c>
      <c r="H763" s="8"/>
    </row>
    <row r="764">
      <c r="A764" s="18"/>
      <c r="B764" s="14">
        <f>IFERROR(__xludf.DUMMYFUNCTION("""COMPUTED_VALUE"""),1177862.0)</f>
        <v>1177862</v>
      </c>
      <c r="C764" s="14" t="str">
        <f>IFERROR(__xludf.DUMMYFUNCTION("""COMPUTED_VALUE"""),"葉宣希")</f>
        <v>葉宣希</v>
      </c>
      <c r="D764" s="16" t="str">
        <f>IFERROR(__xludf.DUMMYFUNCTION("""COMPUTED_VALUE"""),"d10*****ntpc@mail.edu.tw")</f>
        <v>d10*****ntpc@mail.edu.tw</v>
      </c>
      <c r="E764" s="17" t="str">
        <f>IFERROR(__xludf.DUMMYFUNCTION("""COMPUTED_VALUE"""),"新北市立五股國民中學")</f>
        <v>新北市立五股國民中學</v>
      </c>
      <c r="F764" s="14" t="str">
        <f>IFERROR(__xludf.DUMMYFUNCTION("""COMPUTED_VALUE"""),"八年級")</f>
        <v>八年級</v>
      </c>
      <c r="G764" s="14" t="str">
        <f>IFERROR(__xludf.DUMMYFUNCTION("""COMPUTED_VALUE"""),"●小禮物")</f>
        <v>●小禮物</v>
      </c>
      <c r="H764" s="8"/>
    </row>
    <row r="765">
      <c r="A765" s="18"/>
      <c r="B765" s="14">
        <f>IFERROR(__xludf.DUMMYFUNCTION("""COMPUTED_VALUE"""),1177863.0)</f>
        <v>1177863</v>
      </c>
      <c r="C765" s="14" t="str">
        <f>IFERROR(__xludf.DUMMYFUNCTION("""COMPUTED_VALUE"""),"吳芷菲")</f>
        <v>吳芷菲</v>
      </c>
      <c r="D765" s="16" t="str">
        <f>IFERROR(__xludf.DUMMYFUNCTION("""COMPUTED_VALUE"""),"lil*****24.ntpc@mail.edu.tw")</f>
        <v>lil*****24.ntpc@mail.edu.tw</v>
      </c>
      <c r="E765" s="17" t="str">
        <f>IFERROR(__xludf.DUMMYFUNCTION("""COMPUTED_VALUE"""),"新北市立五股國民中學")</f>
        <v>新北市立五股國民中學</v>
      </c>
      <c r="F765" s="14" t="str">
        <f>IFERROR(__xludf.DUMMYFUNCTION("""COMPUTED_VALUE"""),"八年級")</f>
        <v>八年級</v>
      </c>
      <c r="G765" s="14" t="str">
        <f>IFERROR(__xludf.DUMMYFUNCTION("""COMPUTED_VALUE"""),"獎狀")</f>
        <v>獎狀</v>
      </c>
      <c r="H765" s="8"/>
    </row>
    <row r="766">
      <c r="A766" s="18"/>
      <c r="B766" s="14">
        <f>IFERROR(__xludf.DUMMYFUNCTION("""COMPUTED_VALUE"""),1177876.0)</f>
        <v>1177876</v>
      </c>
      <c r="C766" s="14" t="str">
        <f>IFERROR(__xludf.DUMMYFUNCTION("""COMPUTED_VALUE"""),"李采穎")</f>
        <v>李采穎</v>
      </c>
      <c r="D766" s="16" t="str">
        <f>IFERROR(__xludf.DUMMYFUNCTION("""COMPUTED_VALUE"""),"w30*****tpc@mail.edu.tw")</f>
        <v>w30*****tpc@mail.edu.tw</v>
      </c>
      <c r="E766" s="17" t="str">
        <f>IFERROR(__xludf.DUMMYFUNCTION("""COMPUTED_VALUE"""),"新北市立五股國民中學")</f>
        <v>新北市立五股國民中學</v>
      </c>
      <c r="F766" s="14" t="str">
        <f>IFERROR(__xludf.DUMMYFUNCTION("""COMPUTED_VALUE"""),"八年級")</f>
        <v>八年級</v>
      </c>
      <c r="G766" s="14" t="str">
        <f>IFERROR(__xludf.DUMMYFUNCTION("""COMPUTED_VALUE"""),"獎狀")</f>
        <v>獎狀</v>
      </c>
      <c r="H766" s="8"/>
    </row>
    <row r="767">
      <c r="A767" s="18"/>
      <c r="B767" s="14">
        <f>IFERROR(__xludf.DUMMYFUNCTION("""COMPUTED_VALUE"""),1190284.0)</f>
        <v>1190284</v>
      </c>
      <c r="C767" s="14" t="str">
        <f>IFERROR(__xludf.DUMMYFUNCTION("""COMPUTED_VALUE"""),"卓晉翌")</f>
        <v>卓晉翌</v>
      </c>
      <c r="D767" s="16" t="str">
        <f>IFERROR(__xludf.DUMMYFUNCTION("""COMPUTED_VALUE"""),"w30*****tpc@mail.edu.tw")</f>
        <v>w30*****tpc@mail.edu.tw</v>
      </c>
      <c r="E767" s="17" t="str">
        <f>IFERROR(__xludf.DUMMYFUNCTION("""COMPUTED_VALUE"""),"新北市立五股國民中學")</f>
        <v>新北市立五股國民中學</v>
      </c>
      <c r="F767" s="14" t="str">
        <f>IFERROR(__xludf.DUMMYFUNCTION("""COMPUTED_VALUE"""),"八年級")</f>
        <v>八年級</v>
      </c>
      <c r="G767" s="14" t="str">
        <f>IFERROR(__xludf.DUMMYFUNCTION("""COMPUTED_VALUE"""),"獎狀")</f>
        <v>獎狀</v>
      </c>
      <c r="H767" s="8"/>
    </row>
    <row r="768">
      <c r="A768" s="18"/>
      <c r="B768" s="14">
        <f>IFERROR(__xludf.DUMMYFUNCTION("""COMPUTED_VALUE"""),1177891.0)</f>
        <v>1177891</v>
      </c>
      <c r="C768" s="14" t="str">
        <f>IFERROR(__xludf.DUMMYFUNCTION("""COMPUTED_VALUE"""),"周宸菱")</f>
        <v>周宸菱</v>
      </c>
      <c r="D768" s="16" t="str">
        <f>IFERROR(__xludf.DUMMYFUNCTION("""COMPUTED_VALUE"""),"b52*****pc@mail.edu.tw")</f>
        <v>b52*****pc@mail.edu.tw</v>
      </c>
      <c r="E768" s="17" t="str">
        <f>IFERROR(__xludf.DUMMYFUNCTION("""COMPUTED_VALUE"""),"新北市立五股國民中學")</f>
        <v>新北市立五股國民中學</v>
      </c>
      <c r="F768" s="14" t="str">
        <f>IFERROR(__xludf.DUMMYFUNCTION("""COMPUTED_VALUE"""),"八年級")</f>
        <v>八年級</v>
      </c>
      <c r="G768" s="14" t="str">
        <f>IFERROR(__xludf.DUMMYFUNCTION("""COMPUTED_VALUE"""),"獎狀")</f>
        <v>獎狀</v>
      </c>
      <c r="H768" s="8"/>
    </row>
    <row r="769">
      <c r="A769" s="18"/>
      <c r="B769" s="14">
        <f>IFERROR(__xludf.DUMMYFUNCTION("""COMPUTED_VALUE"""),1177864.0)</f>
        <v>1177864</v>
      </c>
      <c r="C769" s="14" t="str">
        <f>IFERROR(__xludf.DUMMYFUNCTION("""COMPUTED_VALUE"""),"林亮宇")</f>
        <v>林亮宇</v>
      </c>
      <c r="D769" s="16" t="str">
        <f>IFERROR(__xludf.DUMMYFUNCTION("""COMPUTED_VALUE"""),"a40*****pc@mail.edu.tw")</f>
        <v>a40*****pc@mail.edu.tw</v>
      </c>
      <c r="E769" s="17" t="str">
        <f>IFERROR(__xludf.DUMMYFUNCTION("""COMPUTED_VALUE"""),"新北市立五股國民中學")</f>
        <v>新北市立五股國民中學</v>
      </c>
      <c r="F769" s="14" t="str">
        <f>IFERROR(__xludf.DUMMYFUNCTION("""COMPUTED_VALUE"""),"八年級")</f>
        <v>八年級</v>
      </c>
      <c r="G769" s="14" t="str">
        <f>IFERROR(__xludf.DUMMYFUNCTION("""COMPUTED_VALUE"""),"獎狀")</f>
        <v>獎狀</v>
      </c>
      <c r="H769" s="8"/>
    </row>
    <row r="770">
      <c r="A770" s="18"/>
      <c r="B770" s="14">
        <f>IFERROR(__xludf.DUMMYFUNCTION("""COMPUTED_VALUE"""),1177871.0)</f>
        <v>1177871</v>
      </c>
      <c r="C770" s="14" t="str">
        <f>IFERROR(__xludf.DUMMYFUNCTION("""COMPUTED_VALUE"""),"張菀庭")</f>
        <v>張菀庭</v>
      </c>
      <c r="D770" s="16" t="str">
        <f>IFERROR(__xludf.DUMMYFUNCTION("""COMPUTED_VALUE"""),"pq1*****.ntpc@mail.edu.tw")</f>
        <v>pq1*****.ntpc@mail.edu.tw</v>
      </c>
      <c r="E770" s="17" t="str">
        <f>IFERROR(__xludf.DUMMYFUNCTION("""COMPUTED_VALUE"""),"新北市立五股國民中學")</f>
        <v>新北市立五股國民中學</v>
      </c>
      <c r="F770" s="14" t="str">
        <f>IFERROR(__xludf.DUMMYFUNCTION("""COMPUTED_VALUE"""),"八年級")</f>
        <v>八年級</v>
      </c>
      <c r="G770" s="14" t="str">
        <f>IFERROR(__xludf.DUMMYFUNCTION("""COMPUTED_VALUE"""),"獎狀")</f>
        <v>獎狀</v>
      </c>
      <c r="H770" s="8"/>
    </row>
    <row r="771">
      <c r="A771" s="18"/>
      <c r="B771" s="14">
        <f>IFERROR(__xludf.DUMMYFUNCTION("""COMPUTED_VALUE"""),1177877.0)</f>
        <v>1177877</v>
      </c>
      <c r="C771" s="14" t="str">
        <f>IFERROR(__xludf.DUMMYFUNCTION("""COMPUTED_VALUE"""),"陳均庭")</f>
        <v>陳均庭</v>
      </c>
      <c r="D771" s="16" t="str">
        <f>IFERROR(__xludf.DUMMYFUNCTION("""COMPUTED_VALUE"""),"tim*****.ntpc@mail.edu.tw")</f>
        <v>tim*****.ntpc@mail.edu.tw</v>
      </c>
      <c r="E771" s="17" t="str">
        <f>IFERROR(__xludf.DUMMYFUNCTION("""COMPUTED_VALUE"""),"新北市立五股國民中學")</f>
        <v>新北市立五股國民中學</v>
      </c>
      <c r="F771" s="14" t="str">
        <f>IFERROR(__xludf.DUMMYFUNCTION("""COMPUTED_VALUE"""),"八年級")</f>
        <v>八年級</v>
      </c>
      <c r="G771" s="14" t="str">
        <f>IFERROR(__xludf.DUMMYFUNCTION("""COMPUTED_VALUE"""),"獎狀")</f>
        <v>獎狀</v>
      </c>
      <c r="H771" s="8"/>
    </row>
    <row r="772">
      <c r="A772" s="18"/>
      <c r="B772" s="14">
        <f>IFERROR(__xludf.DUMMYFUNCTION("""COMPUTED_VALUE"""),1177942.0)</f>
        <v>1177942</v>
      </c>
      <c r="C772" s="14" t="str">
        <f>IFERROR(__xludf.DUMMYFUNCTION("""COMPUTED_VALUE"""),"楊琇喬")</f>
        <v>楊琇喬</v>
      </c>
      <c r="D772" s="16" t="str">
        <f>IFERROR(__xludf.DUMMYFUNCTION("""COMPUTED_VALUE"""),"she*****9.ntpc@mail.edu.tw")</f>
        <v>she*****9.ntpc@mail.edu.tw</v>
      </c>
      <c r="E772" s="17" t="str">
        <f>IFERROR(__xludf.DUMMYFUNCTION("""COMPUTED_VALUE"""),"新北市立五股國民中學")</f>
        <v>新北市立五股國民中學</v>
      </c>
      <c r="F772" s="14" t="str">
        <f>IFERROR(__xludf.DUMMYFUNCTION("""COMPUTED_VALUE"""),"八年級")</f>
        <v>八年級</v>
      </c>
      <c r="G772" s="14" t="str">
        <f>IFERROR(__xludf.DUMMYFUNCTION("""COMPUTED_VALUE"""),"獎狀")</f>
        <v>獎狀</v>
      </c>
      <c r="H772" s="8"/>
    </row>
    <row r="773">
      <c r="A773" s="18"/>
      <c r="B773" s="14">
        <f>IFERROR(__xludf.DUMMYFUNCTION("""COMPUTED_VALUE"""),326383.0)</f>
        <v>326383</v>
      </c>
      <c r="C773" s="14" t="str">
        <f>IFERROR(__xludf.DUMMYFUNCTION("""COMPUTED_VALUE"""),"林志澔")</f>
        <v>林志澔</v>
      </c>
      <c r="D773" s="16" t="str">
        <f>IFERROR(__xludf.DUMMYFUNCTION("""COMPUTED_VALUE"""),"cz1*****@mail.edu.tw")</f>
        <v>cz1*****@mail.edu.tw</v>
      </c>
      <c r="E773" s="17" t="str">
        <f>IFERROR(__xludf.DUMMYFUNCTION("""COMPUTED_VALUE"""),"新北市立五股國民中學")</f>
        <v>新北市立五股國民中學</v>
      </c>
      <c r="F773" s="14" t="str">
        <f>IFERROR(__xludf.DUMMYFUNCTION("""COMPUTED_VALUE"""),"八年級")</f>
        <v>八年級</v>
      </c>
      <c r="G773" s="14" t="str">
        <f>IFERROR(__xludf.DUMMYFUNCTION("""COMPUTED_VALUE"""),"●小禮物")</f>
        <v>●小禮物</v>
      </c>
      <c r="H773" s="8"/>
    </row>
    <row r="774">
      <c r="A774" s="18"/>
      <c r="B774" s="14">
        <f>IFERROR(__xludf.DUMMYFUNCTION("""COMPUTED_VALUE"""),1184837.0)</f>
        <v>1184837</v>
      </c>
      <c r="C774" s="14" t="str">
        <f>IFERROR(__xludf.DUMMYFUNCTION("""COMPUTED_VALUE"""),"王威程")</f>
        <v>王威程</v>
      </c>
      <c r="D774" s="16" t="str">
        <f>IFERROR(__xludf.DUMMYFUNCTION("""COMPUTED_VALUE"""),"w30*****tpc@mail.edu.tw")</f>
        <v>w30*****tpc@mail.edu.tw</v>
      </c>
      <c r="E774" s="17" t="str">
        <f>IFERROR(__xludf.DUMMYFUNCTION("""COMPUTED_VALUE"""),"新北市立五股國民中學")</f>
        <v>新北市立五股國民中學</v>
      </c>
      <c r="F774" s="14" t="str">
        <f>IFERROR(__xludf.DUMMYFUNCTION("""COMPUTED_VALUE"""),"八年級")</f>
        <v>八年級</v>
      </c>
      <c r="G774" s="14" t="str">
        <f>IFERROR(__xludf.DUMMYFUNCTION("""COMPUTED_VALUE"""),"●小禮物")</f>
        <v>●小禮物</v>
      </c>
      <c r="H774" s="8"/>
    </row>
    <row r="775">
      <c r="A775" s="18"/>
      <c r="B775" s="14">
        <f>IFERROR(__xludf.DUMMYFUNCTION("""COMPUTED_VALUE"""),1197362.0)</f>
        <v>1197362</v>
      </c>
      <c r="C775" s="14" t="str">
        <f>IFERROR(__xludf.DUMMYFUNCTION("""COMPUTED_VALUE"""),"吳芷瑜")</f>
        <v>吳芷瑜</v>
      </c>
      <c r="D775" s="16" t="str">
        <f>IFERROR(__xludf.DUMMYFUNCTION("""COMPUTED_VALUE"""),"m98*****apps.ntpc.edu.tw")</f>
        <v>m98*****apps.ntpc.edu.tw</v>
      </c>
      <c r="E775" s="17" t="str">
        <f>IFERROR(__xludf.DUMMYFUNCTION("""COMPUTED_VALUE"""),"新北市立五股國民中學")</f>
        <v>新北市立五股國民中學</v>
      </c>
      <c r="F775" s="14" t="str">
        <f>IFERROR(__xludf.DUMMYFUNCTION("""COMPUTED_VALUE"""),"八年級")</f>
        <v>八年級</v>
      </c>
      <c r="G775" s="14" t="str">
        <f>IFERROR(__xludf.DUMMYFUNCTION("""COMPUTED_VALUE"""),"●小禮物")</f>
        <v>●小禮物</v>
      </c>
      <c r="H775" s="8"/>
    </row>
    <row r="776">
      <c r="A776" s="18"/>
      <c r="B776" s="14">
        <f>IFERROR(__xludf.DUMMYFUNCTION("""COMPUTED_VALUE"""),1184832.0)</f>
        <v>1184832</v>
      </c>
      <c r="C776" s="14" t="str">
        <f>IFERROR(__xludf.DUMMYFUNCTION("""COMPUTED_VALUE"""),"呂國興")</f>
        <v>呂國興</v>
      </c>
      <c r="D776" s="16" t="str">
        <f>IFERROR(__xludf.DUMMYFUNCTION("""COMPUTED_VALUE"""),"lgx*****ntpc@mail.edu.tw")</f>
        <v>lgx*****ntpc@mail.edu.tw</v>
      </c>
      <c r="E776" s="17" t="str">
        <f>IFERROR(__xludf.DUMMYFUNCTION("""COMPUTED_VALUE"""),"新北市立五股國民中學")</f>
        <v>新北市立五股國民中學</v>
      </c>
      <c r="F776" s="14" t="str">
        <f>IFERROR(__xludf.DUMMYFUNCTION("""COMPUTED_VALUE"""),"八年級")</f>
        <v>八年級</v>
      </c>
      <c r="G776" s="14" t="str">
        <f>IFERROR(__xludf.DUMMYFUNCTION("""COMPUTED_VALUE"""),"●小禮物")</f>
        <v>●小禮物</v>
      </c>
      <c r="H776" s="8"/>
    </row>
    <row r="777">
      <c r="A777" s="18"/>
      <c r="B777" s="14">
        <f>IFERROR(__xludf.DUMMYFUNCTION("""COMPUTED_VALUE"""),1184839.0)</f>
        <v>1184839</v>
      </c>
      <c r="C777" s="14" t="str">
        <f>IFERROR(__xludf.DUMMYFUNCTION("""COMPUTED_VALUE"""),"李羿平")</f>
        <v>李羿平</v>
      </c>
      <c r="D777" s="16" t="str">
        <f>IFERROR(__xludf.DUMMYFUNCTION("""COMPUTED_VALUE"""),"hap*****.ntpc@mail.edu.tw")</f>
        <v>hap*****.ntpc@mail.edu.tw</v>
      </c>
      <c r="E777" s="17" t="str">
        <f>IFERROR(__xludf.DUMMYFUNCTION("""COMPUTED_VALUE"""),"新北市立五股國民中學")</f>
        <v>新北市立五股國民中學</v>
      </c>
      <c r="F777" s="14" t="str">
        <f>IFERROR(__xludf.DUMMYFUNCTION("""COMPUTED_VALUE"""),"八年級")</f>
        <v>八年級</v>
      </c>
      <c r="G777" s="14" t="str">
        <f>IFERROR(__xludf.DUMMYFUNCTION("""COMPUTED_VALUE"""),"●小禮物")</f>
        <v>●小禮物</v>
      </c>
      <c r="H777" s="8"/>
    </row>
    <row r="778">
      <c r="A778" s="18"/>
      <c r="B778" s="14">
        <f>IFERROR(__xludf.DUMMYFUNCTION("""COMPUTED_VALUE"""),1184847.0)</f>
        <v>1184847</v>
      </c>
      <c r="C778" s="14" t="str">
        <f>IFERROR(__xludf.DUMMYFUNCTION("""COMPUTED_VALUE"""),"周承恩")</f>
        <v>周承恩</v>
      </c>
      <c r="D778" s="16" t="str">
        <f>IFERROR(__xludf.DUMMYFUNCTION("""COMPUTED_VALUE"""),"bil*****3.ntpc@mail.edu.tw")</f>
        <v>bil*****3.ntpc@mail.edu.tw</v>
      </c>
      <c r="E778" s="17" t="str">
        <f>IFERROR(__xludf.DUMMYFUNCTION("""COMPUTED_VALUE"""),"新北市立五股國民中學")</f>
        <v>新北市立五股國民中學</v>
      </c>
      <c r="F778" s="14" t="str">
        <f>IFERROR(__xludf.DUMMYFUNCTION("""COMPUTED_VALUE"""),"八年級")</f>
        <v>八年級</v>
      </c>
      <c r="G778" s="14" t="str">
        <f>IFERROR(__xludf.DUMMYFUNCTION("""COMPUTED_VALUE"""),"●小禮物")</f>
        <v>●小禮物</v>
      </c>
      <c r="H778" s="8"/>
    </row>
    <row r="779">
      <c r="A779" s="18"/>
      <c r="B779" s="14">
        <f>IFERROR(__xludf.DUMMYFUNCTION("""COMPUTED_VALUE"""),1184844.0)</f>
        <v>1184844</v>
      </c>
      <c r="C779" s="14" t="str">
        <f>IFERROR(__xludf.DUMMYFUNCTION("""COMPUTED_VALUE"""),"徐千涵")</f>
        <v>徐千涵</v>
      </c>
      <c r="D779" s="16" t="str">
        <f>IFERROR(__xludf.DUMMYFUNCTION("""COMPUTED_VALUE"""),"d10*****apps.ntpc.edu.tw")</f>
        <v>d10*****apps.ntpc.edu.tw</v>
      </c>
      <c r="E779" s="17" t="str">
        <f>IFERROR(__xludf.DUMMYFUNCTION("""COMPUTED_VALUE"""),"新北市立五股國民中學")</f>
        <v>新北市立五股國民中學</v>
      </c>
      <c r="F779" s="14" t="str">
        <f>IFERROR(__xludf.DUMMYFUNCTION("""COMPUTED_VALUE"""),"八年級")</f>
        <v>八年級</v>
      </c>
      <c r="G779" s="14" t="str">
        <f>IFERROR(__xludf.DUMMYFUNCTION("""COMPUTED_VALUE"""),"●小禮物")</f>
        <v>●小禮物</v>
      </c>
      <c r="H779" s="8"/>
    </row>
    <row r="780">
      <c r="A780" s="18"/>
      <c r="B780" s="14">
        <f>IFERROR(__xludf.DUMMYFUNCTION("""COMPUTED_VALUE"""),1184833.0)</f>
        <v>1184833</v>
      </c>
      <c r="C780" s="14" t="str">
        <f>IFERROR(__xludf.DUMMYFUNCTION("""COMPUTED_VALUE"""),"陳冠瑋")</f>
        <v>陳冠瑋</v>
      </c>
      <c r="D780" s="16" t="str">
        <f>IFERROR(__xludf.DUMMYFUNCTION("""COMPUTED_VALUE"""),"jac*****6.ntpc@mail.edu.tw")</f>
        <v>jac*****6.ntpc@mail.edu.tw</v>
      </c>
      <c r="E780" s="17" t="str">
        <f>IFERROR(__xludf.DUMMYFUNCTION("""COMPUTED_VALUE"""),"新北市立五股國民中學")</f>
        <v>新北市立五股國民中學</v>
      </c>
      <c r="F780" s="14" t="str">
        <f>IFERROR(__xludf.DUMMYFUNCTION("""COMPUTED_VALUE"""),"八年級")</f>
        <v>八年級</v>
      </c>
      <c r="G780" s="14" t="str">
        <f>IFERROR(__xludf.DUMMYFUNCTION("""COMPUTED_VALUE"""),"●小禮物")</f>
        <v>●小禮物</v>
      </c>
      <c r="H780" s="8"/>
    </row>
    <row r="781">
      <c r="A781" s="18"/>
      <c r="B781" s="14">
        <f>IFERROR(__xludf.DUMMYFUNCTION("""COMPUTED_VALUE"""),1184856.0)</f>
        <v>1184856</v>
      </c>
      <c r="C781" s="14" t="str">
        <f>IFERROR(__xludf.DUMMYFUNCTION("""COMPUTED_VALUE"""),"曾靖皓")</f>
        <v>曾靖皓</v>
      </c>
      <c r="D781" s="16" t="str">
        <f>IFERROR(__xludf.DUMMYFUNCTION("""COMPUTED_VALUE"""),"d10*****ntpc@mail.edu.tw")</f>
        <v>d10*****ntpc@mail.edu.tw</v>
      </c>
      <c r="E781" s="17" t="str">
        <f>IFERROR(__xludf.DUMMYFUNCTION("""COMPUTED_VALUE"""),"新北市立五股國民中學")</f>
        <v>新北市立五股國民中學</v>
      </c>
      <c r="F781" s="14" t="str">
        <f>IFERROR(__xludf.DUMMYFUNCTION("""COMPUTED_VALUE"""),"八年級")</f>
        <v>八年級</v>
      </c>
      <c r="G781" s="14" t="str">
        <f>IFERROR(__xludf.DUMMYFUNCTION("""COMPUTED_VALUE"""),"●小禮物")</f>
        <v>●小禮物</v>
      </c>
      <c r="H781" s="8"/>
    </row>
    <row r="782">
      <c r="A782" s="18"/>
      <c r="B782" s="14">
        <f>IFERROR(__xludf.DUMMYFUNCTION("""COMPUTED_VALUE"""),1184868.0)</f>
        <v>1184868</v>
      </c>
      <c r="C782" s="14" t="str">
        <f>IFERROR(__xludf.DUMMYFUNCTION("""COMPUTED_VALUE"""),"詹竣凱")</f>
        <v>詹竣凱</v>
      </c>
      <c r="D782" s="16" t="str">
        <f>IFERROR(__xludf.DUMMYFUNCTION("""COMPUTED_VALUE"""),"n40*****tpc@mail.edu.tw")</f>
        <v>n40*****tpc@mail.edu.tw</v>
      </c>
      <c r="E782" s="17" t="str">
        <f>IFERROR(__xludf.DUMMYFUNCTION("""COMPUTED_VALUE"""),"新北市立五股國民中學")</f>
        <v>新北市立五股國民中學</v>
      </c>
      <c r="F782" s="14" t="str">
        <f>IFERROR(__xludf.DUMMYFUNCTION("""COMPUTED_VALUE"""),"八年級")</f>
        <v>八年級</v>
      </c>
      <c r="G782" s="14" t="str">
        <f>IFERROR(__xludf.DUMMYFUNCTION("""COMPUTED_VALUE"""),"●小禮物")</f>
        <v>●小禮物</v>
      </c>
      <c r="H782" s="8"/>
    </row>
    <row r="783">
      <c r="A783" s="18"/>
      <c r="B783" s="14">
        <f>IFERROR(__xludf.DUMMYFUNCTION("""COMPUTED_VALUE"""),1184835.0)</f>
        <v>1184835</v>
      </c>
      <c r="C783" s="14" t="str">
        <f>IFERROR(__xludf.DUMMYFUNCTION("""COMPUTED_VALUE"""),"劉玫淋")</f>
        <v>劉玫淋</v>
      </c>
      <c r="D783" s="16" t="str">
        <f>IFERROR(__xludf.DUMMYFUNCTION("""COMPUTED_VALUE"""),"d10*****apps.ntpc.edu.tw")</f>
        <v>d10*****apps.ntpc.edu.tw</v>
      </c>
      <c r="E783" s="17" t="str">
        <f>IFERROR(__xludf.DUMMYFUNCTION("""COMPUTED_VALUE"""),"新北市立五股國民中學")</f>
        <v>新北市立五股國民中學</v>
      </c>
      <c r="F783" s="14" t="str">
        <f>IFERROR(__xludf.DUMMYFUNCTION("""COMPUTED_VALUE"""),"八年級")</f>
        <v>八年級</v>
      </c>
      <c r="G783" s="14" t="str">
        <f>IFERROR(__xludf.DUMMYFUNCTION("""COMPUTED_VALUE"""),"●小禮物")</f>
        <v>●小禮物</v>
      </c>
      <c r="H783" s="8"/>
    </row>
    <row r="784">
      <c r="A784" s="18"/>
      <c r="B784" s="14">
        <f>IFERROR(__xludf.DUMMYFUNCTION("""COMPUTED_VALUE"""),1184840.0)</f>
        <v>1184840</v>
      </c>
      <c r="C784" s="14" t="str">
        <f>IFERROR(__xludf.DUMMYFUNCTION("""COMPUTED_VALUE"""),"吳昱辰")</f>
        <v>吳昱辰</v>
      </c>
      <c r="D784" s="16" t="str">
        <f>IFERROR(__xludf.DUMMYFUNCTION("""COMPUTED_VALUE"""),"jas*****.ntpc@mail.edu.tw")</f>
        <v>jas*****.ntpc@mail.edu.tw</v>
      </c>
      <c r="E784" s="17" t="str">
        <f>IFERROR(__xludf.DUMMYFUNCTION("""COMPUTED_VALUE"""),"新北市立五股國民中學")</f>
        <v>新北市立五股國民中學</v>
      </c>
      <c r="F784" s="14" t="str">
        <f>IFERROR(__xludf.DUMMYFUNCTION("""COMPUTED_VALUE"""),"八年級")</f>
        <v>八年級</v>
      </c>
      <c r="G784" s="14" t="str">
        <f>IFERROR(__xludf.DUMMYFUNCTION("""COMPUTED_VALUE"""),"獎狀")</f>
        <v>獎狀</v>
      </c>
      <c r="H784" s="8"/>
    </row>
    <row r="785">
      <c r="A785" s="18"/>
      <c r="B785" s="14">
        <f>IFERROR(__xludf.DUMMYFUNCTION("""COMPUTED_VALUE"""),1184842.0)</f>
        <v>1184842</v>
      </c>
      <c r="C785" s="14" t="str">
        <f>IFERROR(__xludf.DUMMYFUNCTION("""COMPUTED_VALUE"""),"李妍萱")</f>
        <v>李妍萱</v>
      </c>
      <c r="D785" s="16" t="str">
        <f>IFERROR(__xludf.DUMMYFUNCTION("""COMPUTED_VALUE"""),"nin*****11@apps.ntpc.edu.tw")</f>
        <v>nin*****11@apps.ntpc.edu.tw</v>
      </c>
      <c r="E785" s="17" t="str">
        <f>IFERROR(__xludf.DUMMYFUNCTION("""COMPUTED_VALUE"""),"新北市立五股國民中學")</f>
        <v>新北市立五股國民中學</v>
      </c>
      <c r="F785" s="14" t="str">
        <f>IFERROR(__xludf.DUMMYFUNCTION("""COMPUTED_VALUE"""),"八年級")</f>
        <v>八年級</v>
      </c>
      <c r="G785" s="14" t="str">
        <f>IFERROR(__xludf.DUMMYFUNCTION("""COMPUTED_VALUE"""),"獎狀")</f>
        <v>獎狀</v>
      </c>
      <c r="H785" s="8"/>
    </row>
    <row r="786">
      <c r="A786" s="18"/>
      <c r="B786" s="14">
        <f>IFERROR(__xludf.DUMMYFUNCTION("""COMPUTED_VALUE"""),1184841.0)</f>
        <v>1184841</v>
      </c>
      <c r="C786" s="14" t="str">
        <f>IFERROR(__xludf.DUMMYFUNCTION("""COMPUTED_VALUE"""),"陳玟潔")</f>
        <v>陳玟潔</v>
      </c>
      <c r="D786" s="16" t="str">
        <f>IFERROR(__xludf.DUMMYFUNCTION("""COMPUTED_VALUE"""),"z30*****pps.ntpc.edu.tw")</f>
        <v>z30*****pps.ntpc.edu.tw</v>
      </c>
      <c r="E786" s="17" t="str">
        <f>IFERROR(__xludf.DUMMYFUNCTION("""COMPUTED_VALUE"""),"新北市立五股國民中學")</f>
        <v>新北市立五股國民中學</v>
      </c>
      <c r="F786" s="14" t="str">
        <f>IFERROR(__xludf.DUMMYFUNCTION("""COMPUTED_VALUE"""),"八年級")</f>
        <v>八年級</v>
      </c>
      <c r="G786" s="14" t="str">
        <f>IFERROR(__xludf.DUMMYFUNCTION("""COMPUTED_VALUE"""),"獎狀")</f>
        <v>獎狀</v>
      </c>
      <c r="H786" s="8"/>
    </row>
    <row r="787">
      <c r="A787" s="18"/>
      <c r="B787" s="14">
        <f>IFERROR(__xludf.DUMMYFUNCTION("""COMPUTED_VALUE"""),1184834.0)</f>
        <v>1184834</v>
      </c>
      <c r="C787" s="14" t="str">
        <f>IFERROR(__xludf.DUMMYFUNCTION("""COMPUTED_VALUE"""),"蔡畯承")</f>
        <v>蔡畯承</v>
      </c>
      <c r="D787" s="16" t="str">
        <f>IFERROR(__xludf.DUMMYFUNCTION("""COMPUTED_VALUE"""),"gen*****.ntpc@mail.edu.tw")</f>
        <v>gen*****.ntpc@mail.edu.tw</v>
      </c>
      <c r="E787" s="17" t="str">
        <f>IFERROR(__xludf.DUMMYFUNCTION("""COMPUTED_VALUE"""),"新北市立五股國民中學")</f>
        <v>新北市立五股國民中學</v>
      </c>
      <c r="F787" s="14" t="str">
        <f>IFERROR(__xludf.DUMMYFUNCTION("""COMPUTED_VALUE"""),"八年級")</f>
        <v>八年級</v>
      </c>
      <c r="G787" s="14" t="str">
        <f>IFERROR(__xludf.DUMMYFUNCTION("""COMPUTED_VALUE"""),"獎狀")</f>
        <v>獎狀</v>
      </c>
      <c r="H787" s="8"/>
    </row>
    <row r="788">
      <c r="A788" s="18"/>
      <c r="B788" s="14">
        <f>IFERROR(__xludf.DUMMYFUNCTION("""COMPUTED_VALUE"""),1178161.0)</f>
        <v>1178161</v>
      </c>
      <c r="C788" s="14" t="str">
        <f>IFERROR(__xludf.DUMMYFUNCTION("""COMPUTED_VALUE"""),"紀凱喆")</f>
        <v>紀凱喆</v>
      </c>
      <c r="D788" s="16" t="str">
        <f>IFERROR(__xludf.DUMMYFUNCTION("""COMPUTED_VALUE"""),"d40*****tpc@mail.edu.tw")</f>
        <v>d40*****tpc@mail.edu.tw</v>
      </c>
      <c r="E788" s="17" t="str">
        <f>IFERROR(__xludf.DUMMYFUNCTION("""COMPUTED_VALUE"""),"新北市立五股國民中學")</f>
        <v>新北市立五股國民中學</v>
      </c>
      <c r="F788" s="14" t="str">
        <f>IFERROR(__xludf.DUMMYFUNCTION("""COMPUTED_VALUE"""),"八年級")</f>
        <v>八年級</v>
      </c>
      <c r="G788" s="14" t="str">
        <f>IFERROR(__xludf.DUMMYFUNCTION("""COMPUTED_VALUE"""),"●小禮物")</f>
        <v>●小禮物</v>
      </c>
      <c r="H788" s="8"/>
    </row>
    <row r="789">
      <c r="A789" s="18"/>
      <c r="B789" s="14">
        <f>IFERROR(__xludf.DUMMYFUNCTION("""COMPUTED_VALUE"""),1178113.0)</f>
        <v>1178113</v>
      </c>
      <c r="C789" s="14" t="str">
        <f>IFERROR(__xludf.DUMMYFUNCTION("""COMPUTED_VALUE"""),"張晏慈")</f>
        <v>張晏慈</v>
      </c>
      <c r="D789" s="16" t="str">
        <f>IFERROR(__xludf.DUMMYFUNCTION("""COMPUTED_VALUE"""),"d10*****ntpc@mail.edu.tw")</f>
        <v>d10*****ntpc@mail.edu.tw</v>
      </c>
      <c r="E789" s="17" t="str">
        <f>IFERROR(__xludf.DUMMYFUNCTION("""COMPUTED_VALUE"""),"新北市立五股國民中學")</f>
        <v>新北市立五股國民中學</v>
      </c>
      <c r="F789" s="14" t="str">
        <f>IFERROR(__xludf.DUMMYFUNCTION("""COMPUTED_VALUE"""),"八年級")</f>
        <v>八年級</v>
      </c>
      <c r="G789" s="14" t="str">
        <f>IFERROR(__xludf.DUMMYFUNCTION("""COMPUTED_VALUE"""),"●小禮物")</f>
        <v>●小禮物</v>
      </c>
      <c r="H789" s="8"/>
    </row>
    <row r="790">
      <c r="A790" s="18"/>
      <c r="B790" s="14">
        <f>IFERROR(__xludf.DUMMYFUNCTION("""COMPUTED_VALUE"""),1178121.0)</f>
        <v>1178121</v>
      </c>
      <c r="C790" s="14" t="str">
        <f>IFERROR(__xludf.DUMMYFUNCTION("""COMPUTED_VALUE"""),"張韶芸")</f>
        <v>張韶芸</v>
      </c>
      <c r="D790" s="16" t="str">
        <f>IFERROR(__xludf.DUMMYFUNCTION("""COMPUTED_VALUE"""),"d10*****ntpc@mail.edu.tw")</f>
        <v>d10*****ntpc@mail.edu.tw</v>
      </c>
      <c r="E790" s="17" t="str">
        <f>IFERROR(__xludf.DUMMYFUNCTION("""COMPUTED_VALUE"""),"新北市立五股國民中學")</f>
        <v>新北市立五股國民中學</v>
      </c>
      <c r="F790" s="14" t="str">
        <f>IFERROR(__xludf.DUMMYFUNCTION("""COMPUTED_VALUE"""),"八年級")</f>
        <v>八年級</v>
      </c>
      <c r="G790" s="14" t="str">
        <f>IFERROR(__xludf.DUMMYFUNCTION("""COMPUTED_VALUE"""),"●小禮物")</f>
        <v>●小禮物</v>
      </c>
      <c r="H790" s="8"/>
    </row>
    <row r="791">
      <c r="A791" s="18"/>
      <c r="B791" s="14">
        <f>IFERROR(__xludf.DUMMYFUNCTION("""COMPUTED_VALUE"""),1178119.0)</f>
        <v>1178119</v>
      </c>
      <c r="C791" s="14" t="str">
        <f>IFERROR(__xludf.DUMMYFUNCTION("""COMPUTED_VALUE"""),"陳姵君")</f>
        <v>陳姵君</v>
      </c>
      <c r="D791" s="16" t="str">
        <f>IFERROR(__xludf.DUMMYFUNCTION("""COMPUTED_VALUE"""),"ovo*****ntpc@mail.edu.tw")</f>
        <v>ovo*****ntpc@mail.edu.tw</v>
      </c>
      <c r="E791" s="17" t="str">
        <f>IFERROR(__xludf.DUMMYFUNCTION("""COMPUTED_VALUE"""),"新北市立五股國民中學")</f>
        <v>新北市立五股國民中學</v>
      </c>
      <c r="F791" s="14" t="str">
        <f>IFERROR(__xludf.DUMMYFUNCTION("""COMPUTED_VALUE"""),"八年級")</f>
        <v>八年級</v>
      </c>
      <c r="G791" s="14" t="str">
        <f>IFERROR(__xludf.DUMMYFUNCTION("""COMPUTED_VALUE"""),"●小禮物")</f>
        <v>●小禮物</v>
      </c>
      <c r="H791" s="8"/>
    </row>
    <row r="792">
      <c r="A792" s="18"/>
      <c r="B792" s="14">
        <f>IFERROR(__xludf.DUMMYFUNCTION("""COMPUTED_VALUE"""),1178135.0)</f>
        <v>1178135</v>
      </c>
      <c r="C792" s="14" t="str">
        <f>IFERROR(__xludf.DUMMYFUNCTION("""COMPUTED_VALUE"""),"蔡咏璇")</f>
        <v>蔡咏璇</v>
      </c>
      <c r="D792" s="16" t="str">
        <f>IFERROR(__xludf.DUMMYFUNCTION("""COMPUTED_VALUE"""),"kik*****tpc@mail.edu.tw")</f>
        <v>kik*****tpc@mail.edu.tw</v>
      </c>
      <c r="E792" s="17" t="str">
        <f>IFERROR(__xludf.DUMMYFUNCTION("""COMPUTED_VALUE"""),"新北市立五股國民中學")</f>
        <v>新北市立五股國民中學</v>
      </c>
      <c r="F792" s="14" t="str">
        <f>IFERROR(__xludf.DUMMYFUNCTION("""COMPUTED_VALUE"""),"八年級")</f>
        <v>八年級</v>
      </c>
      <c r="G792" s="14" t="str">
        <f>IFERROR(__xludf.DUMMYFUNCTION("""COMPUTED_VALUE"""),"●小禮物")</f>
        <v>●小禮物</v>
      </c>
      <c r="H792" s="8"/>
    </row>
    <row r="793">
      <c r="A793" s="18"/>
      <c r="B793" s="14">
        <f>IFERROR(__xludf.DUMMYFUNCTION("""COMPUTED_VALUE"""),1178115.0)</f>
        <v>1178115</v>
      </c>
      <c r="C793" s="14" t="str">
        <f>IFERROR(__xludf.DUMMYFUNCTION("""COMPUTED_VALUE"""),"羅楷傑")</f>
        <v>羅楷傑</v>
      </c>
      <c r="D793" s="16" t="str">
        <f>IFERROR(__xludf.DUMMYFUNCTION("""COMPUTED_VALUE"""),"jer*****4.ntpc@mail.edu.tw")</f>
        <v>jer*****4.ntpc@mail.edu.tw</v>
      </c>
      <c r="E793" s="17" t="str">
        <f>IFERROR(__xludf.DUMMYFUNCTION("""COMPUTED_VALUE"""),"新北市立五股國民中學")</f>
        <v>新北市立五股國民中學</v>
      </c>
      <c r="F793" s="14" t="str">
        <f>IFERROR(__xludf.DUMMYFUNCTION("""COMPUTED_VALUE"""),"八年級")</f>
        <v>八年級</v>
      </c>
      <c r="G793" s="14" t="str">
        <f>IFERROR(__xludf.DUMMYFUNCTION("""COMPUTED_VALUE"""),"●小禮物")</f>
        <v>●小禮物</v>
      </c>
      <c r="H793" s="8"/>
    </row>
    <row r="794">
      <c r="A794" s="18"/>
      <c r="B794" s="14">
        <f>IFERROR(__xludf.DUMMYFUNCTION("""COMPUTED_VALUE"""),1178132.0)</f>
        <v>1178132</v>
      </c>
      <c r="C794" s="14" t="str">
        <f>IFERROR(__xludf.DUMMYFUNCTION("""COMPUTED_VALUE"""),"江芷晴")</f>
        <v>江芷晴</v>
      </c>
      <c r="D794" s="16" t="str">
        <f>IFERROR(__xludf.DUMMYFUNCTION("""COMPUTED_VALUE"""),"sun*****.ntpc@mail.edu.tw")</f>
        <v>sun*****.ntpc@mail.edu.tw</v>
      </c>
      <c r="E794" s="17" t="str">
        <f>IFERROR(__xludf.DUMMYFUNCTION("""COMPUTED_VALUE"""),"新北市立五股國民中學")</f>
        <v>新北市立五股國民中學</v>
      </c>
      <c r="F794" s="14" t="str">
        <f>IFERROR(__xludf.DUMMYFUNCTION("""COMPUTED_VALUE"""),"八年級")</f>
        <v>八年級</v>
      </c>
      <c r="G794" s="14" t="str">
        <f>IFERROR(__xludf.DUMMYFUNCTION("""COMPUTED_VALUE"""),"獎狀")</f>
        <v>獎狀</v>
      </c>
      <c r="H794" s="8"/>
    </row>
    <row r="795">
      <c r="A795" s="18"/>
      <c r="B795" s="14">
        <f>IFERROR(__xludf.DUMMYFUNCTION("""COMPUTED_VALUE"""),1178182.0)</f>
        <v>1178182</v>
      </c>
      <c r="C795" s="14" t="str">
        <f>IFERROR(__xludf.DUMMYFUNCTION("""COMPUTED_VALUE"""),"吳子涵")</f>
        <v>吳子涵</v>
      </c>
      <c r="D795" s="16" t="str">
        <f>IFERROR(__xludf.DUMMYFUNCTION("""COMPUTED_VALUE"""),"z10*****pc@mail.edu.tw")</f>
        <v>z10*****pc@mail.edu.tw</v>
      </c>
      <c r="E795" s="17" t="str">
        <f>IFERROR(__xludf.DUMMYFUNCTION("""COMPUTED_VALUE"""),"新北市立五股國民中學")</f>
        <v>新北市立五股國民中學</v>
      </c>
      <c r="F795" s="14" t="str">
        <f>IFERROR(__xludf.DUMMYFUNCTION("""COMPUTED_VALUE"""),"八年級")</f>
        <v>八年級</v>
      </c>
      <c r="G795" s="14" t="str">
        <f>IFERROR(__xludf.DUMMYFUNCTION("""COMPUTED_VALUE"""),"獎狀")</f>
        <v>獎狀</v>
      </c>
      <c r="H795" s="8"/>
    </row>
    <row r="796">
      <c r="A796" s="18"/>
      <c r="B796" s="14">
        <f>IFERROR(__xludf.DUMMYFUNCTION("""COMPUTED_VALUE"""),1178110.0)</f>
        <v>1178110</v>
      </c>
      <c r="C796" s="14" t="str">
        <f>IFERROR(__xludf.DUMMYFUNCTION("""COMPUTED_VALUE"""),"林冠佑")</f>
        <v>林冠佑</v>
      </c>
      <c r="D796" s="16" t="str">
        <f>IFERROR(__xludf.DUMMYFUNCTION("""COMPUTED_VALUE"""),"yoy*****.ntpc@mail.edu.tw")</f>
        <v>yoy*****.ntpc@mail.edu.tw</v>
      </c>
      <c r="E796" s="17" t="str">
        <f>IFERROR(__xludf.DUMMYFUNCTION("""COMPUTED_VALUE"""),"新北市立五股國民中學")</f>
        <v>新北市立五股國民中學</v>
      </c>
      <c r="F796" s="14" t="str">
        <f>IFERROR(__xludf.DUMMYFUNCTION("""COMPUTED_VALUE"""),"八年級")</f>
        <v>八年級</v>
      </c>
      <c r="G796" s="14" t="str">
        <f>IFERROR(__xludf.DUMMYFUNCTION("""COMPUTED_VALUE"""),"獎狀")</f>
        <v>獎狀</v>
      </c>
      <c r="H796" s="8"/>
    </row>
    <row r="797">
      <c r="A797" s="18"/>
      <c r="B797" s="14">
        <f>IFERROR(__xludf.DUMMYFUNCTION("""COMPUTED_VALUE"""),1201440.0)</f>
        <v>1201440</v>
      </c>
      <c r="C797" s="14" t="str">
        <f>IFERROR(__xludf.DUMMYFUNCTION("""COMPUTED_VALUE"""),"張佳鈴")</f>
        <v>張佳鈴</v>
      </c>
      <c r="D797" s="16" t="str">
        <f>IFERROR(__xludf.DUMMYFUNCTION("""COMPUTED_VALUE"""),"que*****23@apps.ntpc.edu.tw")</f>
        <v>que*****23@apps.ntpc.edu.tw</v>
      </c>
      <c r="E797" s="17" t="str">
        <f>IFERROR(__xludf.DUMMYFUNCTION("""COMPUTED_VALUE"""),"新北市立五股國民中學")</f>
        <v>新北市立五股國民中學</v>
      </c>
      <c r="F797" s="14" t="str">
        <f>IFERROR(__xludf.DUMMYFUNCTION("""COMPUTED_VALUE"""),"八年級")</f>
        <v>八年級</v>
      </c>
      <c r="G797" s="14" t="str">
        <f>IFERROR(__xludf.DUMMYFUNCTION("""COMPUTED_VALUE"""),"獎狀")</f>
        <v>獎狀</v>
      </c>
      <c r="H797" s="8"/>
    </row>
    <row r="798">
      <c r="A798" s="18"/>
      <c r="B798" s="14">
        <f>IFERROR(__xludf.DUMMYFUNCTION("""COMPUTED_VALUE"""),1201994.0)</f>
        <v>1201994</v>
      </c>
      <c r="C798" s="14" t="str">
        <f>IFERROR(__xludf.DUMMYFUNCTION("""COMPUTED_VALUE"""),"陳映汝")</f>
        <v>陳映汝</v>
      </c>
      <c r="D798" s="16" t="str">
        <f>IFERROR(__xludf.DUMMYFUNCTION("""COMPUTED_VALUE"""),"z30*****pps.ntpc.edu.tw")</f>
        <v>z30*****pps.ntpc.edu.tw</v>
      </c>
      <c r="E798" s="17" t="str">
        <f>IFERROR(__xludf.DUMMYFUNCTION("""COMPUTED_VALUE"""),"新北市立五股國民中學")</f>
        <v>新北市立五股國民中學</v>
      </c>
      <c r="F798" s="14" t="str">
        <f>IFERROR(__xludf.DUMMYFUNCTION("""COMPUTED_VALUE"""),"八年級")</f>
        <v>八年級</v>
      </c>
      <c r="G798" s="14" t="str">
        <f>IFERROR(__xludf.DUMMYFUNCTION("""COMPUTED_VALUE"""),"獎狀")</f>
        <v>獎狀</v>
      </c>
      <c r="H798" s="8"/>
    </row>
    <row r="799">
      <c r="A799" s="18"/>
      <c r="B799" s="14">
        <f>IFERROR(__xludf.DUMMYFUNCTION("""COMPUTED_VALUE"""),1178200.0)</f>
        <v>1178200</v>
      </c>
      <c r="C799" s="14" t="str">
        <f>IFERROR(__xludf.DUMMYFUNCTION("""COMPUTED_VALUE"""),"楊立安")</f>
        <v>楊立安</v>
      </c>
      <c r="D799" s="16" t="str">
        <f>IFERROR(__xludf.DUMMYFUNCTION("""COMPUTED_VALUE"""),"a38*****2.ntpc@mail.edu.tw")</f>
        <v>a38*****2.ntpc@mail.edu.tw</v>
      </c>
      <c r="E799" s="17" t="str">
        <f>IFERROR(__xludf.DUMMYFUNCTION("""COMPUTED_VALUE"""),"新北市立五股國民中學")</f>
        <v>新北市立五股國民中學</v>
      </c>
      <c r="F799" s="14" t="str">
        <f>IFERROR(__xludf.DUMMYFUNCTION("""COMPUTED_VALUE"""),"八年級")</f>
        <v>八年級</v>
      </c>
      <c r="G799" s="14" t="str">
        <f>IFERROR(__xludf.DUMMYFUNCTION("""COMPUTED_VALUE"""),"獎狀")</f>
        <v>獎狀</v>
      </c>
      <c r="H799" s="8"/>
    </row>
    <row r="800">
      <c r="A800" s="18"/>
      <c r="B800" s="14">
        <f>IFERROR(__xludf.DUMMYFUNCTION("""COMPUTED_VALUE"""),1190919.0)</f>
        <v>1190919</v>
      </c>
      <c r="C800" s="14" t="str">
        <f>IFERROR(__xludf.DUMMYFUNCTION("""COMPUTED_VALUE"""),"劉松和")</f>
        <v>劉松和</v>
      </c>
      <c r="D800" s="16" t="str">
        <f>IFERROR(__xludf.DUMMYFUNCTION("""COMPUTED_VALUE"""),"d40*****tpc@mail.edu.tw")</f>
        <v>d40*****tpc@mail.edu.tw</v>
      </c>
      <c r="E800" s="17" t="str">
        <f>IFERROR(__xludf.DUMMYFUNCTION("""COMPUTED_VALUE"""),"新北市立五股國民中學")</f>
        <v>新北市立五股國民中學</v>
      </c>
      <c r="F800" s="14" t="str">
        <f>IFERROR(__xludf.DUMMYFUNCTION("""COMPUTED_VALUE"""),"八年級")</f>
        <v>八年級</v>
      </c>
      <c r="G800" s="14" t="str">
        <f>IFERROR(__xludf.DUMMYFUNCTION("""COMPUTED_VALUE"""),"獎狀")</f>
        <v>獎狀</v>
      </c>
      <c r="H800" s="8"/>
    </row>
    <row r="801">
      <c r="A801" s="18"/>
      <c r="B801" s="14">
        <f>IFERROR(__xludf.DUMMYFUNCTION("""COMPUTED_VALUE"""),315489.0)</f>
        <v>315489</v>
      </c>
      <c r="C801" s="14" t="str">
        <f>IFERROR(__xludf.DUMMYFUNCTION("""COMPUTED_VALUE"""),"歐陽平")</f>
        <v>歐陽平</v>
      </c>
      <c r="D801" s="16" t="str">
        <f>IFERROR(__xludf.DUMMYFUNCTION("""COMPUTED_VALUE"""),"osc*****mail.edu.tw")</f>
        <v>osc*****mail.edu.tw</v>
      </c>
      <c r="E801" s="17" t="str">
        <f>IFERROR(__xludf.DUMMYFUNCTION("""COMPUTED_VALUE"""),"新北市立五股國民中學")</f>
        <v>新北市立五股國民中學</v>
      </c>
      <c r="F801" s="14" t="str">
        <f>IFERROR(__xludf.DUMMYFUNCTION("""COMPUTED_VALUE"""),"八年級")</f>
        <v>八年級</v>
      </c>
      <c r="G801" s="14" t="str">
        <f>IFERROR(__xludf.DUMMYFUNCTION("""COMPUTED_VALUE"""),"獎狀")</f>
        <v>獎狀</v>
      </c>
      <c r="H801" s="8"/>
    </row>
    <row r="802">
      <c r="A802" s="18"/>
      <c r="B802" s="14">
        <f>IFERROR(__xludf.DUMMYFUNCTION("""COMPUTED_VALUE"""),1178131.0)</f>
        <v>1178131</v>
      </c>
      <c r="C802" s="14" t="str">
        <f>IFERROR(__xludf.DUMMYFUNCTION("""COMPUTED_VALUE"""),"鄭伃媗")</f>
        <v>鄭伃媗</v>
      </c>
      <c r="D802" s="16" t="str">
        <f>IFERROR(__xludf.DUMMYFUNCTION("""COMPUTED_VALUE"""),"nan*****4@mail.edu.tw")</f>
        <v>nan*****4@mail.edu.tw</v>
      </c>
      <c r="E802" s="17" t="str">
        <f>IFERROR(__xludf.DUMMYFUNCTION("""COMPUTED_VALUE"""),"新北市立五股國民中學")</f>
        <v>新北市立五股國民中學</v>
      </c>
      <c r="F802" s="14" t="str">
        <f>IFERROR(__xludf.DUMMYFUNCTION("""COMPUTED_VALUE"""),"八年級")</f>
        <v>八年級</v>
      </c>
      <c r="G802" s="14" t="str">
        <f>IFERROR(__xludf.DUMMYFUNCTION("""COMPUTED_VALUE"""),"獎狀")</f>
        <v>獎狀</v>
      </c>
      <c r="H802" s="8"/>
    </row>
    <row r="803">
      <c r="A803" s="18"/>
      <c r="B803" s="14">
        <f>IFERROR(__xludf.DUMMYFUNCTION("""COMPUTED_VALUE"""),220636.0)</f>
        <v>220636</v>
      </c>
      <c r="C803" s="14" t="str">
        <f>IFERROR(__xludf.DUMMYFUNCTION("""COMPUTED_VALUE"""),"霍芳婕")</f>
        <v>霍芳婕</v>
      </c>
      <c r="D803" s="16" t="str">
        <f>IFERROR(__xludf.DUMMYFUNCTION("""COMPUTED_VALUE"""),"bab*****@apps.ntpc.edu.tw")</f>
        <v>bab*****@apps.ntpc.edu.tw</v>
      </c>
      <c r="E803" s="17" t="str">
        <f>IFERROR(__xludf.DUMMYFUNCTION("""COMPUTED_VALUE"""),"新北市立五股國民中學")</f>
        <v>新北市立五股國民中學</v>
      </c>
      <c r="F803" s="14" t="str">
        <f>IFERROR(__xludf.DUMMYFUNCTION("""COMPUTED_VALUE"""),"八年級")</f>
        <v>八年級</v>
      </c>
      <c r="G803" s="14" t="str">
        <f>IFERROR(__xludf.DUMMYFUNCTION("""COMPUTED_VALUE"""),"獎狀")</f>
        <v>獎狀</v>
      </c>
      <c r="H803" s="8"/>
    </row>
    <row r="804">
      <c r="A804" s="18"/>
      <c r="B804" s="14">
        <f>IFERROR(__xludf.DUMMYFUNCTION("""COMPUTED_VALUE"""),1178196.0)</f>
        <v>1178196</v>
      </c>
      <c r="C804" s="14" t="str">
        <f>IFERROR(__xludf.DUMMYFUNCTION("""COMPUTED_VALUE"""),"鐘品程")</f>
        <v>鐘品程</v>
      </c>
      <c r="D804" s="16" t="str">
        <f>IFERROR(__xludf.DUMMYFUNCTION("""COMPUTED_VALUE"""),"chr*****.ntpc@mail.edu.tw")</f>
        <v>chr*****.ntpc@mail.edu.tw</v>
      </c>
      <c r="E804" s="17" t="str">
        <f>IFERROR(__xludf.DUMMYFUNCTION("""COMPUTED_VALUE"""),"新北市立五股國民中學")</f>
        <v>新北市立五股國民中學</v>
      </c>
      <c r="F804" s="14" t="str">
        <f>IFERROR(__xludf.DUMMYFUNCTION("""COMPUTED_VALUE"""),"八年級")</f>
        <v>八年級</v>
      </c>
      <c r="G804" s="14" t="str">
        <f>IFERROR(__xludf.DUMMYFUNCTION("""COMPUTED_VALUE"""),"獎狀")</f>
        <v>獎狀</v>
      </c>
      <c r="H804" s="8"/>
    </row>
    <row r="805">
      <c r="A805" s="18"/>
      <c r="B805" s="14">
        <f>IFERROR(__xludf.DUMMYFUNCTION("""COMPUTED_VALUE"""),1099807.0)</f>
        <v>1099807</v>
      </c>
      <c r="C805" s="14" t="str">
        <f>IFERROR(__xludf.DUMMYFUNCTION("""COMPUTED_VALUE"""),"黃浚軒")</f>
        <v>黃浚軒</v>
      </c>
      <c r="D805" s="16" t="str">
        <f>IFERROR(__xludf.DUMMYFUNCTION("""COMPUTED_VALUE"""),"end*****i@gmail.com")</f>
        <v>end*****i@gmail.com</v>
      </c>
      <c r="E805" s="17" t="str">
        <f>IFERROR(__xludf.DUMMYFUNCTION("""COMPUTED_VALUE"""),"新北市立淡水國民中學")</f>
        <v>新北市立淡水國民中學</v>
      </c>
      <c r="F805" s="14" t="str">
        <f>IFERROR(__xludf.DUMMYFUNCTION("""COMPUTED_VALUE"""),"七年級")</f>
        <v>七年級</v>
      </c>
      <c r="G805" s="14" t="str">
        <f>IFERROR(__xludf.DUMMYFUNCTION("""COMPUTED_VALUE"""),"獎狀")</f>
        <v>獎狀</v>
      </c>
      <c r="H805" s="8"/>
    </row>
    <row r="806">
      <c r="A806" s="18"/>
      <c r="B806" s="14">
        <f>IFERROR(__xludf.DUMMYFUNCTION("""COMPUTED_VALUE"""),1183045.0)</f>
        <v>1183045</v>
      </c>
      <c r="C806" s="14" t="str">
        <f>IFERROR(__xludf.DUMMYFUNCTION("""COMPUTED_VALUE"""),"林芯芸")</f>
        <v>林芯芸</v>
      </c>
      <c r="D806" s="16" t="str">
        <f>IFERROR(__xludf.DUMMYFUNCTION("""COMPUTED_VALUE"""),"cin*****5.stdilc@mail.edu.tw")</f>
        <v>cin*****5.stdilc@mail.edu.tw</v>
      </c>
      <c r="E806" s="17" t="str">
        <f>IFERROR(__xludf.DUMMYFUNCTION("""COMPUTED_VALUE"""),"宜蘭縣立中華國民中學")</f>
        <v>宜蘭縣立中華國民中學</v>
      </c>
      <c r="F806" s="14" t="str">
        <f>IFERROR(__xludf.DUMMYFUNCTION("""COMPUTED_VALUE"""),"八年級")</f>
        <v>八年級</v>
      </c>
      <c r="G806" s="14" t="str">
        <f>IFERROR(__xludf.DUMMYFUNCTION("""COMPUTED_VALUE"""),"獎狀")</f>
        <v>獎狀</v>
      </c>
      <c r="H806" s="8"/>
    </row>
    <row r="807">
      <c r="A807" s="18"/>
      <c r="B807" s="14">
        <f>IFERROR(__xludf.DUMMYFUNCTION("""COMPUTED_VALUE"""),810924.0)</f>
        <v>810924</v>
      </c>
      <c r="C807" s="14" t="str">
        <f>IFERROR(__xludf.DUMMYFUNCTION("""COMPUTED_VALUE"""),"鄭鈺慈")</f>
        <v>鄭鈺慈</v>
      </c>
      <c r="D807" s="16" t="str">
        <f>IFERROR(__xludf.DUMMYFUNCTION("""COMPUTED_VALUE"""),"sam*****tdilc@mail.edu.tw")</f>
        <v>sam*****tdilc@mail.edu.tw</v>
      </c>
      <c r="E807" s="17" t="str">
        <f>IFERROR(__xludf.DUMMYFUNCTION("""COMPUTED_VALUE"""),"宜蘭縣立中華國民中學")</f>
        <v>宜蘭縣立中華國民中學</v>
      </c>
      <c r="F807" s="14" t="str">
        <f>IFERROR(__xludf.DUMMYFUNCTION("""COMPUTED_VALUE"""),"九年級")</f>
        <v>九年級</v>
      </c>
      <c r="G807" s="14" t="str">
        <f>IFERROR(__xludf.DUMMYFUNCTION("""COMPUTED_VALUE"""),"●小禮物")</f>
        <v>●小禮物</v>
      </c>
      <c r="H807" s="8"/>
    </row>
    <row r="808">
      <c r="A808" s="18"/>
      <c r="B808" s="14">
        <f>IFERROR(__xludf.DUMMYFUNCTION("""COMPUTED_VALUE"""),133685.0)</f>
        <v>133685</v>
      </c>
      <c r="C808" s="14" t="str">
        <f>IFERROR(__xludf.DUMMYFUNCTION("""COMPUTED_VALUE"""),"賴奕帆")</f>
        <v>賴奕帆</v>
      </c>
      <c r="D808" s="16" t="str">
        <f>IFERROR(__xludf.DUMMYFUNCTION("""COMPUTED_VALUE"""),"jse*****012@smail.ilc.edu.tw")</f>
        <v>jse*****012@smail.ilc.edu.tw</v>
      </c>
      <c r="E808" s="17" t="str">
        <f>IFERROR(__xludf.DUMMYFUNCTION("""COMPUTED_VALUE"""),"宜蘭縣立中華國民中學")</f>
        <v>宜蘭縣立中華國民中學</v>
      </c>
      <c r="F808" s="14" t="str">
        <f>IFERROR(__xludf.DUMMYFUNCTION("""COMPUTED_VALUE"""),"九年級")</f>
        <v>九年級</v>
      </c>
      <c r="G808" s="14" t="str">
        <f>IFERROR(__xludf.DUMMYFUNCTION("""COMPUTED_VALUE"""),"獎狀")</f>
        <v>獎狀</v>
      </c>
      <c r="H808" s="8"/>
    </row>
    <row r="809">
      <c r="A809" s="18"/>
      <c r="B809" s="14">
        <f>IFERROR(__xludf.DUMMYFUNCTION("""COMPUTED_VALUE"""),564677.0)</f>
        <v>564677</v>
      </c>
      <c r="C809" s="14" t="str">
        <f>IFERROR(__xludf.DUMMYFUNCTION("""COMPUTED_VALUE"""),"杜沛芩")</f>
        <v>杜沛芩</v>
      </c>
      <c r="D809" s="16" t="str">
        <f>IFERROR(__xludf.DUMMYFUNCTION("""COMPUTED_VALUE"""),"105*****tdilc@mail.edu.tw")</f>
        <v>105*****tdilc@mail.edu.tw</v>
      </c>
      <c r="E809" s="17" t="str">
        <f>IFERROR(__xludf.DUMMYFUNCTION("""COMPUTED_VALUE"""),"宜蘭縣立復興國民中學")</f>
        <v>宜蘭縣立復興國民中學</v>
      </c>
      <c r="F809" s="14" t="str">
        <f>IFERROR(__xludf.DUMMYFUNCTION("""COMPUTED_VALUE"""),"七年級")</f>
        <v>七年級</v>
      </c>
      <c r="G809" s="14" t="str">
        <f>IFERROR(__xludf.DUMMYFUNCTION("""COMPUTED_VALUE"""),"獎狀")</f>
        <v>獎狀</v>
      </c>
      <c r="H809" s="8"/>
    </row>
    <row r="810">
      <c r="A810" s="18"/>
      <c r="B810" s="14">
        <f>IFERROR(__xludf.DUMMYFUNCTION("""COMPUTED_VALUE"""),1024161.0)</f>
        <v>1024161</v>
      </c>
      <c r="C810" s="14" t="str">
        <f>IFERROR(__xludf.DUMMYFUNCTION("""COMPUTED_VALUE"""),"洪晞澐")</f>
        <v>洪晞澐</v>
      </c>
      <c r="D810" s="16" t="str">
        <f>IFERROR(__xludf.DUMMYFUNCTION("""COMPUTED_VALUE"""),"110*****y@smail.ilc.edu.tw")</f>
        <v>110*****y@smail.ilc.edu.tw</v>
      </c>
      <c r="E810" s="17" t="str">
        <f>IFERROR(__xludf.DUMMYFUNCTION("""COMPUTED_VALUE"""),"宜蘭縣立復興國民中學")</f>
        <v>宜蘭縣立復興國民中學</v>
      </c>
      <c r="F810" s="14" t="str">
        <f>IFERROR(__xludf.DUMMYFUNCTION("""COMPUTED_VALUE"""),"七年級")</f>
        <v>七年級</v>
      </c>
      <c r="G810" s="14" t="str">
        <f>IFERROR(__xludf.DUMMYFUNCTION("""COMPUTED_VALUE"""),"獎狀")</f>
        <v>獎狀</v>
      </c>
      <c r="H810" s="8"/>
    </row>
    <row r="811">
      <c r="A811" s="18"/>
      <c r="B811" s="14">
        <f>IFERROR(__xludf.DUMMYFUNCTION("""COMPUTED_VALUE"""),1200426.0)</f>
        <v>1200426</v>
      </c>
      <c r="C811" s="14" t="str">
        <f>IFERROR(__xludf.DUMMYFUNCTION("""COMPUTED_VALUE"""),"陳稼鴻")</f>
        <v>陳稼鴻</v>
      </c>
      <c r="D811" s="16" t="str">
        <f>IFERROR(__xludf.DUMMYFUNCTION("""COMPUTED_VALUE"""),"dav*****2@smail.ilc.edu.tw")</f>
        <v>dav*****2@smail.ilc.edu.tw</v>
      </c>
      <c r="E811" s="17" t="str">
        <f>IFERROR(__xludf.DUMMYFUNCTION("""COMPUTED_VALUE"""),"宜蘭縣立復興國民中學")</f>
        <v>宜蘭縣立復興國民中學</v>
      </c>
      <c r="F811" s="14" t="str">
        <f>IFERROR(__xludf.DUMMYFUNCTION("""COMPUTED_VALUE"""),"八年級")</f>
        <v>八年級</v>
      </c>
      <c r="G811" s="14" t="str">
        <f>IFERROR(__xludf.DUMMYFUNCTION("""COMPUTED_VALUE"""),"●小禮物")</f>
        <v>●小禮物</v>
      </c>
      <c r="H811" s="8"/>
    </row>
    <row r="812">
      <c r="A812" s="18"/>
      <c r="B812" s="14">
        <f>IFERROR(__xludf.DUMMYFUNCTION("""COMPUTED_VALUE"""),1200427.0)</f>
        <v>1200427</v>
      </c>
      <c r="C812" s="14" t="str">
        <f>IFERROR(__xludf.DUMMYFUNCTION("""COMPUTED_VALUE"""),"蔡伊崙")</f>
        <v>蔡伊崙</v>
      </c>
      <c r="D812" s="16" t="str">
        <f>IFERROR(__xludf.DUMMYFUNCTION("""COMPUTED_VALUE"""),"all*****i1113@smail.ilc.edu.tw")</f>
        <v>all*****i1113@smail.ilc.edu.tw</v>
      </c>
      <c r="E812" s="17" t="str">
        <f>IFERROR(__xludf.DUMMYFUNCTION("""COMPUTED_VALUE"""),"宜蘭縣立復興國民中學")</f>
        <v>宜蘭縣立復興國民中學</v>
      </c>
      <c r="F812" s="14" t="str">
        <f>IFERROR(__xludf.DUMMYFUNCTION("""COMPUTED_VALUE"""),"八年級")</f>
        <v>八年級</v>
      </c>
      <c r="G812" s="14" t="str">
        <f>IFERROR(__xludf.DUMMYFUNCTION("""COMPUTED_VALUE"""),"●小禮物")</f>
        <v>●小禮物</v>
      </c>
      <c r="H812" s="8"/>
    </row>
    <row r="813">
      <c r="A813" s="18"/>
      <c r="B813" s="14">
        <f>IFERROR(__xludf.DUMMYFUNCTION("""COMPUTED_VALUE"""),1114466.0)</f>
        <v>1114466</v>
      </c>
      <c r="C813" s="14" t="str">
        <f>IFERROR(__xludf.DUMMYFUNCTION("""COMPUTED_VALUE"""),"張綵珊")</f>
        <v>張綵珊</v>
      </c>
      <c r="D813" s="16" t="str">
        <f>IFERROR(__xludf.DUMMYFUNCTION("""COMPUTED_VALUE"""),"can*****66@gmail.com")</f>
        <v>can*****66@gmail.com</v>
      </c>
      <c r="E813" s="17" t="str">
        <f>IFERROR(__xludf.DUMMYFUNCTION("""COMPUTED_VALUE"""),"宜蘭縣立復興國民中學")</f>
        <v>宜蘭縣立復興國民中學</v>
      </c>
      <c r="F813" s="14" t="str">
        <f>IFERROR(__xludf.DUMMYFUNCTION("""COMPUTED_VALUE"""),"八年級")</f>
        <v>八年級</v>
      </c>
      <c r="G813" s="14" t="str">
        <f>IFERROR(__xludf.DUMMYFUNCTION("""COMPUTED_VALUE"""),"●小禮物")</f>
        <v>●小禮物</v>
      </c>
      <c r="H813" s="8"/>
    </row>
    <row r="814">
      <c r="A814" s="18"/>
      <c r="B814" s="14">
        <f>IFERROR(__xludf.DUMMYFUNCTION("""COMPUTED_VALUE"""),133948.0)</f>
        <v>133948</v>
      </c>
      <c r="C814" s="14" t="str">
        <f>IFERROR(__xludf.DUMMYFUNCTION("""COMPUTED_VALUE"""),"陳芊秀")</f>
        <v>陳芊秀</v>
      </c>
      <c r="D814" s="16" t="str">
        <f>IFERROR(__xludf.DUMMYFUNCTION("""COMPUTED_VALUE"""),"she*****0930@smail.ilc.edu.tw")</f>
        <v>she*****0930@smail.ilc.edu.tw</v>
      </c>
      <c r="E814" s="17" t="str">
        <f>IFERROR(__xludf.DUMMYFUNCTION("""COMPUTED_VALUE"""),"宜蘭縣立復興國民中學")</f>
        <v>宜蘭縣立復興國民中學</v>
      </c>
      <c r="F814" s="14" t="str">
        <f>IFERROR(__xludf.DUMMYFUNCTION("""COMPUTED_VALUE"""),"八年級")</f>
        <v>八年級</v>
      </c>
      <c r="G814" s="14" t="str">
        <f>IFERROR(__xludf.DUMMYFUNCTION("""COMPUTED_VALUE"""),"獎狀")</f>
        <v>獎狀</v>
      </c>
      <c r="H814" s="8"/>
    </row>
    <row r="815">
      <c r="A815" s="18"/>
      <c r="B815" s="14">
        <f>IFERROR(__xludf.DUMMYFUNCTION("""COMPUTED_VALUE"""),411167.0)</f>
        <v>411167</v>
      </c>
      <c r="C815" s="14" t="str">
        <f>IFERROR(__xludf.DUMMYFUNCTION("""COMPUTED_VALUE"""),"呂姸旻")</f>
        <v>呂姸旻</v>
      </c>
      <c r="D815" s="16" t="str">
        <f>IFERROR(__xludf.DUMMYFUNCTION("""COMPUTED_VALUE"""),"def*****stdilc@mail.edu.tw")</f>
        <v>def*****stdilc@mail.edu.tw</v>
      </c>
      <c r="E815" s="17" t="str">
        <f>IFERROR(__xludf.DUMMYFUNCTION("""COMPUTED_VALUE"""),"宜蘭縣立復興國民中學")</f>
        <v>宜蘭縣立復興國民中學</v>
      </c>
      <c r="F815" s="14" t="str">
        <f>IFERROR(__xludf.DUMMYFUNCTION("""COMPUTED_VALUE"""),"九年級")</f>
        <v>九年級</v>
      </c>
      <c r="G815" s="14" t="str">
        <f>IFERROR(__xludf.DUMMYFUNCTION("""COMPUTED_VALUE"""),"●小禮物")</f>
        <v>●小禮物</v>
      </c>
      <c r="H815" s="8"/>
    </row>
    <row r="816">
      <c r="A816" s="18"/>
      <c r="B816" s="14">
        <f>IFERROR(__xludf.DUMMYFUNCTION("""COMPUTED_VALUE"""),72709.0)</f>
        <v>72709</v>
      </c>
      <c r="C816" s="14" t="str">
        <f>IFERROR(__xludf.DUMMYFUNCTION("""COMPUTED_VALUE"""),"余淯浤")</f>
        <v>余淯浤</v>
      </c>
      <c r="D816" s="16" t="str">
        <f>IFERROR(__xludf.DUMMYFUNCTION("""COMPUTED_VALUE"""),"a10*****smail.ilc.edu.tw")</f>
        <v>a10*****smail.ilc.edu.tw</v>
      </c>
      <c r="E816" s="17" t="str">
        <f>IFERROR(__xludf.DUMMYFUNCTION("""COMPUTED_VALUE"""),"宜蘭縣立復興國民中學")</f>
        <v>宜蘭縣立復興國民中學</v>
      </c>
      <c r="F816" s="14" t="str">
        <f>IFERROR(__xludf.DUMMYFUNCTION("""COMPUTED_VALUE"""),"九年級")</f>
        <v>九年級</v>
      </c>
      <c r="G816" s="14" t="str">
        <f>IFERROR(__xludf.DUMMYFUNCTION("""COMPUTED_VALUE"""),"獎狀")</f>
        <v>獎狀</v>
      </c>
      <c r="H816" s="8"/>
    </row>
    <row r="817">
      <c r="A817" s="18"/>
      <c r="B817" s="14">
        <f>IFERROR(__xludf.DUMMYFUNCTION("""COMPUTED_VALUE"""),280208.0)</f>
        <v>280208</v>
      </c>
      <c r="C817" s="14" t="str">
        <f>IFERROR(__xludf.DUMMYFUNCTION("""COMPUTED_VALUE"""),"江亦婕")</f>
        <v>江亦婕</v>
      </c>
      <c r="D817" s="16" t="str">
        <f>IFERROR(__xludf.DUMMYFUNCTION("""COMPUTED_VALUE"""),"jse*****020.stdilc@mail.edu.tw")</f>
        <v>jse*****020.stdilc@mail.edu.tw</v>
      </c>
      <c r="E817" s="17" t="str">
        <f>IFERROR(__xludf.DUMMYFUNCTION("""COMPUTED_VALUE"""),"宜蘭縣立宜蘭國民中學")</f>
        <v>宜蘭縣立宜蘭國民中學</v>
      </c>
      <c r="F817" s="14" t="str">
        <f>IFERROR(__xludf.DUMMYFUNCTION("""COMPUTED_VALUE"""),"七年級")</f>
        <v>七年級</v>
      </c>
      <c r="G817" s="14" t="str">
        <f>IFERROR(__xludf.DUMMYFUNCTION("""COMPUTED_VALUE"""),"獎狀")</f>
        <v>獎狀</v>
      </c>
      <c r="H817" s="8"/>
    </row>
    <row r="818">
      <c r="A818" s="18"/>
      <c r="B818" s="14">
        <f>IFERROR(__xludf.DUMMYFUNCTION("""COMPUTED_VALUE"""),278517.0)</f>
        <v>278517</v>
      </c>
      <c r="C818" s="14" t="str">
        <f>IFERROR(__xludf.DUMMYFUNCTION("""COMPUTED_VALUE"""),"林鈺燊")</f>
        <v>林鈺燊</v>
      </c>
      <c r="D818" s="16" t="str">
        <f>IFERROR(__xludf.DUMMYFUNCTION("""COMPUTED_VALUE"""),"jse*****041.stdilc@mail.edu.tw")</f>
        <v>jse*****041.stdilc@mail.edu.tw</v>
      </c>
      <c r="E818" s="17" t="str">
        <f>IFERROR(__xludf.DUMMYFUNCTION("""COMPUTED_VALUE"""),"宜蘭縣立宜蘭國民中學")</f>
        <v>宜蘭縣立宜蘭國民中學</v>
      </c>
      <c r="F818" s="14" t="str">
        <f>IFERROR(__xludf.DUMMYFUNCTION("""COMPUTED_VALUE"""),"八年級")</f>
        <v>八年級</v>
      </c>
      <c r="G818" s="14" t="str">
        <f>IFERROR(__xludf.DUMMYFUNCTION("""COMPUTED_VALUE"""),"●小禮物")</f>
        <v>●小禮物</v>
      </c>
      <c r="H818" s="8"/>
    </row>
    <row r="819">
      <c r="A819" s="18"/>
      <c r="B819" s="14">
        <f>IFERROR(__xludf.DUMMYFUNCTION("""COMPUTED_VALUE"""),309239.0)</f>
        <v>309239</v>
      </c>
      <c r="C819" s="14" t="str">
        <f>IFERROR(__xludf.DUMMYFUNCTION("""COMPUTED_VALUE"""),"潘妍聿")</f>
        <v>潘妍聿</v>
      </c>
      <c r="D819" s="16" t="str">
        <f>IFERROR(__xludf.DUMMYFUNCTION("""COMPUTED_VALUE"""),"ish*****stdilc@mail.edu.tw")</f>
        <v>ish*****stdilc@mail.edu.tw</v>
      </c>
      <c r="E819" s="17" t="str">
        <f>IFERROR(__xludf.DUMMYFUNCTION("""COMPUTED_VALUE"""),"宜蘭縣立宜蘭國民中學")</f>
        <v>宜蘭縣立宜蘭國民中學</v>
      </c>
      <c r="F819" s="14" t="str">
        <f>IFERROR(__xludf.DUMMYFUNCTION("""COMPUTED_VALUE"""),"八年級")</f>
        <v>八年級</v>
      </c>
      <c r="G819" s="14" t="str">
        <f>IFERROR(__xludf.DUMMYFUNCTION("""COMPUTED_VALUE"""),"●小禮物")</f>
        <v>●小禮物</v>
      </c>
      <c r="H819" s="8"/>
    </row>
    <row r="820">
      <c r="A820" s="18"/>
      <c r="B820" s="14">
        <f>IFERROR(__xludf.DUMMYFUNCTION("""COMPUTED_VALUE"""),1189418.0)</f>
        <v>1189418</v>
      </c>
      <c r="C820" s="14" t="str">
        <f>IFERROR(__xludf.DUMMYFUNCTION("""COMPUTED_VALUE"""),"黃鉦穎")</f>
        <v>黃鉦穎</v>
      </c>
      <c r="D820" s="16" t="str">
        <f>IFERROR(__xludf.DUMMYFUNCTION("""COMPUTED_VALUE"""),"j11*****@cdsh.ilc.edu.tw")</f>
        <v>j11*****@cdsh.ilc.edu.tw</v>
      </c>
      <c r="E820" s="17" t="str">
        <f>IFERROR(__xludf.DUMMYFUNCTION("""COMPUTED_VALUE"""),"中道學校財團法人宜蘭縣中道高級中學附設國中部")</f>
        <v>中道學校財團法人宜蘭縣中道高級中學附設國中部</v>
      </c>
      <c r="F820" s="14" t="str">
        <f>IFERROR(__xludf.DUMMYFUNCTION("""COMPUTED_VALUE"""),"七年級")</f>
        <v>七年級</v>
      </c>
      <c r="G820" s="14" t="str">
        <f>IFERROR(__xludf.DUMMYFUNCTION("""COMPUTED_VALUE"""),"●小禮物")</f>
        <v>●小禮物</v>
      </c>
      <c r="H820" s="8"/>
    </row>
    <row r="821">
      <c r="A821" s="18"/>
      <c r="B821" s="14">
        <f>IFERROR(__xludf.DUMMYFUNCTION("""COMPUTED_VALUE"""),1186920.0)</f>
        <v>1186920</v>
      </c>
      <c r="C821" s="14" t="str">
        <f>IFERROR(__xludf.DUMMYFUNCTION("""COMPUTED_VALUE"""),"賴裕清")</f>
        <v>賴裕清</v>
      </c>
      <c r="D821" s="16" t="str">
        <f>IFERROR(__xludf.DUMMYFUNCTION("""COMPUTED_VALUE"""),"j11*****@cdsh.ilc.edu.tw")</f>
        <v>j11*****@cdsh.ilc.edu.tw</v>
      </c>
      <c r="E821" s="17" t="str">
        <f>IFERROR(__xludf.DUMMYFUNCTION("""COMPUTED_VALUE"""),"中道學校財團法人宜蘭縣中道高級中學附設國中部")</f>
        <v>中道學校財團法人宜蘭縣中道高級中學附設國中部</v>
      </c>
      <c r="F821" s="14" t="str">
        <f>IFERROR(__xludf.DUMMYFUNCTION("""COMPUTED_VALUE"""),"七年級")</f>
        <v>七年級</v>
      </c>
      <c r="G821" s="14" t="str">
        <f>IFERROR(__xludf.DUMMYFUNCTION("""COMPUTED_VALUE"""),"●小禮物")</f>
        <v>●小禮物</v>
      </c>
      <c r="H821" s="8"/>
    </row>
    <row r="822">
      <c r="A822" s="18"/>
      <c r="B822" s="14">
        <f>IFERROR(__xludf.DUMMYFUNCTION("""COMPUTED_VALUE"""),1188187.0)</f>
        <v>1188187</v>
      </c>
      <c r="C822" s="14" t="str">
        <f>IFERROR(__xludf.DUMMYFUNCTION("""COMPUTED_VALUE"""),"周可惟")</f>
        <v>周可惟</v>
      </c>
      <c r="D822" s="16" t="str">
        <f>IFERROR(__xludf.DUMMYFUNCTION("""COMPUTED_VALUE"""),"j11*****@cdsh.ilc.edu.tw")</f>
        <v>j11*****@cdsh.ilc.edu.tw</v>
      </c>
      <c r="E822" s="17" t="str">
        <f>IFERROR(__xludf.DUMMYFUNCTION("""COMPUTED_VALUE"""),"中道學校財團法人宜蘭縣中道高級中學附設國中部")</f>
        <v>中道學校財團法人宜蘭縣中道高級中學附設國中部</v>
      </c>
      <c r="F822" s="14" t="str">
        <f>IFERROR(__xludf.DUMMYFUNCTION("""COMPUTED_VALUE"""),"七年級")</f>
        <v>七年級</v>
      </c>
      <c r="G822" s="14" t="str">
        <f>IFERROR(__xludf.DUMMYFUNCTION("""COMPUTED_VALUE"""),"獎狀")</f>
        <v>獎狀</v>
      </c>
      <c r="H822" s="8"/>
    </row>
    <row r="823">
      <c r="A823" s="18"/>
      <c r="B823" s="14">
        <f>IFERROR(__xludf.DUMMYFUNCTION("""COMPUTED_VALUE"""),1186546.0)</f>
        <v>1186546</v>
      </c>
      <c r="C823" s="14" t="str">
        <f>IFERROR(__xludf.DUMMYFUNCTION("""COMPUTED_VALUE"""),"陳昕妤")</f>
        <v>陳昕妤</v>
      </c>
      <c r="D823" s="16" t="str">
        <f>IFERROR(__xludf.DUMMYFUNCTION("""COMPUTED_VALUE"""),"j11*****@cdsh.ilc.edu.tw")</f>
        <v>j11*****@cdsh.ilc.edu.tw</v>
      </c>
      <c r="E823" s="17" t="str">
        <f>IFERROR(__xludf.DUMMYFUNCTION("""COMPUTED_VALUE"""),"中道學校財團法人宜蘭縣中道高級中學附設國中部")</f>
        <v>中道學校財團法人宜蘭縣中道高級中學附設國中部</v>
      </c>
      <c r="F823" s="14" t="str">
        <f>IFERROR(__xludf.DUMMYFUNCTION("""COMPUTED_VALUE"""),"七年級")</f>
        <v>七年級</v>
      </c>
      <c r="G823" s="14" t="str">
        <f>IFERROR(__xludf.DUMMYFUNCTION("""COMPUTED_VALUE"""),"獎狀")</f>
        <v>獎狀</v>
      </c>
      <c r="H823" s="8"/>
    </row>
    <row r="824">
      <c r="A824" s="18"/>
      <c r="B824" s="14">
        <f>IFERROR(__xludf.DUMMYFUNCTION("""COMPUTED_VALUE"""),1192198.0)</f>
        <v>1192198</v>
      </c>
      <c r="C824" s="14" t="str">
        <f>IFERROR(__xludf.DUMMYFUNCTION("""COMPUTED_VALUE"""),"黃羽晞")</f>
        <v>黃羽晞</v>
      </c>
      <c r="D824" s="16" t="str">
        <f>IFERROR(__xludf.DUMMYFUNCTION("""COMPUTED_VALUE"""),"j11*****@cdsh.ilc.edu.tw")</f>
        <v>j11*****@cdsh.ilc.edu.tw</v>
      </c>
      <c r="E824" s="17" t="str">
        <f>IFERROR(__xludf.DUMMYFUNCTION("""COMPUTED_VALUE"""),"中道學校財團法人宜蘭縣中道高級中學附設國中部")</f>
        <v>中道學校財團法人宜蘭縣中道高級中學附設國中部</v>
      </c>
      <c r="F824" s="14" t="str">
        <f>IFERROR(__xludf.DUMMYFUNCTION("""COMPUTED_VALUE"""),"七年級")</f>
        <v>七年級</v>
      </c>
      <c r="G824" s="14" t="str">
        <f>IFERROR(__xludf.DUMMYFUNCTION("""COMPUTED_VALUE"""),"獎狀")</f>
        <v>獎狀</v>
      </c>
      <c r="H824" s="8"/>
    </row>
    <row r="825">
      <c r="A825" s="18"/>
      <c r="B825" s="14">
        <f>IFERROR(__xludf.DUMMYFUNCTION("""COMPUTED_VALUE"""),1181704.0)</f>
        <v>1181704</v>
      </c>
      <c r="C825" s="14" t="str">
        <f>IFERROR(__xludf.DUMMYFUNCTION("""COMPUTED_VALUE"""),"李承厚")</f>
        <v>李承厚</v>
      </c>
      <c r="D825" s="16" t="str">
        <f>IFERROR(__xludf.DUMMYFUNCTION("""COMPUTED_VALUE"""),"j11*****@cdsh.ilc.edu.tw")</f>
        <v>j11*****@cdsh.ilc.edu.tw</v>
      </c>
      <c r="E825" s="17" t="str">
        <f>IFERROR(__xludf.DUMMYFUNCTION("""COMPUTED_VALUE"""),"中道學校財團法人宜蘭縣中道高級中學附設國中部")</f>
        <v>中道學校財團法人宜蘭縣中道高級中學附設國中部</v>
      </c>
      <c r="F825" s="14" t="str">
        <f>IFERROR(__xludf.DUMMYFUNCTION("""COMPUTED_VALUE"""),"七年級")</f>
        <v>七年級</v>
      </c>
      <c r="G825" s="14" t="str">
        <f>IFERROR(__xludf.DUMMYFUNCTION("""COMPUTED_VALUE"""),"●小禮物")</f>
        <v>●小禮物</v>
      </c>
      <c r="H825" s="8"/>
    </row>
    <row r="826">
      <c r="A826" s="18"/>
      <c r="B826" s="14">
        <f>IFERROR(__xludf.DUMMYFUNCTION("""COMPUTED_VALUE"""),1185954.0)</f>
        <v>1185954</v>
      </c>
      <c r="C826" s="14" t="str">
        <f>IFERROR(__xludf.DUMMYFUNCTION("""COMPUTED_VALUE"""),"曾柏源")</f>
        <v>曾柏源</v>
      </c>
      <c r="D826" s="16" t="str">
        <f>IFERROR(__xludf.DUMMYFUNCTION("""COMPUTED_VALUE"""),"j11*****@cdsh.ilc.edu.tw")</f>
        <v>j11*****@cdsh.ilc.edu.tw</v>
      </c>
      <c r="E826" s="17" t="str">
        <f>IFERROR(__xludf.DUMMYFUNCTION("""COMPUTED_VALUE"""),"中道學校財團法人宜蘭縣中道高級中學附設國中部")</f>
        <v>中道學校財團法人宜蘭縣中道高級中學附設國中部</v>
      </c>
      <c r="F826" s="14" t="str">
        <f>IFERROR(__xludf.DUMMYFUNCTION("""COMPUTED_VALUE"""),"七年級")</f>
        <v>七年級</v>
      </c>
      <c r="G826" s="14" t="str">
        <f>IFERROR(__xludf.DUMMYFUNCTION("""COMPUTED_VALUE"""),"獎狀")</f>
        <v>獎狀</v>
      </c>
      <c r="H826" s="8"/>
    </row>
    <row r="827">
      <c r="A827" s="18"/>
      <c r="B827" s="14">
        <f>IFERROR(__xludf.DUMMYFUNCTION("""COMPUTED_VALUE"""),1180668.0)</f>
        <v>1180668</v>
      </c>
      <c r="C827" s="14" t="str">
        <f>IFERROR(__xludf.DUMMYFUNCTION("""COMPUTED_VALUE"""),"林廷昀")</f>
        <v>林廷昀</v>
      </c>
      <c r="D827" s="16" t="str">
        <f>IFERROR(__xludf.DUMMYFUNCTION("""COMPUTED_VALUE"""),"j11*****@cdsh.ilc.edu.tw")</f>
        <v>j11*****@cdsh.ilc.edu.tw</v>
      </c>
      <c r="E827" s="17" t="str">
        <f>IFERROR(__xludf.DUMMYFUNCTION("""COMPUTED_VALUE"""),"中道學校財團法人宜蘭縣中道高級中學附設國中部")</f>
        <v>中道學校財團法人宜蘭縣中道高級中學附設國中部</v>
      </c>
      <c r="F827" s="14" t="str">
        <f>IFERROR(__xludf.DUMMYFUNCTION("""COMPUTED_VALUE"""),"七年級")</f>
        <v>七年級</v>
      </c>
      <c r="G827" s="14" t="str">
        <f>IFERROR(__xludf.DUMMYFUNCTION("""COMPUTED_VALUE"""),"●小禮物")</f>
        <v>●小禮物</v>
      </c>
      <c r="H827" s="8"/>
    </row>
    <row r="828">
      <c r="A828" s="18"/>
      <c r="B828" s="14">
        <f>IFERROR(__xludf.DUMMYFUNCTION("""COMPUTED_VALUE"""),585440.0)</f>
        <v>585440</v>
      </c>
      <c r="C828" s="14" t="str">
        <f>IFERROR(__xludf.DUMMYFUNCTION("""COMPUTED_VALUE"""),"陳彥宇")</f>
        <v>陳彥宇</v>
      </c>
      <c r="D828" s="16" t="str">
        <f>IFERROR(__xludf.DUMMYFUNCTION("""COMPUTED_VALUE"""),"961*****ding@gmail.com")</f>
        <v>961*****ding@gmail.com</v>
      </c>
      <c r="E828" s="17" t="str">
        <f>IFERROR(__xludf.DUMMYFUNCTION("""COMPUTED_VALUE"""),"宜蘭縣立員山國民中學")</f>
        <v>宜蘭縣立員山國民中學</v>
      </c>
      <c r="F828" s="14" t="str">
        <f>IFERROR(__xludf.DUMMYFUNCTION("""COMPUTED_VALUE"""),"九年級")</f>
        <v>九年級</v>
      </c>
      <c r="G828" s="14" t="str">
        <f>IFERROR(__xludf.DUMMYFUNCTION("""COMPUTED_VALUE"""),"●小禮物")</f>
        <v>●小禮物</v>
      </c>
      <c r="H828" s="8"/>
    </row>
    <row r="829">
      <c r="A829" s="18"/>
      <c r="B829" s="14">
        <f>IFERROR(__xludf.DUMMYFUNCTION("""COMPUTED_VALUE"""),515935.0)</f>
        <v>515935</v>
      </c>
      <c r="C829" s="14" t="str">
        <f>IFERROR(__xludf.DUMMYFUNCTION("""COMPUTED_VALUE"""),"簡澤恩")</f>
        <v>簡澤恩</v>
      </c>
      <c r="D829" s="16" t="str">
        <f>IFERROR(__xludf.DUMMYFUNCTION("""COMPUTED_VALUE"""),"ric*****04.stdilc@mail.edu.tw")</f>
        <v>ric*****04.stdilc@mail.edu.tw</v>
      </c>
      <c r="E829" s="17" t="str">
        <f>IFERROR(__xludf.DUMMYFUNCTION("""COMPUTED_VALUE"""),"宜蘭縣立國華國民中學")</f>
        <v>宜蘭縣立國華國民中學</v>
      </c>
      <c r="F829" s="14" t="str">
        <f>IFERROR(__xludf.DUMMYFUNCTION("""COMPUTED_VALUE"""),"七年級")</f>
        <v>七年級</v>
      </c>
      <c r="G829" s="14" t="str">
        <f>IFERROR(__xludf.DUMMYFUNCTION("""COMPUTED_VALUE"""),"獎狀")</f>
        <v>獎狀</v>
      </c>
      <c r="H829" s="8"/>
    </row>
    <row r="830">
      <c r="A830" s="18"/>
      <c r="B830" s="14">
        <f>IFERROR(__xludf.DUMMYFUNCTION("""COMPUTED_VALUE"""),206489.0)</f>
        <v>206489</v>
      </c>
      <c r="C830" s="14" t="str">
        <f>IFERROR(__xludf.DUMMYFUNCTION("""COMPUTED_VALUE"""),"賴洧霖")</f>
        <v>賴洧霖</v>
      </c>
      <c r="D830" s="16" t="str">
        <f>IFERROR(__xludf.DUMMYFUNCTION("""COMPUTED_VALUE"""),"st1*****13@mail.clps.ntpc.edu.tw")</f>
        <v>st1*****13@mail.clps.ntpc.edu.tw</v>
      </c>
      <c r="E830" s="17" t="str">
        <f>IFERROR(__xludf.DUMMYFUNCTION("""COMPUTED_VALUE"""),"宜蘭縣立國華國民中學")</f>
        <v>宜蘭縣立國華國民中學</v>
      </c>
      <c r="F830" s="14" t="str">
        <f>IFERROR(__xludf.DUMMYFUNCTION("""COMPUTED_VALUE"""),"八年級")</f>
        <v>八年級</v>
      </c>
      <c r="G830" s="14" t="str">
        <f>IFERROR(__xludf.DUMMYFUNCTION("""COMPUTED_VALUE"""),"●小禮物")</f>
        <v>●小禮物</v>
      </c>
      <c r="H830" s="8"/>
    </row>
    <row r="831">
      <c r="A831" s="18"/>
      <c r="B831" s="14">
        <f>IFERROR(__xludf.DUMMYFUNCTION("""COMPUTED_VALUE"""),373473.0)</f>
        <v>373473</v>
      </c>
      <c r="C831" s="14" t="str">
        <f>IFERROR(__xludf.DUMMYFUNCTION("""COMPUTED_VALUE"""),"黃鈺倢")</f>
        <v>黃鈺倢</v>
      </c>
      <c r="D831" s="16" t="str">
        <f>IFERROR(__xludf.DUMMYFUNCTION("""COMPUTED_VALUE"""),"zoe*****tdilc@mail.edu.tw")</f>
        <v>zoe*****tdilc@mail.edu.tw</v>
      </c>
      <c r="E831" s="17" t="str">
        <f>IFERROR(__xludf.DUMMYFUNCTION("""COMPUTED_VALUE"""),"宜蘭縣立國華國民中學")</f>
        <v>宜蘭縣立國華國民中學</v>
      </c>
      <c r="F831" s="14" t="str">
        <f>IFERROR(__xludf.DUMMYFUNCTION("""COMPUTED_VALUE"""),"八年級")</f>
        <v>八年級</v>
      </c>
      <c r="G831" s="14" t="str">
        <f>IFERROR(__xludf.DUMMYFUNCTION("""COMPUTED_VALUE"""),"●小禮物")</f>
        <v>●小禮物</v>
      </c>
      <c r="H831" s="8"/>
    </row>
    <row r="832">
      <c r="A832" s="18"/>
      <c r="B832" s="14">
        <f>IFERROR(__xludf.DUMMYFUNCTION("""COMPUTED_VALUE"""),853623.0)</f>
        <v>853623</v>
      </c>
      <c r="C832" s="14" t="str">
        <f>IFERROR(__xludf.DUMMYFUNCTION("""COMPUTED_VALUE"""),"王蓁")</f>
        <v>王蓁</v>
      </c>
      <c r="D832" s="16" t="str">
        <f>IFERROR(__xludf.DUMMYFUNCTION("""COMPUTED_VALUE"""),"d10*****.stdilc@mail.edu.tw")</f>
        <v>d10*****.stdilc@mail.edu.tw</v>
      </c>
      <c r="E832" s="17" t="str">
        <f>IFERROR(__xludf.DUMMYFUNCTION("""COMPUTED_VALUE"""),"宜蘭縣立國華國民中學")</f>
        <v>宜蘭縣立國華國民中學</v>
      </c>
      <c r="F832" s="14" t="str">
        <f>IFERROR(__xludf.DUMMYFUNCTION("""COMPUTED_VALUE"""),"八年級")</f>
        <v>八年級</v>
      </c>
      <c r="G832" s="14" t="str">
        <f>IFERROR(__xludf.DUMMYFUNCTION("""COMPUTED_VALUE"""),"獎狀")</f>
        <v>獎狀</v>
      </c>
      <c r="H832" s="8"/>
    </row>
    <row r="833">
      <c r="A833" s="18"/>
      <c r="B833" s="14">
        <f>IFERROR(__xludf.DUMMYFUNCTION("""COMPUTED_VALUE"""),853632.0)</f>
        <v>853632</v>
      </c>
      <c r="C833" s="14" t="str">
        <f>IFERROR(__xludf.DUMMYFUNCTION("""COMPUTED_VALUE"""),"鄭楚嚴")</f>
        <v>鄭楚嚴</v>
      </c>
      <c r="D833" s="16" t="str">
        <f>IFERROR(__xludf.DUMMYFUNCTION("""COMPUTED_VALUE"""),"201*****y.stdilc@mail.edu.tw")</f>
        <v>201*****y.stdilc@mail.edu.tw</v>
      </c>
      <c r="E833" s="17" t="str">
        <f>IFERROR(__xludf.DUMMYFUNCTION("""COMPUTED_VALUE"""),"宜蘭縣立國華國民中學")</f>
        <v>宜蘭縣立國華國民中學</v>
      </c>
      <c r="F833" s="14" t="str">
        <f>IFERROR(__xludf.DUMMYFUNCTION("""COMPUTED_VALUE"""),"八年級")</f>
        <v>八年級</v>
      </c>
      <c r="G833" s="14" t="str">
        <f>IFERROR(__xludf.DUMMYFUNCTION("""COMPUTED_VALUE"""),"獎狀")</f>
        <v>獎狀</v>
      </c>
      <c r="H833" s="8"/>
    </row>
    <row r="834">
      <c r="A834" s="18"/>
      <c r="B834" s="14">
        <f>IFERROR(__xludf.DUMMYFUNCTION("""COMPUTED_VALUE"""),500824.0)</f>
        <v>500824</v>
      </c>
      <c r="C834" s="14" t="str">
        <f>IFERROR(__xludf.DUMMYFUNCTION("""COMPUTED_VALUE"""),"林鈺芝")</f>
        <v>林鈺芝</v>
      </c>
      <c r="D834" s="16" t="str">
        <f>IFERROR(__xludf.DUMMYFUNCTION("""COMPUTED_VALUE"""),"dor*****.stdilc@mail.edu.tw")</f>
        <v>dor*****.stdilc@mail.edu.tw</v>
      </c>
      <c r="E834" s="17" t="str">
        <f>IFERROR(__xludf.DUMMYFUNCTION("""COMPUTED_VALUE"""),"宜蘭縣立國華國民中學")</f>
        <v>宜蘭縣立國華國民中學</v>
      </c>
      <c r="F834" s="14" t="str">
        <f>IFERROR(__xludf.DUMMYFUNCTION("""COMPUTED_VALUE"""),"九年級")</f>
        <v>九年級</v>
      </c>
      <c r="G834" s="14" t="str">
        <f>IFERROR(__xludf.DUMMYFUNCTION("""COMPUTED_VALUE"""),"獎狀")</f>
        <v>獎狀</v>
      </c>
      <c r="H834" s="8"/>
    </row>
    <row r="835">
      <c r="A835" s="18"/>
      <c r="B835" s="14">
        <f>IFERROR(__xludf.DUMMYFUNCTION("""COMPUTED_VALUE"""),540054.0)</f>
        <v>540054</v>
      </c>
      <c r="C835" s="14" t="str">
        <f>IFERROR(__xludf.DUMMYFUNCTION("""COMPUTED_VALUE"""),"賴泰廷")</f>
        <v>賴泰廷</v>
      </c>
      <c r="D835" s="16" t="str">
        <f>IFERROR(__xludf.DUMMYFUNCTION("""COMPUTED_VALUE"""),"les*****63.stdilc@mail.edu.tw")</f>
        <v>les*****63.stdilc@mail.edu.tw</v>
      </c>
      <c r="E835" s="17" t="str">
        <f>IFERROR(__xludf.DUMMYFUNCTION("""COMPUTED_VALUE"""),"宜蘭縣立國華國民中學")</f>
        <v>宜蘭縣立國華國民中學</v>
      </c>
      <c r="F835" s="14" t="str">
        <f>IFERROR(__xludf.DUMMYFUNCTION("""COMPUTED_VALUE"""),"九年級")</f>
        <v>九年級</v>
      </c>
      <c r="G835" s="14" t="str">
        <f>IFERROR(__xludf.DUMMYFUNCTION("""COMPUTED_VALUE"""),"★禮券$200")</f>
        <v>★禮券$200</v>
      </c>
      <c r="H835" s="8"/>
    </row>
    <row r="836">
      <c r="A836" s="18"/>
      <c r="B836" s="14">
        <f>IFERROR(__xludf.DUMMYFUNCTION("""COMPUTED_VALUE"""),307801.0)</f>
        <v>307801</v>
      </c>
      <c r="C836" s="14" t="str">
        <f>IFERROR(__xludf.DUMMYFUNCTION("""COMPUTED_VALUE"""),"李云瑄")</f>
        <v>李云瑄</v>
      </c>
      <c r="D836" s="16" t="str">
        <f>IFERROR(__xludf.DUMMYFUNCTION("""COMPUTED_VALUE"""),"rit*****.stdilc@mail.edu.tw")</f>
        <v>rit*****.stdilc@mail.edu.tw</v>
      </c>
      <c r="E836" s="17" t="str">
        <f>IFERROR(__xludf.DUMMYFUNCTION("""COMPUTED_VALUE"""),"宜蘭縣立蘇澳國民中學")</f>
        <v>宜蘭縣立蘇澳國民中學</v>
      </c>
      <c r="F836" s="14" t="str">
        <f>IFERROR(__xludf.DUMMYFUNCTION("""COMPUTED_VALUE"""),"八年級")</f>
        <v>八年級</v>
      </c>
      <c r="G836" s="14" t="str">
        <f>IFERROR(__xludf.DUMMYFUNCTION("""COMPUTED_VALUE"""),"●小禮物")</f>
        <v>●小禮物</v>
      </c>
      <c r="H836" s="8"/>
    </row>
    <row r="837">
      <c r="A837" s="18"/>
      <c r="B837" s="14">
        <f>IFERROR(__xludf.DUMMYFUNCTION("""COMPUTED_VALUE"""),359467.0)</f>
        <v>359467</v>
      </c>
      <c r="C837" s="14" t="str">
        <f>IFERROR(__xludf.DUMMYFUNCTION("""COMPUTED_VALUE"""),"黃宇霆")</f>
        <v>黃宇霆</v>
      </c>
      <c r="D837" s="16" t="str">
        <f>IFERROR(__xludf.DUMMYFUNCTION("""COMPUTED_VALUE"""),"k98*****tdilc@mail.edu.tw")</f>
        <v>k98*****tdilc@mail.edu.tw</v>
      </c>
      <c r="E837" s="17" t="str">
        <f>IFERROR(__xludf.DUMMYFUNCTION("""COMPUTED_VALUE"""),"宜蘭縣立文化國民中學")</f>
        <v>宜蘭縣立文化國民中學</v>
      </c>
      <c r="F837" s="14" t="str">
        <f>IFERROR(__xludf.DUMMYFUNCTION("""COMPUTED_VALUE"""),"八年級")</f>
        <v>八年級</v>
      </c>
      <c r="G837" s="14" t="str">
        <f>IFERROR(__xludf.DUMMYFUNCTION("""COMPUTED_VALUE"""),"●小禮物")</f>
        <v>●小禮物</v>
      </c>
      <c r="H837" s="8"/>
    </row>
    <row r="838">
      <c r="A838" s="18"/>
      <c r="B838" s="14">
        <f>IFERROR(__xludf.DUMMYFUNCTION("""COMPUTED_VALUE"""),270246.0)</f>
        <v>270246</v>
      </c>
      <c r="C838" s="14" t="str">
        <f>IFERROR(__xludf.DUMMYFUNCTION("""COMPUTED_VALUE"""),"林芷伊")</f>
        <v>林芷伊</v>
      </c>
      <c r="D838" s="16" t="str">
        <f>IFERROR(__xludf.DUMMYFUNCTION("""COMPUTED_VALUE"""),"970*****mail.ilc.edu.tw")</f>
        <v>970*****mail.ilc.edu.tw</v>
      </c>
      <c r="E838" s="17" t="str">
        <f>IFERROR(__xludf.DUMMYFUNCTION("""COMPUTED_VALUE"""),"宜蘭縣立南澳高級中學附設國中部")</f>
        <v>宜蘭縣立南澳高級中學附設國中部</v>
      </c>
      <c r="F838" s="14" t="str">
        <f>IFERROR(__xludf.DUMMYFUNCTION("""COMPUTED_VALUE"""),"九年級")</f>
        <v>九年級</v>
      </c>
      <c r="G838" s="14" t="str">
        <f>IFERROR(__xludf.DUMMYFUNCTION("""COMPUTED_VALUE"""),"●小禮物")</f>
        <v>●小禮物</v>
      </c>
      <c r="H838" s="8"/>
    </row>
    <row r="839">
      <c r="A839" s="18"/>
      <c r="B839" s="14">
        <f>IFERROR(__xludf.DUMMYFUNCTION("""COMPUTED_VALUE"""),136508.0)</f>
        <v>136508</v>
      </c>
      <c r="C839" s="14" t="str">
        <f>IFERROR(__xludf.DUMMYFUNCTION("""COMPUTED_VALUE"""),"韋紫芸")</f>
        <v>韋紫芸</v>
      </c>
      <c r="D839" s="16" t="str">
        <f>IFERROR(__xludf.DUMMYFUNCTION("""COMPUTED_VALUE"""),"a97*****smail.ilc.edu.tw")</f>
        <v>a97*****smail.ilc.edu.tw</v>
      </c>
      <c r="E839" s="17" t="str">
        <f>IFERROR(__xludf.DUMMYFUNCTION("""COMPUTED_VALUE"""),"宜蘭縣立南澳高級中學附設國中部")</f>
        <v>宜蘭縣立南澳高級中學附設國中部</v>
      </c>
      <c r="F839" s="14" t="str">
        <f>IFERROR(__xludf.DUMMYFUNCTION("""COMPUTED_VALUE"""),"九年級")</f>
        <v>九年級</v>
      </c>
      <c r="G839" s="14" t="str">
        <f>IFERROR(__xludf.DUMMYFUNCTION("""COMPUTED_VALUE"""),"●小禮物")</f>
        <v>●小禮物</v>
      </c>
      <c r="H839" s="8"/>
    </row>
    <row r="840">
      <c r="A840" s="18"/>
      <c r="B840" s="14">
        <f>IFERROR(__xludf.DUMMYFUNCTION("""COMPUTED_VALUE"""),597967.0)</f>
        <v>597967</v>
      </c>
      <c r="C840" s="14" t="str">
        <f>IFERROR(__xludf.DUMMYFUNCTION("""COMPUTED_VALUE"""),"張晏齊")</f>
        <v>張晏齊</v>
      </c>
      <c r="D840" s="16" t="str">
        <f>IFERROR(__xludf.DUMMYFUNCTION("""COMPUTED_VALUE"""),"yan*****0@gmail.com")</f>
        <v>yan*****0@gmail.com</v>
      </c>
      <c r="E840" s="17" t="str">
        <f>IFERROR(__xludf.DUMMYFUNCTION("""COMPUTED_VALUE"""),"宜蘭縣立南澳高級中學附設國中部")</f>
        <v>宜蘭縣立南澳高級中學附設國中部</v>
      </c>
      <c r="F840" s="14" t="str">
        <f>IFERROR(__xludf.DUMMYFUNCTION("""COMPUTED_VALUE"""),"九年級")</f>
        <v>九年級</v>
      </c>
      <c r="G840" s="14" t="str">
        <f>IFERROR(__xludf.DUMMYFUNCTION("""COMPUTED_VALUE"""),"●小禮物")</f>
        <v>●小禮物</v>
      </c>
      <c r="H840" s="8"/>
    </row>
    <row r="841">
      <c r="A841" s="18"/>
      <c r="B841" s="14">
        <f>IFERROR(__xludf.DUMMYFUNCTION("""COMPUTED_VALUE"""),597947.0)</f>
        <v>597947</v>
      </c>
      <c r="C841" s="14" t="str">
        <f>IFERROR(__xludf.DUMMYFUNCTION("""COMPUTED_VALUE"""),"陳恩")</f>
        <v>陳恩</v>
      </c>
      <c r="D841" s="16" t="str">
        <f>IFERROR(__xludf.DUMMYFUNCTION("""COMPUTED_VALUE"""),"chi*****6@smail.ilc.edu.tw")</f>
        <v>chi*****6@smail.ilc.edu.tw</v>
      </c>
      <c r="E841" s="17" t="str">
        <f>IFERROR(__xludf.DUMMYFUNCTION("""COMPUTED_VALUE"""),"宜蘭縣立南澳高級中學附設國中部")</f>
        <v>宜蘭縣立南澳高級中學附設國中部</v>
      </c>
      <c r="F841" s="14" t="str">
        <f>IFERROR(__xludf.DUMMYFUNCTION("""COMPUTED_VALUE"""),"九年級")</f>
        <v>九年級</v>
      </c>
      <c r="G841" s="14" t="str">
        <f>IFERROR(__xludf.DUMMYFUNCTION("""COMPUTED_VALUE"""),"●小禮物")</f>
        <v>●小禮物</v>
      </c>
      <c r="H841" s="8"/>
    </row>
    <row r="842">
      <c r="A842" s="18"/>
      <c r="B842" s="14">
        <f>IFERROR(__xludf.DUMMYFUNCTION("""COMPUTED_VALUE"""),135148.0)</f>
        <v>135148</v>
      </c>
      <c r="C842" s="14" t="str">
        <f>IFERROR(__xludf.DUMMYFUNCTION("""COMPUTED_VALUE"""),"陳恩妤")</f>
        <v>陳恩妤</v>
      </c>
      <c r="D842" s="16" t="str">
        <f>IFERROR(__xludf.DUMMYFUNCTION("""COMPUTED_VALUE"""),"ann*****@smail.ilc.edu.tw")</f>
        <v>ann*****@smail.ilc.edu.tw</v>
      </c>
      <c r="E842" s="17" t="str">
        <f>IFERROR(__xludf.DUMMYFUNCTION("""COMPUTED_VALUE"""),"宜蘭縣立南澳高級中學附設國中部")</f>
        <v>宜蘭縣立南澳高級中學附設國中部</v>
      </c>
      <c r="F842" s="14" t="str">
        <f>IFERROR(__xludf.DUMMYFUNCTION("""COMPUTED_VALUE"""),"九年級")</f>
        <v>九年級</v>
      </c>
      <c r="G842" s="14" t="str">
        <f>IFERROR(__xludf.DUMMYFUNCTION("""COMPUTED_VALUE"""),"●小禮物")</f>
        <v>●小禮物</v>
      </c>
      <c r="H842" s="8"/>
    </row>
    <row r="843">
      <c r="A843" s="18"/>
      <c r="B843" s="14">
        <f>IFERROR(__xludf.DUMMYFUNCTION("""COMPUTED_VALUE"""),270247.0)</f>
        <v>270247</v>
      </c>
      <c r="C843" s="14" t="str">
        <f>IFERROR(__xludf.DUMMYFUNCTION("""COMPUTED_VALUE"""),"黃巽儇")</f>
        <v>黃巽儇</v>
      </c>
      <c r="D843" s="16" t="str">
        <f>IFERROR(__xludf.DUMMYFUNCTION("""COMPUTED_VALUE"""),"961*****mail.ilc.edu.tw")</f>
        <v>961*****mail.ilc.edu.tw</v>
      </c>
      <c r="E843" s="17" t="str">
        <f>IFERROR(__xludf.DUMMYFUNCTION("""COMPUTED_VALUE"""),"宜蘭縣立南澳高級中學附設國中部")</f>
        <v>宜蘭縣立南澳高級中學附設國中部</v>
      </c>
      <c r="F843" s="14" t="str">
        <f>IFERROR(__xludf.DUMMYFUNCTION("""COMPUTED_VALUE"""),"九年級")</f>
        <v>九年級</v>
      </c>
      <c r="G843" s="14" t="str">
        <f>IFERROR(__xludf.DUMMYFUNCTION("""COMPUTED_VALUE"""),"●小禮物")</f>
        <v>●小禮物</v>
      </c>
      <c r="H843" s="8"/>
    </row>
    <row r="844">
      <c r="A844" s="18"/>
      <c r="B844" s="14">
        <f>IFERROR(__xludf.DUMMYFUNCTION("""COMPUTED_VALUE"""),270252.0)</f>
        <v>270252</v>
      </c>
      <c r="C844" s="14" t="str">
        <f>IFERROR(__xludf.DUMMYFUNCTION("""COMPUTED_VALUE"""),"駱蕎馨")</f>
        <v>駱蕎馨</v>
      </c>
      <c r="D844" s="16" t="str">
        <f>IFERROR(__xludf.DUMMYFUNCTION("""COMPUTED_VALUE"""),"961*****mail.ilc.edu.tw")</f>
        <v>961*****mail.ilc.edu.tw</v>
      </c>
      <c r="E844" s="17" t="str">
        <f>IFERROR(__xludf.DUMMYFUNCTION("""COMPUTED_VALUE"""),"宜蘭縣立南澳高級中學附設國中部")</f>
        <v>宜蘭縣立南澳高級中學附設國中部</v>
      </c>
      <c r="F844" s="14" t="str">
        <f>IFERROR(__xludf.DUMMYFUNCTION("""COMPUTED_VALUE"""),"九年級")</f>
        <v>九年級</v>
      </c>
      <c r="G844" s="14" t="str">
        <f>IFERROR(__xludf.DUMMYFUNCTION("""COMPUTED_VALUE"""),"●小禮物")</f>
        <v>●小禮物</v>
      </c>
      <c r="H844" s="8"/>
    </row>
    <row r="845">
      <c r="A845" s="18"/>
      <c r="B845" s="14">
        <f>IFERROR(__xludf.DUMMYFUNCTION("""COMPUTED_VALUE"""),597983.0)</f>
        <v>597983</v>
      </c>
      <c r="C845" s="14" t="str">
        <f>IFERROR(__xludf.DUMMYFUNCTION("""COMPUTED_VALUE"""),"豊恩浩")</f>
        <v>豊恩浩</v>
      </c>
      <c r="D845" s="16" t="str">
        <f>IFERROR(__xludf.DUMMYFUNCTION("""COMPUTED_VALUE"""),"enh*****smail.ilc.edu.tw")</f>
        <v>enh*****smail.ilc.edu.tw</v>
      </c>
      <c r="E845" s="17" t="str">
        <f>IFERROR(__xludf.DUMMYFUNCTION("""COMPUTED_VALUE"""),"宜蘭縣立南澳高級中學附設國中部")</f>
        <v>宜蘭縣立南澳高級中學附設國中部</v>
      </c>
      <c r="F845" s="14" t="str">
        <f>IFERROR(__xludf.DUMMYFUNCTION("""COMPUTED_VALUE"""),"九年級")</f>
        <v>九年級</v>
      </c>
      <c r="G845" s="14" t="str">
        <f>IFERROR(__xludf.DUMMYFUNCTION("""COMPUTED_VALUE"""),"獎狀")</f>
        <v>獎狀</v>
      </c>
      <c r="H845" s="8"/>
    </row>
    <row r="846">
      <c r="A846" s="18"/>
      <c r="B846" s="14">
        <f>IFERROR(__xludf.DUMMYFUNCTION("""COMPUTED_VALUE"""),137413.0)</f>
        <v>137413</v>
      </c>
      <c r="C846" s="14" t="str">
        <f>IFERROR(__xludf.DUMMYFUNCTION("""COMPUTED_VALUE"""),"薩子恩")</f>
        <v>薩子恩</v>
      </c>
      <c r="D846" s="16" t="str">
        <f>IFERROR(__xludf.DUMMYFUNCTION("""COMPUTED_VALUE"""),"998*****mail.ilc.edu.tw")</f>
        <v>998*****mail.ilc.edu.tw</v>
      </c>
      <c r="E846" s="17" t="str">
        <f>IFERROR(__xludf.DUMMYFUNCTION("""COMPUTED_VALUE"""),"宜蘭縣立南澳高級中學附設國中部")</f>
        <v>宜蘭縣立南澳高級中學附設國中部</v>
      </c>
      <c r="F846" s="14" t="str">
        <f>IFERROR(__xludf.DUMMYFUNCTION("""COMPUTED_VALUE"""),"九年級")</f>
        <v>九年級</v>
      </c>
      <c r="G846" s="14" t="str">
        <f>IFERROR(__xludf.DUMMYFUNCTION("""COMPUTED_VALUE"""),"獎狀")</f>
        <v>獎狀</v>
      </c>
      <c r="H846" s="8"/>
    </row>
    <row r="847">
      <c r="A847" s="18"/>
      <c r="B847" s="14">
        <f>IFERROR(__xludf.DUMMYFUNCTION("""COMPUTED_VALUE"""),597920.0)</f>
        <v>597920</v>
      </c>
      <c r="C847" s="14" t="str">
        <f>IFERROR(__xludf.DUMMYFUNCTION("""COMPUTED_VALUE"""),"蘇琪")</f>
        <v>蘇琪</v>
      </c>
      <c r="D847" s="16" t="str">
        <f>IFERROR(__xludf.DUMMYFUNCTION("""COMPUTED_VALUE"""),"sam*****@hotmail.com")</f>
        <v>sam*****@hotmail.com</v>
      </c>
      <c r="E847" s="17" t="str">
        <f>IFERROR(__xludf.DUMMYFUNCTION("""COMPUTED_VALUE"""),"宜蘭縣立南澳高級中學附設國中部")</f>
        <v>宜蘭縣立南澳高級中學附設國中部</v>
      </c>
      <c r="F847" s="14" t="str">
        <f>IFERROR(__xludf.DUMMYFUNCTION("""COMPUTED_VALUE"""),"九年級")</f>
        <v>九年級</v>
      </c>
      <c r="G847" s="14" t="str">
        <f>IFERROR(__xludf.DUMMYFUNCTION("""COMPUTED_VALUE"""),"獎狀")</f>
        <v>獎狀</v>
      </c>
      <c r="H847" s="8"/>
    </row>
    <row r="848">
      <c r="A848" s="18"/>
      <c r="B848" s="14">
        <f>IFERROR(__xludf.DUMMYFUNCTION("""COMPUTED_VALUE"""),460374.0)</f>
        <v>460374</v>
      </c>
      <c r="C848" s="14" t="str">
        <f>IFERROR(__xludf.DUMMYFUNCTION("""COMPUTED_VALUE"""),"李沅橙")</f>
        <v>李沅橙</v>
      </c>
      <c r="D848" s="16" t="str">
        <f>IFERROR(__xludf.DUMMYFUNCTION("""COMPUTED_VALUE"""),"nan*****u@yahoo.com.tw")</f>
        <v>nan*****u@yahoo.com.tw</v>
      </c>
      <c r="E848" s="17" t="str">
        <f>IFERROR(__xludf.DUMMYFUNCTION("""COMPUTED_VALUE"""),"新竹市立光華國民中學")</f>
        <v>新竹市立光華國民中學</v>
      </c>
      <c r="F848" s="14" t="str">
        <f>IFERROR(__xludf.DUMMYFUNCTION("""COMPUTED_VALUE"""),"七年級")</f>
        <v>七年級</v>
      </c>
      <c r="G848" s="14" t="str">
        <f>IFERROR(__xludf.DUMMYFUNCTION("""COMPUTED_VALUE"""),"獎狀")</f>
        <v>獎狀</v>
      </c>
      <c r="H848" s="8"/>
    </row>
    <row r="849">
      <c r="A849" s="18"/>
      <c r="B849" s="14">
        <f>IFERROR(__xludf.DUMMYFUNCTION("""COMPUTED_VALUE"""),827160.0)</f>
        <v>827160</v>
      </c>
      <c r="C849" s="14" t="str">
        <f>IFERROR(__xludf.DUMMYFUNCTION("""COMPUTED_VALUE"""),"楊詠筑")</f>
        <v>楊詠筑</v>
      </c>
      <c r="D849" s="16" t="str">
        <f>IFERROR(__xludf.DUMMYFUNCTION("""COMPUTED_VALUE"""),"zoe*****hc@mail.edu.tw")</f>
        <v>zoe*****hc@mail.edu.tw</v>
      </c>
      <c r="E849" s="17" t="str">
        <f>IFERROR(__xludf.DUMMYFUNCTION("""COMPUTED_VALUE"""),"新竹市立光華國民中學")</f>
        <v>新竹市立光華國民中學</v>
      </c>
      <c r="F849" s="14" t="str">
        <f>IFERROR(__xludf.DUMMYFUNCTION("""COMPUTED_VALUE"""),"七年級")</f>
        <v>七年級</v>
      </c>
      <c r="G849" s="14" t="str">
        <f>IFERROR(__xludf.DUMMYFUNCTION("""COMPUTED_VALUE"""),"●小禮物")</f>
        <v>●小禮物</v>
      </c>
      <c r="H849" s="8"/>
    </row>
    <row r="850">
      <c r="A850" s="18"/>
      <c r="B850" s="14">
        <f>IFERROR(__xludf.DUMMYFUNCTION("""COMPUTED_VALUE"""),794508.0)</f>
        <v>794508</v>
      </c>
      <c r="C850" s="14" t="str">
        <f>IFERROR(__xludf.DUMMYFUNCTION("""COMPUTED_VALUE"""),"陳昱安")</f>
        <v>陳昱安</v>
      </c>
      <c r="D850" s="16" t="str">
        <f>IFERROR(__xludf.DUMMYFUNCTION("""COMPUTED_VALUE"""),"110*****gm.khjh.hc.edu.tw")</f>
        <v>110*****gm.khjh.hc.edu.tw</v>
      </c>
      <c r="E850" s="17" t="str">
        <f>IFERROR(__xludf.DUMMYFUNCTION("""COMPUTED_VALUE"""),"新竹市立光華國民中學")</f>
        <v>新竹市立光華國民中學</v>
      </c>
      <c r="F850" s="14" t="str">
        <f>IFERROR(__xludf.DUMMYFUNCTION("""COMPUTED_VALUE"""),"八年級")</f>
        <v>八年級</v>
      </c>
      <c r="G850" s="14" t="str">
        <f>IFERROR(__xludf.DUMMYFUNCTION("""COMPUTED_VALUE"""),"獎狀")</f>
        <v>獎狀</v>
      </c>
      <c r="H850" s="8"/>
    </row>
    <row r="851">
      <c r="A851" s="18"/>
      <c r="B851" s="14">
        <f>IFERROR(__xludf.DUMMYFUNCTION("""COMPUTED_VALUE"""),854790.0)</f>
        <v>854790</v>
      </c>
      <c r="C851" s="14" t="str">
        <f>IFERROR(__xludf.DUMMYFUNCTION("""COMPUTED_VALUE"""),"陳禹昕")</f>
        <v>陳禹昕</v>
      </c>
      <c r="D851" s="16" t="str">
        <f>IFERROR(__xludf.DUMMYFUNCTION("""COMPUTED_VALUE"""),"109*****gm.khjh.hc.edu.tw")</f>
        <v>109*****gm.khjh.hc.edu.tw</v>
      </c>
      <c r="E851" s="17" t="str">
        <f>IFERROR(__xludf.DUMMYFUNCTION("""COMPUTED_VALUE"""),"新竹市立光華國民中學")</f>
        <v>新竹市立光華國民中學</v>
      </c>
      <c r="F851" s="14" t="str">
        <f>IFERROR(__xludf.DUMMYFUNCTION("""COMPUTED_VALUE"""),"九年級")</f>
        <v>九年級</v>
      </c>
      <c r="G851" s="14" t="str">
        <f>IFERROR(__xludf.DUMMYFUNCTION("""COMPUTED_VALUE"""),"●小禮物")</f>
        <v>●小禮物</v>
      </c>
      <c r="H851" s="8"/>
    </row>
    <row r="852">
      <c r="A852" s="18"/>
      <c r="B852" s="14">
        <f>IFERROR(__xludf.DUMMYFUNCTION("""COMPUTED_VALUE"""),1215880.0)</f>
        <v>1215880</v>
      </c>
      <c r="C852" s="14" t="str">
        <f>IFERROR(__xludf.DUMMYFUNCTION("""COMPUTED_VALUE"""),"張安妤")</f>
        <v>張安妤</v>
      </c>
      <c r="D852" s="16" t="str">
        <f>IFERROR(__xludf.DUMMYFUNCTION("""COMPUTED_VALUE"""),"j11*****sphs.hc.edu.tw")</f>
        <v>j11*****sphs.hc.edu.tw</v>
      </c>
      <c r="E852" s="17" t="str">
        <f>IFERROR(__xludf.DUMMYFUNCTION("""COMPUTED_VALUE"""),"新竹市私立磐石高級中學附設國中部")</f>
        <v>新竹市私立磐石高級中學附設國中部</v>
      </c>
      <c r="F852" s="14" t="str">
        <f>IFERROR(__xludf.DUMMYFUNCTION("""COMPUTED_VALUE"""),"八年級")</f>
        <v>八年級</v>
      </c>
      <c r="G852" s="14" t="str">
        <f>IFERROR(__xludf.DUMMYFUNCTION("""COMPUTED_VALUE"""),"●小禮物")</f>
        <v>●小禮物</v>
      </c>
      <c r="H852" s="8"/>
    </row>
    <row r="853">
      <c r="A853" s="18"/>
      <c r="B853" s="14">
        <f>IFERROR(__xludf.DUMMYFUNCTION("""COMPUTED_VALUE"""),1215865.0)</f>
        <v>1215865</v>
      </c>
      <c r="C853" s="14" t="str">
        <f>IFERROR(__xludf.DUMMYFUNCTION("""COMPUTED_VALUE"""),"廖品淳")</f>
        <v>廖品淳</v>
      </c>
      <c r="D853" s="16" t="str">
        <f>IFERROR(__xludf.DUMMYFUNCTION("""COMPUTED_VALUE"""),"j11*****sphs.hc.edu.tw")</f>
        <v>j11*****sphs.hc.edu.tw</v>
      </c>
      <c r="E853" s="17" t="str">
        <f>IFERROR(__xludf.DUMMYFUNCTION("""COMPUTED_VALUE"""),"新竹市私立磐石高級中學附設國中部")</f>
        <v>新竹市私立磐石高級中學附設國中部</v>
      </c>
      <c r="F853" s="14" t="str">
        <f>IFERROR(__xludf.DUMMYFUNCTION("""COMPUTED_VALUE"""),"八年級")</f>
        <v>八年級</v>
      </c>
      <c r="G853" s="14" t="str">
        <f>IFERROR(__xludf.DUMMYFUNCTION("""COMPUTED_VALUE"""),"●小禮物")</f>
        <v>●小禮物</v>
      </c>
      <c r="H853" s="8"/>
    </row>
    <row r="854">
      <c r="A854" s="18"/>
      <c r="B854" s="14">
        <f>IFERROR(__xludf.DUMMYFUNCTION("""COMPUTED_VALUE"""),1215863.0)</f>
        <v>1215863</v>
      </c>
      <c r="C854" s="14" t="str">
        <f>IFERROR(__xludf.DUMMYFUNCTION("""COMPUTED_VALUE"""),"田心妍")</f>
        <v>田心妍</v>
      </c>
      <c r="D854" s="16" t="str">
        <f>IFERROR(__xludf.DUMMYFUNCTION("""COMPUTED_VALUE"""),"j11*****sphs.hc.edu.tw")</f>
        <v>j11*****sphs.hc.edu.tw</v>
      </c>
      <c r="E854" s="17" t="str">
        <f>IFERROR(__xludf.DUMMYFUNCTION("""COMPUTED_VALUE"""),"新竹市私立磐石高級中學附設國中部")</f>
        <v>新竹市私立磐石高級中學附設國中部</v>
      </c>
      <c r="F854" s="14" t="str">
        <f>IFERROR(__xludf.DUMMYFUNCTION("""COMPUTED_VALUE"""),"八年級")</f>
        <v>八年級</v>
      </c>
      <c r="G854" s="14" t="str">
        <f>IFERROR(__xludf.DUMMYFUNCTION("""COMPUTED_VALUE"""),"獎狀")</f>
        <v>獎狀</v>
      </c>
      <c r="H854" s="8"/>
    </row>
    <row r="855">
      <c r="A855" s="18"/>
      <c r="B855" s="14">
        <f>IFERROR(__xludf.DUMMYFUNCTION("""COMPUTED_VALUE"""),1215886.0)</f>
        <v>1215886</v>
      </c>
      <c r="C855" s="14" t="str">
        <f>IFERROR(__xludf.DUMMYFUNCTION("""COMPUTED_VALUE"""),"張華庭")</f>
        <v>張華庭</v>
      </c>
      <c r="D855" s="16" t="str">
        <f>IFERROR(__xludf.DUMMYFUNCTION("""COMPUTED_VALUE"""),"j11*****sphs.hc.edu.tw")</f>
        <v>j11*****sphs.hc.edu.tw</v>
      </c>
      <c r="E855" s="17" t="str">
        <f>IFERROR(__xludf.DUMMYFUNCTION("""COMPUTED_VALUE"""),"新竹市私立磐石高級中學附設國中部")</f>
        <v>新竹市私立磐石高級中學附設國中部</v>
      </c>
      <c r="F855" s="14" t="str">
        <f>IFERROR(__xludf.DUMMYFUNCTION("""COMPUTED_VALUE"""),"八年級")</f>
        <v>八年級</v>
      </c>
      <c r="G855" s="14" t="str">
        <f>IFERROR(__xludf.DUMMYFUNCTION("""COMPUTED_VALUE"""),"獎狀")</f>
        <v>獎狀</v>
      </c>
      <c r="H855" s="8"/>
    </row>
    <row r="856">
      <c r="A856" s="18"/>
      <c r="B856" s="14">
        <f>IFERROR(__xludf.DUMMYFUNCTION("""COMPUTED_VALUE"""),1215862.0)</f>
        <v>1215862</v>
      </c>
      <c r="C856" s="14" t="str">
        <f>IFERROR(__xludf.DUMMYFUNCTION("""COMPUTED_VALUE"""),"徐辰睿")</f>
        <v>徐辰睿</v>
      </c>
      <c r="D856" s="16" t="str">
        <f>IFERROR(__xludf.DUMMYFUNCTION("""COMPUTED_VALUE"""),"j11*****sphs.hc.edu.tw")</f>
        <v>j11*****sphs.hc.edu.tw</v>
      </c>
      <c r="E856" s="17" t="str">
        <f>IFERROR(__xludf.DUMMYFUNCTION("""COMPUTED_VALUE"""),"新竹市私立磐石高級中學附設國中部")</f>
        <v>新竹市私立磐石高級中學附設國中部</v>
      </c>
      <c r="F856" s="14" t="str">
        <f>IFERROR(__xludf.DUMMYFUNCTION("""COMPUTED_VALUE"""),"八年級")</f>
        <v>八年級</v>
      </c>
      <c r="G856" s="14" t="str">
        <f>IFERROR(__xludf.DUMMYFUNCTION("""COMPUTED_VALUE"""),"獎狀")</f>
        <v>獎狀</v>
      </c>
      <c r="H856" s="8"/>
    </row>
    <row r="857">
      <c r="A857" s="18"/>
      <c r="B857" s="14">
        <f>IFERROR(__xludf.DUMMYFUNCTION("""COMPUTED_VALUE"""),836897.0)</f>
        <v>836897</v>
      </c>
      <c r="C857" s="14" t="str">
        <f>IFERROR(__xludf.DUMMYFUNCTION("""COMPUTED_VALUE"""),"張竣傑")</f>
        <v>張竣傑</v>
      </c>
      <c r="D857" s="16" t="str">
        <f>IFERROR(__xludf.DUMMYFUNCTION("""COMPUTED_VALUE"""),"j10*****sphs.hc.edu.tw")</f>
        <v>j10*****sphs.hc.edu.tw</v>
      </c>
      <c r="E857" s="17" t="str">
        <f>IFERROR(__xludf.DUMMYFUNCTION("""COMPUTED_VALUE"""),"新竹市私立磐石高級中學附設國中部")</f>
        <v>新竹市私立磐石高級中學附設國中部</v>
      </c>
      <c r="F857" s="14" t="str">
        <f>IFERROR(__xludf.DUMMYFUNCTION("""COMPUTED_VALUE"""),"九年級")</f>
        <v>九年級</v>
      </c>
      <c r="G857" s="14" t="str">
        <f>IFERROR(__xludf.DUMMYFUNCTION("""COMPUTED_VALUE"""),"獎狀")</f>
        <v>獎狀</v>
      </c>
      <c r="H857" s="8"/>
    </row>
    <row r="858">
      <c r="A858" s="18"/>
      <c r="B858" s="14">
        <f>IFERROR(__xludf.DUMMYFUNCTION("""COMPUTED_VALUE"""),836861.0)</f>
        <v>836861</v>
      </c>
      <c r="C858" s="14" t="str">
        <f>IFERROR(__xludf.DUMMYFUNCTION("""COMPUTED_VALUE"""),"陳冠廷")</f>
        <v>陳冠廷</v>
      </c>
      <c r="D858" s="16" t="str">
        <f>IFERROR(__xludf.DUMMYFUNCTION("""COMPUTED_VALUE"""),"j10*****sphs.hc.edu.tw")</f>
        <v>j10*****sphs.hc.edu.tw</v>
      </c>
      <c r="E858" s="17" t="str">
        <f>IFERROR(__xludf.DUMMYFUNCTION("""COMPUTED_VALUE"""),"新竹市私立磐石高級中學附設國中部")</f>
        <v>新竹市私立磐石高級中學附設國中部</v>
      </c>
      <c r="F858" s="14" t="str">
        <f>IFERROR(__xludf.DUMMYFUNCTION("""COMPUTED_VALUE"""),"九年級")</f>
        <v>九年級</v>
      </c>
      <c r="G858" s="14" t="str">
        <f>IFERROR(__xludf.DUMMYFUNCTION("""COMPUTED_VALUE"""),"獎狀")</f>
        <v>獎狀</v>
      </c>
      <c r="H858" s="8"/>
    </row>
    <row r="859">
      <c r="A859" s="18"/>
      <c r="B859" s="14">
        <f>IFERROR(__xludf.DUMMYFUNCTION("""COMPUTED_VALUE"""),836881.0)</f>
        <v>836881</v>
      </c>
      <c r="C859" s="14" t="str">
        <f>IFERROR(__xludf.DUMMYFUNCTION("""COMPUTED_VALUE"""),"陳品頤")</f>
        <v>陳品頤</v>
      </c>
      <c r="D859" s="16" t="str">
        <f>IFERROR(__xludf.DUMMYFUNCTION("""COMPUTED_VALUE"""),"j10*****sphs.hc.edu.tw")</f>
        <v>j10*****sphs.hc.edu.tw</v>
      </c>
      <c r="E859" s="17" t="str">
        <f>IFERROR(__xludf.DUMMYFUNCTION("""COMPUTED_VALUE"""),"新竹市私立磐石高級中學附設國中部")</f>
        <v>新竹市私立磐石高級中學附設國中部</v>
      </c>
      <c r="F859" s="14" t="str">
        <f>IFERROR(__xludf.DUMMYFUNCTION("""COMPUTED_VALUE"""),"九年級")</f>
        <v>九年級</v>
      </c>
      <c r="G859" s="14" t="str">
        <f>IFERROR(__xludf.DUMMYFUNCTION("""COMPUTED_VALUE"""),"獎狀")</f>
        <v>獎狀</v>
      </c>
      <c r="H859" s="8"/>
    </row>
    <row r="860">
      <c r="A860" s="18"/>
      <c r="B860" s="14">
        <f>IFERROR(__xludf.DUMMYFUNCTION("""COMPUTED_VALUE"""),772352.0)</f>
        <v>772352</v>
      </c>
      <c r="C860" s="14" t="str">
        <f>IFERROR(__xludf.DUMMYFUNCTION("""COMPUTED_VALUE"""),"胡婷瑋")</f>
        <v>胡婷瑋</v>
      </c>
      <c r="D860" s="16" t="str">
        <f>IFERROR(__xludf.DUMMYFUNCTION("""COMPUTED_VALUE"""),"j10*****sphs.hc.edu.tw")</f>
        <v>j10*****sphs.hc.edu.tw</v>
      </c>
      <c r="E860" s="17" t="str">
        <f>IFERROR(__xludf.DUMMYFUNCTION("""COMPUTED_VALUE"""),"新竹市私立磐石高級中學附設國中部")</f>
        <v>新竹市私立磐石高級中學附設國中部</v>
      </c>
      <c r="F860" s="14" t="str">
        <f>IFERROR(__xludf.DUMMYFUNCTION("""COMPUTED_VALUE"""),"九年級")</f>
        <v>九年級</v>
      </c>
      <c r="G860" s="14" t="str">
        <f>IFERROR(__xludf.DUMMYFUNCTION("""COMPUTED_VALUE"""),"獎狀")</f>
        <v>獎狀</v>
      </c>
      <c r="H860" s="8"/>
    </row>
    <row r="861">
      <c r="A861" s="18"/>
      <c r="B861" s="14">
        <f>IFERROR(__xludf.DUMMYFUNCTION("""COMPUTED_VALUE"""),772369.0)</f>
        <v>772369</v>
      </c>
      <c r="C861" s="14" t="str">
        <f>IFERROR(__xludf.DUMMYFUNCTION("""COMPUTED_VALUE"""),"陳子歆")</f>
        <v>陳子歆</v>
      </c>
      <c r="D861" s="16" t="str">
        <f>IFERROR(__xludf.DUMMYFUNCTION("""COMPUTED_VALUE"""),"j10*****sphs.hc.edu.tw")</f>
        <v>j10*****sphs.hc.edu.tw</v>
      </c>
      <c r="E861" s="17" t="str">
        <f>IFERROR(__xludf.DUMMYFUNCTION("""COMPUTED_VALUE"""),"新竹市私立磐石高級中學附設國中部")</f>
        <v>新竹市私立磐石高級中學附設國中部</v>
      </c>
      <c r="F861" s="14" t="str">
        <f>IFERROR(__xludf.DUMMYFUNCTION("""COMPUTED_VALUE"""),"九年級")</f>
        <v>九年級</v>
      </c>
      <c r="G861" s="14" t="str">
        <f>IFERROR(__xludf.DUMMYFUNCTION("""COMPUTED_VALUE"""),"●小禮物")</f>
        <v>●小禮物</v>
      </c>
      <c r="H861" s="8"/>
    </row>
    <row r="862">
      <c r="A862" s="18"/>
      <c r="B862" s="14">
        <f>IFERROR(__xludf.DUMMYFUNCTION("""COMPUTED_VALUE"""),772365.0)</f>
        <v>772365</v>
      </c>
      <c r="C862" s="14" t="str">
        <f>IFERROR(__xludf.DUMMYFUNCTION("""COMPUTED_VALUE"""),"彭芷淇")</f>
        <v>彭芷淇</v>
      </c>
      <c r="D862" s="16" t="str">
        <f>IFERROR(__xludf.DUMMYFUNCTION("""COMPUTED_VALUE"""),"j10*****sphs.hc.edu.tw")</f>
        <v>j10*****sphs.hc.edu.tw</v>
      </c>
      <c r="E862" s="17" t="str">
        <f>IFERROR(__xludf.DUMMYFUNCTION("""COMPUTED_VALUE"""),"新竹市私立磐石高級中學附設國中部")</f>
        <v>新竹市私立磐石高級中學附設國中部</v>
      </c>
      <c r="F862" s="14" t="str">
        <f>IFERROR(__xludf.DUMMYFUNCTION("""COMPUTED_VALUE"""),"九年級")</f>
        <v>九年級</v>
      </c>
      <c r="G862" s="14" t="str">
        <f>IFERROR(__xludf.DUMMYFUNCTION("""COMPUTED_VALUE"""),"●小禮物")</f>
        <v>●小禮物</v>
      </c>
      <c r="H862" s="8"/>
    </row>
    <row r="863">
      <c r="A863" s="18"/>
      <c r="B863" s="14">
        <f>IFERROR(__xludf.DUMMYFUNCTION("""COMPUTED_VALUE"""),772364.0)</f>
        <v>772364</v>
      </c>
      <c r="C863" s="14" t="str">
        <f>IFERROR(__xludf.DUMMYFUNCTION("""COMPUTED_VALUE"""),"謝文禓")</f>
        <v>謝文禓</v>
      </c>
      <c r="D863" s="16" t="str">
        <f>IFERROR(__xludf.DUMMYFUNCTION("""COMPUTED_VALUE"""),"j10*****sphs.hc.edu.tw")</f>
        <v>j10*****sphs.hc.edu.tw</v>
      </c>
      <c r="E863" s="17" t="str">
        <f>IFERROR(__xludf.DUMMYFUNCTION("""COMPUTED_VALUE"""),"新竹市私立磐石高級中學附設國中部")</f>
        <v>新竹市私立磐石高級中學附設國中部</v>
      </c>
      <c r="F863" s="14" t="str">
        <f>IFERROR(__xludf.DUMMYFUNCTION("""COMPUTED_VALUE"""),"九年級")</f>
        <v>九年級</v>
      </c>
      <c r="G863" s="14" t="str">
        <f>IFERROR(__xludf.DUMMYFUNCTION("""COMPUTED_VALUE"""),"●小禮物")</f>
        <v>●小禮物</v>
      </c>
      <c r="H863" s="8"/>
    </row>
    <row r="864">
      <c r="A864" s="18"/>
      <c r="B864" s="14">
        <f>IFERROR(__xludf.DUMMYFUNCTION("""COMPUTED_VALUE"""),772355.0)</f>
        <v>772355</v>
      </c>
      <c r="C864" s="14" t="str">
        <f>IFERROR(__xludf.DUMMYFUNCTION("""COMPUTED_VALUE"""),"陳柏呈")</f>
        <v>陳柏呈</v>
      </c>
      <c r="D864" s="16" t="str">
        <f>IFERROR(__xludf.DUMMYFUNCTION("""COMPUTED_VALUE"""),"j10*****sphs.hc.edu.tw")</f>
        <v>j10*****sphs.hc.edu.tw</v>
      </c>
      <c r="E864" s="17" t="str">
        <f>IFERROR(__xludf.DUMMYFUNCTION("""COMPUTED_VALUE"""),"新竹市私立磐石高級中學附設國中部")</f>
        <v>新竹市私立磐石高級中學附設國中部</v>
      </c>
      <c r="F864" s="14" t="str">
        <f>IFERROR(__xludf.DUMMYFUNCTION("""COMPUTED_VALUE"""),"九年級")</f>
        <v>九年級</v>
      </c>
      <c r="G864" s="14" t="str">
        <f>IFERROR(__xludf.DUMMYFUNCTION("""COMPUTED_VALUE"""),"★禮券$500")</f>
        <v>★禮券$500</v>
      </c>
      <c r="H864" s="8"/>
    </row>
    <row r="865">
      <c r="A865" s="18"/>
      <c r="B865" s="14">
        <f>IFERROR(__xludf.DUMMYFUNCTION("""COMPUTED_VALUE"""),772359.0)</f>
        <v>772359</v>
      </c>
      <c r="C865" s="14" t="str">
        <f>IFERROR(__xludf.DUMMYFUNCTION("""COMPUTED_VALUE"""),"王宥筑")</f>
        <v>王宥筑</v>
      </c>
      <c r="D865" s="16" t="str">
        <f>IFERROR(__xludf.DUMMYFUNCTION("""COMPUTED_VALUE"""),"j10*****sphs.hc.edu.tw")</f>
        <v>j10*****sphs.hc.edu.tw</v>
      </c>
      <c r="E865" s="17" t="str">
        <f>IFERROR(__xludf.DUMMYFUNCTION("""COMPUTED_VALUE"""),"新竹市私立磐石高級中學附設國中部")</f>
        <v>新竹市私立磐石高級中學附設國中部</v>
      </c>
      <c r="F865" s="14" t="str">
        <f>IFERROR(__xludf.DUMMYFUNCTION("""COMPUTED_VALUE"""),"九年級")</f>
        <v>九年級</v>
      </c>
      <c r="G865" s="14" t="str">
        <f>IFERROR(__xludf.DUMMYFUNCTION("""COMPUTED_VALUE"""),"獎狀")</f>
        <v>獎狀</v>
      </c>
      <c r="H865" s="8"/>
    </row>
    <row r="866">
      <c r="A866" s="18"/>
      <c r="B866" s="14">
        <f>IFERROR(__xludf.DUMMYFUNCTION("""COMPUTED_VALUE"""),772458.0)</f>
        <v>772458</v>
      </c>
      <c r="C866" s="14" t="str">
        <f>IFERROR(__xludf.DUMMYFUNCTION("""COMPUTED_VALUE"""),"邵丞澤")</f>
        <v>邵丞澤</v>
      </c>
      <c r="D866" s="16" t="str">
        <f>IFERROR(__xludf.DUMMYFUNCTION("""COMPUTED_VALUE"""),"j10*****sphs.hc.edu.tw")</f>
        <v>j10*****sphs.hc.edu.tw</v>
      </c>
      <c r="E866" s="17" t="str">
        <f>IFERROR(__xludf.DUMMYFUNCTION("""COMPUTED_VALUE"""),"新竹市私立磐石高級中學附設國中部")</f>
        <v>新竹市私立磐石高級中學附設國中部</v>
      </c>
      <c r="F866" s="14" t="str">
        <f>IFERROR(__xludf.DUMMYFUNCTION("""COMPUTED_VALUE"""),"九年級")</f>
        <v>九年級</v>
      </c>
      <c r="G866" s="14" t="str">
        <f>IFERROR(__xludf.DUMMYFUNCTION("""COMPUTED_VALUE"""),"獎狀")</f>
        <v>獎狀</v>
      </c>
      <c r="H866" s="8"/>
    </row>
    <row r="867">
      <c r="A867" s="18"/>
      <c r="B867" s="14">
        <f>IFERROR(__xludf.DUMMYFUNCTION("""COMPUTED_VALUE"""),587371.0)</f>
        <v>587371</v>
      </c>
      <c r="C867" s="14" t="str">
        <f>IFERROR(__xludf.DUMMYFUNCTION("""COMPUTED_VALUE"""),"楊昕妮")</f>
        <v>楊昕妮</v>
      </c>
      <c r="D867" s="16" t="str">
        <f>IFERROR(__xludf.DUMMYFUNCTION("""COMPUTED_VALUE"""),"j10*****sphs.hc.edu.tw")</f>
        <v>j10*****sphs.hc.edu.tw</v>
      </c>
      <c r="E867" s="17" t="str">
        <f>IFERROR(__xludf.DUMMYFUNCTION("""COMPUTED_VALUE"""),"新竹市私立磐石高級中學附設國中部")</f>
        <v>新竹市私立磐石高級中學附設國中部</v>
      </c>
      <c r="F867" s="14" t="str">
        <f>IFERROR(__xludf.DUMMYFUNCTION("""COMPUTED_VALUE"""),"九年級")</f>
        <v>九年級</v>
      </c>
      <c r="G867" s="14" t="str">
        <f>IFERROR(__xludf.DUMMYFUNCTION("""COMPUTED_VALUE"""),"獎狀")</f>
        <v>獎狀</v>
      </c>
      <c r="H867" s="8"/>
    </row>
    <row r="868">
      <c r="A868" s="18"/>
      <c r="B868" s="14">
        <f>IFERROR(__xludf.DUMMYFUNCTION("""COMPUTED_VALUE"""),772356.0)</f>
        <v>772356</v>
      </c>
      <c r="C868" s="14" t="str">
        <f>IFERROR(__xludf.DUMMYFUNCTION("""COMPUTED_VALUE"""),"詹函勳")</f>
        <v>詹函勳</v>
      </c>
      <c r="D868" s="16" t="str">
        <f>IFERROR(__xludf.DUMMYFUNCTION("""COMPUTED_VALUE"""),"j10*****sphs.hc.edu.tw")</f>
        <v>j10*****sphs.hc.edu.tw</v>
      </c>
      <c r="E868" s="17" t="str">
        <f>IFERROR(__xludf.DUMMYFUNCTION("""COMPUTED_VALUE"""),"新竹市私立磐石高級中學附設國中部")</f>
        <v>新竹市私立磐石高級中學附設國中部</v>
      </c>
      <c r="F868" s="14" t="str">
        <f>IFERROR(__xludf.DUMMYFUNCTION("""COMPUTED_VALUE"""),"九年級")</f>
        <v>九年級</v>
      </c>
      <c r="G868" s="14" t="str">
        <f>IFERROR(__xludf.DUMMYFUNCTION("""COMPUTED_VALUE"""),"獎狀")</f>
        <v>獎狀</v>
      </c>
      <c r="H868" s="8"/>
    </row>
    <row r="869">
      <c r="A869" s="18"/>
      <c r="B869" s="14">
        <f>IFERROR(__xludf.DUMMYFUNCTION("""COMPUTED_VALUE"""),836865.0)</f>
        <v>836865</v>
      </c>
      <c r="C869" s="14" t="str">
        <f>IFERROR(__xludf.DUMMYFUNCTION("""COMPUTED_VALUE"""),"李泓銍")</f>
        <v>李泓銍</v>
      </c>
      <c r="D869" s="16" t="str">
        <f>IFERROR(__xludf.DUMMYFUNCTION("""COMPUTED_VALUE"""),"j10*****sphs.hc.edu.tw")</f>
        <v>j10*****sphs.hc.edu.tw</v>
      </c>
      <c r="E869" s="17" t="str">
        <f>IFERROR(__xludf.DUMMYFUNCTION("""COMPUTED_VALUE"""),"新竹市私立磐石高級中學附設國中部")</f>
        <v>新竹市私立磐石高級中學附設國中部</v>
      </c>
      <c r="F869" s="14" t="str">
        <f>IFERROR(__xludf.DUMMYFUNCTION("""COMPUTED_VALUE"""),"九年級")</f>
        <v>九年級</v>
      </c>
      <c r="G869" s="14" t="str">
        <f>IFERROR(__xludf.DUMMYFUNCTION("""COMPUTED_VALUE"""),"●小禮物")</f>
        <v>●小禮物</v>
      </c>
      <c r="H869" s="8"/>
    </row>
    <row r="870">
      <c r="A870" s="18"/>
      <c r="B870" s="14">
        <f>IFERROR(__xludf.DUMMYFUNCTION("""COMPUTED_VALUE"""),587360.0)</f>
        <v>587360</v>
      </c>
      <c r="C870" s="14" t="str">
        <f>IFERROR(__xludf.DUMMYFUNCTION("""COMPUTED_VALUE"""),"林子晴")</f>
        <v>林子晴</v>
      </c>
      <c r="D870" s="16" t="str">
        <f>IFERROR(__xludf.DUMMYFUNCTION("""COMPUTED_VALUE"""),"j10*****sphs.hc.edu.tw")</f>
        <v>j10*****sphs.hc.edu.tw</v>
      </c>
      <c r="E870" s="17" t="str">
        <f>IFERROR(__xludf.DUMMYFUNCTION("""COMPUTED_VALUE"""),"新竹市私立磐石高級中學附設國中部")</f>
        <v>新竹市私立磐石高級中學附設國中部</v>
      </c>
      <c r="F870" s="14" t="str">
        <f>IFERROR(__xludf.DUMMYFUNCTION("""COMPUTED_VALUE"""),"九年級")</f>
        <v>九年級</v>
      </c>
      <c r="G870" s="14" t="str">
        <f>IFERROR(__xludf.DUMMYFUNCTION("""COMPUTED_VALUE"""),"●小禮物")</f>
        <v>●小禮物</v>
      </c>
      <c r="H870" s="8"/>
    </row>
    <row r="871">
      <c r="A871" s="18"/>
      <c r="B871" s="14">
        <f>IFERROR(__xludf.DUMMYFUNCTION("""COMPUTED_VALUE"""),587383.0)</f>
        <v>587383</v>
      </c>
      <c r="C871" s="14" t="str">
        <f>IFERROR(__xludf.DUMMYFUNCTION("""COMPUTED_VALUE"""),"莊孟蓉")</f>
        <v>莊孟蓉</v>
      </c>
      <c r="D871" s="16" t="str">
        <f>IFERROR(__xludf.DUMMYFUNCTION("""COMPUTED_VALUE"""),"j10*****sphs.hc.edu.tw")</f>
        <v>j10*****sphs.hc.edu.tw</v>
      </c>
      <c r="E871" s="17" t="str">
        <f>IFERROR(__xludf.DUMMYFUNCTION("""COMPUTED_VALUE"""),"新竹市私立磐石高級中學附設國中部")</f>
        <v>新竹市私立磐石高級中學附設國中部</v>
      </c>
      <c r="F871" s="14" t="str">
        <f>IFERROR(__xludf.DUMMYFUNCTION("""COMPUTED_VALUE"""),"九年級")</f>
        <v>九年級</v>
      </c>
      <c r="G871" s="14" t="str">
        <f>IFERROR(__xludf.DUMMYFUNCTION("""COMPUTED_VALUE"""),"獎狀")</f>
        <v>獎狀</v>
      </c>
      <c r="H871" s="8"/>
    </row>
    <row r="872">
      <c r="A872" s="18"/>
      <c r="B872" s="14">
        <f>IFERROR(__xludf.DUMMYFUNCTION("""COMPUTED_VALUE"""),836872.0)</f>
        <v>836872</v>
      </c>
      <c r="C872" s="14" t="str">
        <f>IFERROR(__xludf.DUMMYFUNCTION("""COMPUTED_VALUE"""),"彭祥錩")</f>
        <v>彭祥錩</v>
      </c>
      <c r="D872" s="16" t="str">
        <f>IFERROR(__xludf.DUMMYFUNCTION("""COMPUTED_VALUE"""),"j10*****sphs.hc.edu.tw")</f>
        <v>j10*****sphs.hc.edu.tw</v>
      </c>
      <c r="E872" s="17" t="str">
        <f>IFERROR(__xludf.DUMMYFUNCTION("""COMPUTED_VALUE"""),"新竹市私立磐石高級中學附設國中部")</f>
        <v>新竹市私立磐石高級中學附設國中部</v>
      </c>
      <c r="F872" s="14" t="str">
        <f>IFERROR(__xludf.DUMMYFUNCTION("""COMPUTED_VALUE"""),"九年級")</f>
        <v>九年級</v>
      </c>
      <c r="G872" s="14" t="str">
        <f>IFERROR(__xludf.DUMMYFUNCTION("""COMPUTED_VALUE"""),"獎狀")</f>
        <v>獎狀</v>
      </c>
      <c r="H872" s="8"/>
    </row>
    <row r="873">
      <c r="A873" s="18"/>
      <c r="B873" s="14">
        <f>IFERROR(__xludf.DUMMYFUNCTION("""COMPUTED_VALUE"""),836873.0)</f>
        <v>836873</v>
      </c>
      <c r="C873" s="14" t="str">
        <f>IFERROR(__xludf.DUMMYFUNCTION("""COMPUTED_VALUE"""),"鍾明真")</f>
        <v>鍾明真</v>
      </c>
      <c r="D873" s="16" t="str">
        <f>IFERROR(__xludf.DUMMYFUNCTION("""COMPUTED_VALUE"""),"j10*****sphs.hc.edu.tw")</f>
        <v>j10*****sphs.hc.edu.tw</v>
      </c>
      <c r="E873" s="17" t="str">
        <f>IFERROR(__xludf.DUMMYFUNCTION("""COMPUTED_VALUE"""),"新竹市私立磐石高級中學附設國中部")</f>
        <v>新竹市私立磐石高級中學附設國中部</v>
      </c>
      <c r="F873" s="14" t="str">
        <f>IFERROR(__xludf.DUMMYFUNCTION("""COMPUTED_VALUE"""),"九年級")</f>
        <v>九年級</v>
      </c>
      <c r="G873" s="14" t="str">
        <f>IFERROR(__xludf.DUMMYFUNCTION("""COMPUTED_VALUE"""),"獎狀")</f>
        <v>獎狀</v>
      </c>
      <c r="H873" s="8"/>
    </row>
    <row r="874">
      <c r="A874" s="18"/>
      <c r="B874" s="14">
        <f>IFERROR(__xludf.DUMMYFUNCTION("""COMPUTED_VALUE"""),959625.0)</f>
        <v>959625</v>
      </c>
      <c r="C874" s="14" t="str">
        <f>IFERROR(__xludf.DUMMYFUNCTION("""COMPUTED_VALUE"""),"蕭敬洋")</f>
        <v>蕭敬洋</v>
      </c>
      <c r="D874" s="16" t="str">
        <f>IFERROR(__xludf.DUMMYFUNCTION("""COMPUTED_VALUE"""),"por*****29.hc@mail.edu.tw")</f>
        <v>por*****29.hc@mail.edu.tw</v>
      </c>
      <c r="E874" s="17" t="str">
        <f>IFERROR(__xludf.DUMMYFUNCTION("""COMPUTED_VALUE"""),"新竹市立竹光國民中學")</f>
        <v>新竹市立竹光國民中學</v>
      </c>
      <c r="F874" s="14" t="str">
        <f>IFERROR(__xludf.DUMMYFUNCTION("""COMPUTED_VALUE"""),"七年級")</f>
        <v>七年級</v>
      </c>
      <c r="G874" s="14" t="str">
        <f>IFERROR(__xludf.DUMMYFUNCTION("""COMPUTED_VALUE"""),"獎狀")</f>
        <v>獎狀</v>
      </c>
      <c r="H874" s="8"/>
    </row>
    <row r="875">
      <c r="A875" s="18"/>
      <c r="B875" s="14">
        <f>IFERROR(__xludf.DUMMYFUNCTION("""COMPUTED_VALUE"""),1217235.0)</f>
        <v>1217235</v>
      </c>
      <c r="C875" s="14" t="str">
        <f>IFERROR(__xludf.DUMMYFUNCTION("""COMPUTED_VALUE"""),"劉晴")</f>
        <v>劉晴</v>
      </c>
      <c r="D875" s="16" t="str">
        <f>IFERROR(__xludf.DUMMYFUNCTION("""COMPUTED_VALUE"""),"j11*****12@nehs.hc.edu.tw")</f>
        <v>j11*****12@nehs.hc.edu.tw</v>
      </c>
      <c r="E875" s="17" t="str">
        <f>IFERROR(__xludf.DUMMYFUNCTION("""COMPUTED_VALUE"""),"國立新竹科學園區實驗高級中等學校附設國中部")</f>
        <v>國立新竹科學園區實驗高級中等學校附設國中部</v>
      </c>
      <c r="F875" s="14" t="str">
        <f>IFERROR(__xludf.DUMMYFUNCTION("""COMPUTED_VALUE"""),"七年級")</f>
        <v>七年級</v>
      </c>
      <c r="G875" s="14" t="str">
        <f>IFERROR(__xludf.DUMMYFUNCTION("""COMPUTED_VALUE"""),"獎狀")</f>
        <v>獎狀</v>
      </c>
      <c r="H875" s="8"/>
    </row>
    <row r="876">
      <c r="A876" s="18"/>
      <c r="B876" s="14">
        <f>IFERROR(__xludf.DUMMYFUNCTION("""COMPUTED_VALUE"""),232329.0)</f>
        <v>232329</v>
      </c>
      <c r="C876" s="14" t="str">
        <f>IFERROR(__xludf.DUMMYFUNCTION("""COMPUTED_VALUE"""),"吳定宇")</f>
        <v>吳定宇</v>
      </c>
      <c r="D876" s="16" t="str">
        <f>IFERROR(__xludf.DUMMYFUNCTION("""COMPUTED_VALUE"""),"ttl*****er@yahoo.com.tw")</f>
        <v>ttl*****er@yahoo.com.tw</v>
      </c>
      <c r="E876" s="17" t="str">
        <f>IFERROR(__xludf.DUMMYFUNCTION("""COMPUTED_VALUE"""),"國立新竹科學園區實驗高級中等學校附設國中部")</f>
        <v>國立新竹科學園區實驗高級中等學校附設國中部</v>
      </c>
      <c r="F876" s="14" t="str">
        <f>IFERROR(__xludf.DUMMYFUNCTION("""COMPUTED_VALUE"""),"七年級")</f>
        <v>七年級</v>
      </c>
      <c r="G876" s="14" t="str">
        <f>IFERROR(__xludf.DUMMYFUNCTION("""COMPUTED_VALUE"""),"●小禮物")</f>
        <v>●小禮物</v>
      </c>
      <c r="H876" s="8"/>
    </row>
    <row r="877">
      <c r="A877" s="18"/>
      <c r="B877" s="14">
        <f>IFERROR(__xludf.DUMMYFUNCTION("""COMPUTED_VALUE"""),1118500.0)</f>
        <v>1118500</v>
      </c>
      <c r="C877" s="14" t="str">
        <f>IFERROR(__xludf.DUMMYFUNCTION("""COMPUTED_VALUE"""),"邱德倫")</f>
        <v>邱德倫</v>
      </c>
      <c r="D877" s="16" t="str">
        <f>IFERROR(__xludf.DUMMYFUNCTION("""COMPUTED_VALUE"""),"j01*****nehs.hc.edu.tw")</f>
        <v>j01*****nehs.hc.edu.tw</v>
      </c>
      <c r="E877" s="17" t="str">
        <f>IFERROR(__xludf.DUMMYFUNCTION("""COMPUTED_VALUE"""),"國立新竹科學園區實驗高級中等學校附設國中部")</f>
        <v>國立新竹科學園區實驗高級中等學校附設國中部</v>
      </c>
      <c r="F877" s="14" t="str">
        <f>IFERROR(__xludf.DUMMYFUNCTION("""COMPUTED_VALUE"""),"八年級")</f>
        <v>八年級</v>
      </c>
      <c r="G877" s="14" t="str">
        <f>IFERROR(__xludf.DUMMYFUNCTION("""COMPUTED_VALUE"""),"●小禮物")</f>
        <v>●小禮物</v>
      </c>
      <c r="H877" s="8"/>
    </row>
    <row r="878">
      <c r="A878" s="18"/>
      <c r="B878" s="14">
        <f>IFERROR(__xludf.DUMMYFUNCTION("""COMPUTED_VALUE"""),1179834.0)</f>
        <v>1179834</v>
      </c>
      <c r="C878" s="14" t="str">
        <f>IFERROR(__xludf.DUMMYFUNCTION("""COMPUTED_VALUE"""),"區家碩")</f>
        <v>區家碩</v>
      </c>
      <c r="D878" s="16" t="str">
        <f>IFERROR(__xludf.DUMMYFUNCTION("""COMPUTED_VALUE"""),"111*****stu.sggs.hc.edu.tw")</f>
        <v>111*****stu.sggs.hc.edu.tw</v>
      </c>
      <c r="E878" s="17" t="str">
        <f>IFERROR(__xludf.DUMMYFUNCTION("""COMPUTED_VALUE"""),"新竹市私立曙光女子高級中學附設國中部")</f>
        <v>新竹市私立曙光女子高級中學附設國中部</v>
      </c>
      <c r="F878" s="14" t="str">
        <f>IFERROR(__xludf.DUMMYFUNCTION("""COMPUTED_VALUE"""),"七年級")</f>
        <v>七年級</v>
      </c>
      <c r="G878" s="14" t="str">
        <f>IFERROR(__xludf.DUMMYFUNCTION("""COMPUTED_VALUE"""),"獎狀")</f>
        <v>獎狀</v>
      </c>
      <c r="H878" s="8"/>
    </row>
    <row r="879">
      <c r="A879" s="18"/>
      <c r="B879" s="14">
        <f>IFERROR(__xludf.DUMMYFUNCTION("""COMPUTED_VALUE"""),1192236.0)</f>
        <v>1192236</v>
      </c>
      <c r="C879" s="14" t="str">
        <f>IFERROR(__xludf.DUMMYFUNCTION("""COMPUTED_VALUE"""),"吳唯維")</f>
        <v>吳唯維</v>
      </c>
      <c r="D879" s="16" t="str">
        <f>IFERROR(__xludf.DUMMYFUNCTION("""COMPUTED_VALUE"""),"111*****stu.sggs.hc.edu.tw")</f>
        <v>111*****stu.sggs.hc.edu.tw</v>
      </c>
      <c r="E879" s="17" t="str">
        <f>IFERROR(__xludf.DUMMYFUNCTION("""COMPUTED_VALUE"""),"新竹市私立曙光女子高級中學附設國中部")</f>
        <v>新竹市私立曙光女子高級中學附設國中部</v>
      </c>
      <c r="F879" s="14" t="str">
        <f>IFERROR(__xludf.DUMMYFUNCTION("""COMPUTED_VALUE"""),"七年級")</f>
        <v>七年級</v>
      </c>
      <c r="G879" s="14" t="str">
        <f>IFERROR(__xludf.DUMMYFUNCTION("""COMPUTED_VALUE"""),"●小禮物")</f>
        <v>●小禮物</v>
      </c>
      <c r="H879" s="8"/>
    </row>
    <row r="880">
      <c r="A880" s="18"/>
      <c r="B880" s="14">
        <f>IFERROR(__xludf.DUMMYFUNCTION("""COMPUTED_VALUE"""),1210676.0)</f>
        <v>1210676</v>
      </c>
      <c r="C880" s="14" t="str">
        <f>IFERROR(__xludf.DUMMYFUNCTION("""COMPUTED_VALUE"""),"杜玉涵")</f>
        <v>杜玉涵</v>
      </c>
      <c r="D880" s="16" t="str">
        <f>IFERROR(__xludf.DUMMYFUNCTION("""COMPUTED_VALUE"""),"ann*****6@gmail.com")</f>
        <v>ann*****6@gmail.com</v>
      </c>
      <c r="E880" s="17" t="str">
        <f>IFERROR(__xludf.DUMMYFUNCTION("""COMPUTED_VALUE"""),"新竹市私立曙光女子高級中學附設國中部")</f>
        <v>新竹市私立曙光女子高級中學附設國中部</v>
      </c>
      <c r="F880" s="14" t="str">
        <f>IFERROR(__xludf.DUMMYFUNCTION("""COMPUTED_VALUE"""),"七年級")</f>
        <v>七年級</v>
      </c>
      <c r="G880" s="14" t="str">
        <f>IFERROR(__xludf.DUMMYFUNCTION("""COMPUTED_VALUE"""),"獎狀")</f>
        <v>獎狀</v>
      </c>
      <c r="H880" s="8"/>
    </row>
    <row r="881">
      <c r="A881" s="18"/>
      <c r="B881" s="14">
        <f>IFERROR(__xludf.DUMMYFUNCTION("""COMPUTED_VALUE"""),1199279.0)</f>
        <v>1199279</v>
      </c>
      <c r="C881" s="14" t="str">
        <f>IFERROR(__xludf.DUMMYFUNCTION("""COMPUTED_VALUE"""),"陳品潔")</f>
        <v>陳品潔</v>
      </c>
      <c r="D881" s="16" t="str">
        <f>IFERROR(__xludf.DUMMYFUNCTION("""COMPUTED_VALUE"""),"jam*****n9811@gmail.com")</f>
        <v>jam*****n9811@gmail.com</v>
      </c>
      <c r="E881" s="17" t="str">
        <f>IFERROR(__xludf.DUMMYFUNCTION("""COMPUTED_VALUE"""),"新竹市私立曙光女子高級中學附設國中部")</f>
        <v>新竹市私立曙光女子高級中學附設國中部</v>
      </c>
      <c r="F881" s="14" t="str">
        <f>IFERROR(__xludf.DUMMYFUNCTION("""COMPUTED_VALUE"""),"七年級")</f>
        <v>七年級</v>
      </c>
      <c r="G881" s="14" t="str">
        <f>IFERROR(__xludf.DUMMYFUNCTION("""COMPUTED_VALUE"""),"獎狀")</f>
        <v>獎狀</v>
      </c>
      <c r="H881" s="8"/>
    </row>
    <row r="882">
      <c r="A882" s="18"/>
      <c r="B882" s="14">
        <f>IFERROR(__xludf.DUMMYFUNCTION("""COMPUTED_VALUE"""),1187097.0)</f>
        <v>1187097</v>
      </c>
      <c r="C882" s="14" t="str">
        <f>IFERROR(__xludf.DUMMYFUNCTION("""COMPUTED_VALUE"""),"蔡雨宸")</f>
        <v>蔡雨宸</v>
      </c>
      <c r="D882" s="16" t="str">
        <f>IFERROR(__xludf.DUMMYFUNCTION("""COMPUTED_VALUE"""),"111*****stu.sggs.hc.edu.tw")</f>
        <v>111*****stu.sggs.hc.edu.tw</v>
      </c>
      <c r="E882" s="17" t="str">
        <f>IFERROR(__xludf.DUMMYFUNCTION("""COMPUTED_VALUE"""),"新竹市私立曙光女子高級中學附設國中部")</f>
        <v>新竹市私立曙光女子高級中學附設國中部</v>
      </c>
      <c r="F882" s="14" t="str">
        <f>IFERROR(__xludf.DUMMYFUNCTION("""COMPUTED_VALUE"""),"七年級")</f>
        <v>七年級</v>
      </c>
      <c r="G882" s="14" t="str">
        <f>IFERROR(__xludf.DUMMYFUNCTION("""COMPUTED_VALUE"""),"●小禮物")</f>
        <v>●小禮物</v>
      </c>
      <c r="H882" s="8"/>
    </row>
    <row r="883">
      <c r="A883" s="18"/>
      <c r="B883" s="14">
        <f>IFERROR(__xludf.DUMMYFUNCTION("""COMPUTED_VALUE"""),1177460.0)</f>
        <v>1177460</v>
      </c>
      <c r="C883" s="14" t="str">
        <f>IFERROR(__xludf.DUMMYFUNCTION("""COMPUTED_VALUE"""),"周書宇")</f>
        <v>周書宇</v>
      </c>
      <c r="D883" s="16" t="str">
        <f>IFERROR(__xludf.DUMMYFUNCTION("""COMPUTED_VALUE"""),"111*****stu.sggs.hc.edu.tw")</f>
        <v>111*****stu.sggs.hc.edu.tw</v>
      </c>
      <c r="E883" s="17" t="str">
        <f>IFERROR(__xludf.DUMMYFUNCTION("""COMPUTED_VALUE"""),"新竹市私立曙光女子高級中學附設國中部")</f>
        <v>新竹市私立曙光女子高級中學附設國中部</v>
      </c>
      <c r="F883" s="14" t="str">
        <f>IFERROR(__xludf.DUMMYFUNCTION("""COMPUTED_VALUE"""),"七年級")</f>
        <v>七年級</v>
      </c>
      <c r="G883" s="14" t="str">
        <f>IFERROR(__xludf.DUMMYFUNCTION("""COMPUTED_VALUE"""),"●小禮物")</f>
        <v>●小禮物</v>
      </c>
      <c r="H883" s="8"/>
    </row>
    <row r="884">
      <c r="A884" s="18"/>
      <c r="B884" s="14">
        <f>IFERROR(__xludf.DUMMYFUNCTION("""COMPUTED_VALUE"""),1177454.0)</f>
        <v>1177454</v>
      </c>
      <c r="C884" s="14" t="str">
        <f>IFERROR(__xludf.DUMMYFUNCTION("""COMPUTED_VALUE"""),"陳嬑")</f>
        <v>陳嬑</v>
      </c>
      <c r="D884" s="16" t="str">
        <f>IFERROR(__xludf.DUMMYFUNCTION("""COMPUTED_VALUE"""),"111*****stu.sggs.hc.edu.tw")</f>
        <v>111*****stu.sggs.hc.edu.tw</v>
      </c>
      <c r="E884" s="17" t="str">
        <f>IFERROR(__xludf.DUMMYFUNCTION("""COMPUTED_VALUE"""),"新竹市私立曙光女子高級中學附設國中部")</f>
        <v>新竹市私立曙光女子高級中學附設國中部</v>
      </c>
      <c r="F884" s="14" t="str">
        <f>IFERROR(__xludf.DUMMYFUNCTION("""COMPUTED_VALUE"""),"七年級")</f>
        <v>七年級</v>
      </c>
      <c r="G884" s="14" t="str">
        <f>IFERROR(__xludf.DUMMYFUNCTION("""COMPUTED_VALUE"""),"●小禮物")</f>
        <v>●小禮物</v>
      </c>
      <c r="H884" s="8"/>
    </row>
    <row r="885">
      <c r="A885" s="18"/>
      <c r="B885" s="14">
        <f>IFERROR(__xludf.DUMMYFUNCTION("""COMPUTED_VALUE"""),1176972.0)</f>
        <v>1176972</v>
      </c>
      <c r="C885" s="14" t="str">
        <f>IFERROR(__xludf.DUMMYFUNCTION("""COMPUTED_VALUE"""),"李承洋")</f>
        <v>李承洋</v>
      </c>
      <c r="D885" s="16" t="str">
        <f>IFERROR(__xludf.DUMMYFUNCTION("""COMPUTED_VALUE"""),"che*****gli3041@gmail.com")</f>
        <v>che*****gli3041@gmail.com</v>
      </c>
      <c r="E885" s="17" t="str">
        <f>IFERROR(__xludf.DUMMYFUNCTION("""COMPUTED_VALUE"""),"新竹市私立曙光女子高級中學附設國中部")</f>
        <v>新竹市私立曙光女子高級中學附設國中部</v>
      </c>
      <c r="F885" s="14" t="str">
        <f>IFERROR(__xludf.DUMMYFUNCTION("""COMPUTED_VALUE"""),"七年級")</f>
        <v>七年級</v>
      </c>
      <c r="G885" s="14" t="str">
        <f>IFERROR(__xludf.DUMMYFUNCTION("""COMPUTED_VALUE"""),"●小禮物")</f>
        <v>●小禮物</v>
      </c>
      <c r="H885" s="8"/>
    </row>
    <row r="886">
      <c r="A886" s="18"/>
      <c r="B886" s="14">
        <f>IFERROR(__xludf.DUMMYFUNCTION("""COMPUTED_VALUE"""),1186618.0)</f>
        <v>1186618</v>
      </c>
      <c r="C886" s="14" t="str">
        <f>IFERROR(__xludf.DUMMYFUNCTION("""COMPUTED_VALUE"""),"沈雅晴")</f>
        <v>沈雅晴</v>
      </c>
      <c r="D886" s="16" t="str">
        <f>IFERROR(__xludf.DUMMYFUNCTION("""COMPUTED_VALUE"""),"111*****stu.sggs.hc.edu.tw")</f>
        <v>111*****stu.sggs.hc.edu.tw</v>
      </c>
      <c r="E886" s="17" t="str">
        <f>IFERROR(__xludf.DUMMYFUNCTION("""COMPUTED_VALUE"""),"新竹市私立曙光女子高級中學附設國中部")</f>
        <v>新竹市私立曙光女子高級中學附設國中部</v>
      </c>
      <c r="F886" s="14" t="str">
        <f>IFERROR(__xludf.DUMMYFUNCTION("""COMPUTED_VALUE"""),"七年級")</f>
        <v>七年級</v>
      </c>
      <c r="G886" s="14" t="str">
        <f>IFERROR(__xludf.DUMMYFUNCTION("""COMPUTED_VALUE"""),"●小禮物")</f>
        <v>●小禮物</v>
      </c>
      <c r="H886" s="8"/>
    </row>
    <row r="887">
      <c r="A887" s="18"/>
      <c r="B887" s="14">
        <f>IFERROR(__xludf.DUMMYFUNCTION("""COMPUTED_VALUE"""),1179603.0)</f>
        <v>1179603</v>
      </c>
      <c r="C887" s="14" t="str">
        <f>IFERROR(__xludf.DUMMYFUNCTION("""COMPUTED_VALUE"""),"林芷萓")</f>
        <v>林芷萓</v>
      </c>
      <c r="D887" s="16" t="str">
        <f>IFERROR(__xludf.DUMMYFUNCTION("""COMPUTED_VALUE"""),"111*****stu.sggs.hc.edu.tw")</f>
        <v>111*****stu.sggs.hc.edu.tw</v>
      </c>
      <c r="E887" s="17" t="str">
        <f>IFERROR(__xludf.DUMMYFUNCTION("""COMPUTED_VALUE"""),"新竹市私立曙光女子高級中學附設國中部")</f>
        <v>新竹市私立曙光女子高級中學附設國中部</v>
      </c>
      <c r="F887" s="14" t="str">
        <f>IFERROR(__xludf.DUMMYFUNCTION("""COMPUTED_VALUE"""),"七年級")</f>
        <v>七年級</v>
      </c>
      <c r="G887" s="14" t="str">
        <f>IFERROR(__xludf.DUMMYFUNCTION("""COMPUTED_VALUE"""),"●小禮物")</f>
        <v>●小禮物</v>
      </c>
      <c r="H887" s="8"/>
    </row>
    <row r="888">
      <c r="A888" s="18"/>
      <c r="B888" s="14">
        <f>IFERROR(__xludf.DUMMYFUNCTION("""COMPUTED_VALUE"""),1181700.0)</f>
        <v>1181700</v>
      </c>
      <c r="C888" s="14" t="str">
        <f>IFERROR(__xludf.DUMMYFUNCTION("""COMPUTED_VALUE"""),"胡祐愷")</f>
        <v>胡祐愷</v>
      </c>
      <c r="D888" s="16" t="str">
        <f>IFERROR(__xludf.DUMMYFUNCTION("""COMPUTED_VALUE"""),"111*****stu.sggs.hc.edu.tw")</f>
        <v>111*****stu.sggs.hc.edu.tw</v>
      </c>
      <c r="E888" s="17" t="str">
        <f>IFERROR(__xludf.DUMMYFUNCTION("""COMPUTED_VALUE"""),"新竹市私立曙光女子高級中學附設國中部")</f>
        <v>新竹市私立曙光女子高級中學附設國中部</v>
      </c>
      <c r="F888" s="14" t="str">
        <f>IFERROR(__xludf.DUMMYFUNCTION("""COMPUTED_VALUE"""),"七年級")</f>
        <v>七年級</v>
      </c>
      <c r="G888" s="14" t="str">
        <f>IFERROR(__xludf.DUMMYFUNCTION("""COMPUTED_VALUE"""),"●小禮物")</f>
        <v>●小禮物</v>
      </c>
      <c r="H888" s="8"/>
    </row>
    <row r="889">
      <c r="A889" s="18"/>
      <c r="B889" s="14">
        <f>IFERROR(__xludf.DUMMYFUNCTION("""COMPUTED_VALUE"""),1186836.0)</f>
        <v>1186836</v>
      </c>
      <c r="C889" s="14" t="str">
        <f>IFERROR(__xludf.DUMMYFUNCTION("""COMPUTED_VALUE"""),"徐永陞")</f>
        <v>徐永陞</v>
      </c>
      <c r="D889" s="16" t="str">
        <f>IFERROR(__xludf.DUMMYFUNCTION("""COMPUTED_VALUE"""),"111*****stu.sggs.hc.edu.tw")</f>
        <v>111*****stu.sggs.hc.edu.tw</v>
      </c>
      <c r="E889" s="17" t="str">
        <f>IFERROR(__xludf.DUMMYFUNCTION("""COMPUTED_VALUE"""),"新竹市私立曙光女子高級中學附設國中部")</f>
        <v>新竹市私立曙光女子高級中學附設國中部</v>
      </c>
      <c r="F889" s="14" t="str">
        <f>IFERROR(__xludf.DUMMYFUNCTION("""COMPUTED_VALUE"""),"七年級")</f>
        <v>七年級</v>
      </c>
      <c r="G889" s="14" t="str">
        <f>IFERROR(__xludf.DUMMYFUNCTION("""COMPUTED_VALUE"""),"●小禮物")</f>
        <v>●小禮物</v>
      </c>
      <c r="H889" s="8"/>
    </row>
    <row r="890">
      <c r="A890" s="18"/>
      <c r="B890" s="14">
        <f>IFERROR(__xludf.DUMMYFUNCTION("""COMPUTED_VALUE"""),1179628.0)</f>
        <v>1179628</v>
      </c>
      <c r="C890" s="14" t="str">
        <f>IFERROR(__xludf.DUMMYFUNCTION("""COMPUTED_VALUE"""),"許煥擎")</f>
        <v>許煥擎</v>
      </c>
      <c r="D890" s="16" t="str">
        <f>IFERROR(__xludf.DUMMYFUNCTION("""COMPUTED_VALUE"""),"111*****stu.sggs.hc.edu.tw")</f>
        <v>111*****stu.sggs.hc.edu.tw</v>
      </c>
      <c r="E890" s="17" t="str">
        <f>IFERROR(__xludf.DUMMYFUNCTION("""COMPUTED_VALUE"""),"新竹市私立曙光女子高級中學附設國中部")</f>
        <v>新竹市私立曙光女子高級中學附設國中部</v>
      </c>
      <c r="F890" s="14" t="str">
        <f>IFERROR(__xludf.DUMMYFUNCTION("""COMPUTED_VALUE"""),"七年級")</f>
        <v>七年級</v>
      </c>
      <c r="G890" s="14" t="str">
        <f>IFERROR(__xludf.DUMMYFUNCTION("""COMPUTED_VALUE"""),"●小禮物")</f>
        <v>●小禮物</v>
      </c>
      <c r="H890" s="8"/>
    </row>
    <row r="891">
      <c r="A891" s="18"/>
      <c r="B891" s="14">
        <f>IFERROR(__xludf.DUMMYFUNCTION("""COMPUTED_VALUE"""),1189872.0)</f>
        <v>1189872</v>
      </c>
      <c r="C891" s="14" t="str">
        <f>IFERROR(__xludf.DUMMYFUNCTION("""COMPUTED_VALUE"""),"陳彥勳")</f>
        <v>陳彥勳</v>
      </c>
      <c r="D891" s="16" t="str">
        <f>IFERROR(__xludf.DUMMYFUNCTION("""COMPUTED_VALUE"""),"shi*****n1206@gmail.com")</f>
        <v>shi*****n1206@gmail.com</v>
      </c>
      <c r="E891" s="17" t="str">
        <f>IFERROR(__xludf.DUMMYFUNCTION("""COMPUTED_VALUE"""),"新竹市私立曙光女子高級中學附設國中部")</f>
        <v>新竹市私立曙光女子高級中學附設國中部</v>
      </c>
      <c r="F891" s="14" t="str">
        <f>IFERROR(__xludf.DUMMYFUNCTION("""COMPUTED_VALUE"""),"七年級")</f>
        <v>七年級</v>
      </c>
      <c r="G891" s="14" t="str">
        <f>IFERROR(__xludf.DUMMYFUNCTION("""COMPUTED_VALUE"""),"●小禮物")</f>
        <v>●小禮物</v>
      </c>
      <c r="H891" s="8"/>
    </row>
    <row r="892">
      <c r="A892" s="18"/>
      <c r="B892" s="14">
        <f>IFERROR(__xludf.DUMMYFUNCTION("""COMPUTED_VALUE"""),1177407.0)</f>
        <v>1177407</v>
      </c>
      <c r="C892" s="14" t="str">
        <f>IFERROR(__xludf.DUMMYFUNCTION("""COMPUTED_VALUE"""),"陸冠承")</f>
        <v>陸冠承</v>
      </c>
      <c r="D892" s="16" t="str">
        <f>IFERROR(__xludf.DUMMYFUNCTION("""COMPUTED_VALUE"""),"dan*****.1026@gmail.com")</f>
        <v>dan*****.1026@gmail.com</v>
      </c>
      <c r="E892" s="17" t="str">
        <f>IFERROR(__xludf.DUMMYFUNCTION("""COMPUTED_VALUE"""),"新竹市私立曙光女子高級中學附設國中部")</f>
        <v>新竹市私立曙光女子高級中學附設國中部</v>
      </c>
      <c r="F892" s="14" t="str">
        <f>IFERROR(__xludf.DUMMYFUNCTION("""COMPUTED_VALUE"""),"七年級")</f>
        <v>七年級</v>
      </c>
      <c r="G892" s="14" t="str">
        <f>IFERROR(__xludf.DUMMYFUNCTION("""COMPUTED_VALUE"""),"●小禮物")</f>
        <v>●小禮物</v>
      </c>
      <c r="H892" s="8"/>
    </row>
    <row r="893">
      <c r="A893" s="18"/>
      <c r="B893" s="14">
        <f>IFERROR(__xludf.DUMMYFUNCTION("""COMPUTED_VALUE"""),1177196.0)</f>
        <v>1177196</v>
      </c>
      <c r="C893" s="14" t="str">
        <f>IFERROR(__xludf.DUMMYFUNCTION("""COMPUTED_VALUE"""),"彭聖崴")</f>
        <v>彭聖崴</v>
      </c>
      <c r="D893" s="16" t="str">
        <f>IFERROR(__xludf.DUMMYFUNCTION("""COMPUTED_VALUE"""),"111*****stu.sggs.hc.edu.tw")</f>
        <v>111*****stu.sggs.hc.edu.tw</v>
      </c>
      <c r="E893" s="17" t="str">
        <f>IFERROR(__xludf.DUMMYFUNCTION("""COMPUTED_VALUE"""),"新竹市私立曙光女子高級中學附設國中部")</f>
        <v>新竹市私立曙光女子高級中學附設國中部</v>
      </c>
      <c r="F893" s="14" t="str">
        <f>IFERROR(__xludf.DUMMYFUNCTION("""COMPUTED_VALUE"""),"七年級")</f>
        <v>七年級</v>
      </c>
      <c r="G893" s="14" t="str">
        <f>IFERROR(__xludf.DUMMYFUNCTION("""COMPUTED_VALUE"""),"●小禮物")</f>
        <v>●小禮物</v>
      </c>
      <c r="H893" s="8"/>
    </row>
    <row r="894">
      <c r="A894" s="18"/>
      <c r="B894" s="14">
        <f>IFERROR(__xludf.DUMMYFUNCTION("""COMPUTED_VALUE"""),1212501.0)</f>
        <v>1212501</v>
      </c>
      <c r="C894" s="14" t="str">
        <f>IFERROR(__xludf.DUMMYFUNCTION("""COMPUTED_VALUE"""),"曾昶溶")</f>
        <v>曾昶溶</v>
      </c>
      <c r="D894" s="16" t="str">
        <f>IFERROR(__xludf.DUMMYFUNCTION("""COMPUTED_VALUE"""),"111*****stu.sggs.hc.edu.tw")</f>
        <v>111*****stu.sggs.hc.edu.tw</v>
      </c>
      <c r="E894" s="17" t="str">
        <f>IFERROR(__xludf.DUMMYFUNCTION("""COMPUTED_VALUE"""),"新竹市私立曙光女子高級中學附設國中部")</f>
        <v>新竹市私立曙光女子高級中學附設國中部</v>
      </c>
      <c r="F894" s="14" t="str">
        <f>IFERROR(__xludf.DUMMYFUNCTION("""COMPUTED_VALUE"""),"七年級")</f>
        <v>七年級</v>
      </c>
      <c r="G894" s="14" t="str">
        <f>IFERROR(__xludf.DUMMYFUNCTION("""COMPUTED_VALUE"""),"●小禮物")</f>
        <v>●小禮物</v>
      </c>
      <c r="H894" s="8"/>
    </row>
    <row r="895">
      <c r="A895" s="18"/>
      <c r="B895" s="14">
        <f>IFERROR(__xludf.DUMMYFUNCTION("""COMPUTED_VALUE"""),1186838.0)</f>
        <v>1186838</v>
      </c>
      <c r="C895" s="14" t="str">
        <f>IFERROR(__xludf.DUMMYFUNCTION("""COMPUTED_VALUE"""),"劉宥欣")</f>
        <v>劉宥欣</v>
      </c>
      <c r="D895" s="16" t="str">
        <f>IFERROR(__xludf.DUMMYFUNCTION("""COMPUTED_VALUE"""),"111*****stu.sggs.hc.edu.tw")</f>
        <v>111*****stu.sggs.hc.edu.tw</v>
      </c>
      <c r="E895" s="17" t="str">
        <f>IFERROR(__xludf.DUMMYFUNCTION("""COMPUTED_VALUE"""),"新竹市私立曙光女子高級中學附設國中部")</f>
        <v>新竹市私立曙光女子高級中學附設國中部</v>
      </c>
      <c r="F895" s="14" t="str">
        <f>IFERROR(__xludf.DUMMYFUNCTION("""COMPUTED_VALUE"""),"七年級")</f>
        <v>七年級</v>
      </c>
      <c r="G895" s="14" t="str">
        <f>IFERROR(__xludf.DUMMYFUNCTION("""COMPUTED_VALUE"""),"●小禮物")</f>
        <v>●小禮物</v>
      </c>
      <c r="H895" s="8"/>
    </row>
    <row r="896">
      <c r="A896" s="18"/>
      <c r="B896" s="14">
        <f>IFERROR(__xludf.DUMMYFUNCTION("""COMPUTED_VALUE"""),1186978.0)</f>
        <v>1186978</v>
      </c>
      <c r="C896" s="14" t="str">
        <f>IFERROR(__xludf.DUMMYFUNCTION("""COMPUTED_VALUE"""),"蔡蕙伃")</f>
        <v>蔡蕙伃</v>
      </c>
      <c r="D896" s="16" t="str">
        <f>IFERROR(__xludf.DUMMYFUNCTION("""COMPUTED_VALUE"""),"111*****stu.sggs.hc.edu.tw")</f>
        <v>111*****stu.sggs.hc.edu.tw</v>
      </c>
      <c r="E896" s="17" t="str">
        <f>IFERROR(__xludf.DUMMYFUNCTION("""COMPUTED_VALUE"""),"新竹市私立曙光女子高級中學附設國中部")</f>
        <v>新竹市私立曙光女子高級中學附設國中部</v>
      </c>
      <c r="F896" s="14" t="str">
        <f>IFERROR(__xludf.DUMMYFUNCTION("""COMPUTED_VALUE"""),"七年級")</f>
        <v>七年級</v>
      </c>
      <c r="G896" s="14" t="str">
        <f>IFERROR(__xludf.DUMMYFUNCTION("""COMPUTED_VALUE"""),"●小禮物")</f>
        <v>●小禮物</v>
      </c>
      <c r="H896" s="8"/>
    </row>
    <row r="897">
      <c r="A897" s="18"/>
      <c r="B897" s="14">
        <f>IFERROR(__xludf.DUMMYFUNCTION("""COMPUTED_VALUE"""),1183705.0)</f>
        <v>1183705</v>
      </c>
      <c r="C897" s="14" t="str">
        <f>IFERROR(__xludf.DUMMYFUNCTION("""COMPUTED_VALUE"""),"鄭鼎濬")</f>
        <v>鄭鼎濬</v>
      </c>
      <c r="D897" s="16" t="str">
        <f>IFERROR(__xludf.DUMMYFUNCTION("""COMPUTED_VALUE"""),"111*****stu.sggs.hc.edu.tw")</f>
        <v>111*****stu.sggs.hc.edu.tw</v>
      </c>
      <c r="E897" s="17" t="str">
        <f>IFERROR(__xludf.DUMMYFUNCTION("""COMPUTED_VALUE"""),"新竹市私立曙光女子高級中學附設國中部")</f>
        <v>新竹市私立曙光女子高級中學附設國中部</v>
      </c>
      <c r="F897" s="14" t="str">
        <f>IFERROR(__xludf.DUMMYFUNCTION("""COMPUTED_VALUE"""),"七年級")</f>
        <v>七年級</v>
      </c>
      <c r="G897" s="14" t="str">
        <f>IFERROR(__xludf.DUMMYFUNCTION("""COMPUTED_VALUE"""),"●小禮物")</f>
        <v>●小禮物</v>
      </c>
      <c r="H897" s="8"/>
    </row>
    <row r="898">
      <c r="A898" s="18"/>
      <c r="B898" s="14">
        <f>IFERROR(__xludf.DUMMYFUNCTION("""COMPUTED_VALUE"""),1187023.0)</f>
        <v>1187023</v>
      </c>
      <c r="C898" s="14" t="str">
        <f>IFERROR(__xludf.DUMMYFUNCTION("""COMPUTED_VALUE"""),"許翰庭")</f>
        <v>許翰庭</v>
      </c>
      <c r="D898" s="16" t="str">
        <f>IFERROR(__xludf.DUMMYFUNCTION("""COMPUTED_VALUE"""),"111*****stu.sggs.hc.edu.tw")</f>
        <v>111*****stu.sggs.hc.edu.tw</v>
      </c>
      <c r="E898" s="17" t="str">
        <f>IFERROR(__xludf.DUMMYFUNCTION("""COMPUTED_VALUE"""),"新竹市私立曙光女子高級中學附設國中部")</f>
        <v>新竹市私立曙光女子高級中學附設國中部</v>
      </c>
      <c r="F898" s="14" t="str">
        <f>IFERROR(__xludf.DUMMYFUNCTION("""COMPUTED_VALUE"""),"七年級")</f>
        <v>七年級</v>
      </c>
      <c r="G898" s="14" t="str">
        <f>IFERROR(__xludf.DUMMYFUNCTION("""COMPUTED_VALUE"""),"★禮券$500")</f>
        <v>★禮券$500</v>
      </c>
      <c r="H898" s="8"/>
    </row>
    <row r="899">
      <c r="A899" s="18"/>
      <c r="B899" s="14">
        <f>IFERROR(__xludf.DUMMYFUNCTION("""COMPUTED_VALUE"""),1179643.0)</f>
        <v>1179643</v>
      </c>
      <c r="C899" s="14" t="str">
        <f>IFERROR(__xludf.DUMMYFUNCTION("""COMPUTED_VALUE"""),"楊淮丞")</f>
        <v>楊淮丞</v>
      </c>
      <c r="D899" s="16" t="str">
        <f>IFERROR(__xludf.DUMMYFUNCTION("""COMPUTED_VALUE"""),"111*****stu.sggs.hc.edu.tw")</f>
        <v>111*****stu.sggs.hc.edu.tw</v>
      </c>
      <c r="E899" s="17" t="str">
        <f>IFERROR(__xludf.DUMMYFUNCTION("""COMPUTED_VALUE"""),"新竹市私立曙光女子高級中學附設國中部")</f>
        <v>新竹市私立曙光女子高級中學附設國中部</v>
      </c>
      <c r="F899" s="14" t="str">
        <f>IFERROR(__xludf.DUMMYFUNCTION("""COMPUTED_VALUE"""),"七年級")</f>
        <v>七年級</v>
      </c>
      <c r="G899" s="14" t="str">
        <f>IFERROR(__xludf.DUMMYFUNCTION("""COMPUTED_VALUE"""),"★禮券$500")</f>
        <v>★禮券$500</v>
      </c>
      <c r="H899" s="8"/>
    </row>
    <row r="900">
      <c r="A900" s="18"/>
      <c r="B900" s="14">
        <f>IFERROR(__xludf.DUMMYFUNCTION("""COMPUTED_VALUE"""),1186615.0)</f>
        <v>1186615</v>
      </c>
      <c r="C900" s="14" t="str">
        <f>IFERROR(__xludf.DUMMYFUNCTION("""COMPUTED_VALUE"""),"吳佩蓁")</f>
        <v>吳佩蓁</v>
      </c>
      <c r="D900" s="16" t="str">
        <f>IFERROR(__xludf.DUMMYFUNCTION("""COMPUTED_VALUE"""),"jen*****wu0315@gmail.com")</f>
        <v>jen*****wu0315@gmail.com</v>
      </c>
      <c r="E900" s="17" t="str">
        <f>IFERROR(__xludf.DUMMYFUNCTION("""COMPUTED_VALUE"""),"新竹市私立曙光女子高級中學附設國中部")</f>
        <v>新竹市私立曙光女子高級中學附設國中部</v>
      </c>
      <c r="F900" s="14" t="str">
        <f>IFERROR(__xludf.DUMMYFUNCTION("""COMPUTED_VALUE"""),"七年級")</f>
        <v>七年級</v>
      </c>
      <c r="G900" s="14" t="str">
        <f>IFERROR(__xludf.DUMMYFUNCTION("""COMPUTED_VALUE"""),"獎狀")</f>
        <v>獎狀</v>
      </c>
      <c r="H900" s="8"/>
    </row>
    <row r="901">
      <c r="A901" s="18"/>
      <c r="B901" s="14">
        <f>IFERROR(__xludf.DUMMYFUNCTION("""COMPUTED_VALUE"""),1179721.0)</f>
        <v>1179721</v>
      </c>
      <c r="C901" s="14" t="str">
        <f>IFERROR(__xludf.DUMMYFUNCTION("""COMPUTED_VALUE"""),"吳奇臻")</f>
        <v>吳奇臻</v>
      </c>
      <c r="D901" s="16" t="str">
        <f>IFERROR(__xludf.DUMMYFUNCTION("""COMPUTED_VALUE"""),"mir*****u0721@gmail.com")</f>
        <v>mir*****u0721@gmail.com</v>
      </c>
      <c r="E901" s="17" t="str">
        <f>IFERROR(__xludf.DUMMYFUNCTION("""COMPUTED_VALUE"""),"新竹市私立曙光女子高級中學附設國中部")</f>
        <v>新竹市私立曙光女子高級中學附設國中部</v>
      </c>
      <c r="F901" s="14" t="str">
        <f>IFERROR(__xludf.DUMMYFUNCTION("""COMPUTED_VALUE"""),"七年級")</f>
        <v>七年級</v>
      </c>
      <c r="G901" s="14" t="str">
        <f>IFERROR(__xludf.DUMMYFUNCTION("""COMPUTED_VALUE"""),"獎狀")</f>
        <v>獎狀</v>
      </c>
      <c r="H901" s="8"/>
    </row>
    <row r="902">
      <c r="A902" s="18"/>
      <c r="B902" s="14">
        <f>IFERROR(__xludf.DUMMYFUNCTION("""COMPUTED_VALUE"""),1186934.0)</f>
        <v>1186934</v>
      </c>
      <c r="C902" s="14" t="str">
        <f>IFERROR(__xludf.DUMMYFUNCTION("""COMPUTED_VALUE"""),"吳智暄")</f>
        <v>吳智暄</v>
      </c>
      <c r="D902" s="16" t="str">
        <f>IFERROR(__xludf.DUMMYFUNCTION("""COMPUTED_VALUE"""),"lje*****1018@gmail.com")</f>
        <v>lje*****1018@gmail.com</v>
      </c>
      <c r="E902" s="17" t="str">
        <f>IFERROR(__xludf.DUMMYFUNCTION("""COMPUTED_VALUE"""),"新竹市私立曙光女子高級中學附設國中部")</f>
        <v>新竹市私立曙光女子高級中學附設國中部</v>
      </c>
      <c r="F902" s="14" t="str">
        <f>IFERROR(__xludf.DUMMYFUNCTION("""COMPUTED_VALUE"""),"七年級")</f>
        <v>七年級</v>
      </c>
      <c r="G902" s="14" t="str">
        <f>IFERROR(__xludf.DUMMYFUNCTION("""COMPUTED_VALUE"""),"獎狀")</f>
        <v>獎狀</v>
      </c>
      <c r="H902" s="8"/>
    </row>
    <row r="903">
      <c r="A903" s="18"/>
      <c r="B903" s="14">
        <f>IFERROR(__xludf.DUMMYFUNCTION("""COMPUTED_VALUE"""),1196429.0)</f>
        <v>1196429</v>
      </c>
      <c r="C903" s="14" t="str">
        <f>IFERROR(__xludf.DUMMYFUNCTION("""COMPUTED_VALUE"""),"李有寧")</f>
        <v>李有寧</v>
      </c>
      <c r="D903" s="16" t="str">
        <f>IFERROR(__xludf.DUMMYFUNCTION("""COMPUTED_VALUE"""),"111*****stu.sggs.hc.edu.tw")</f>
        <v>111*****stu.sggs.hc.edu.tw</v>
      </c>
      <c r="E903" s="17" t="str">
        <f>IFERROR(__xludf.DUMMYFUNCTION("""COMPUTED_VALUE"""),"新竹市私立曙光女子高級中學附設國中部")</f>
        <v>新竹市私立曙光女子高級中學附設國中部</v>
      </c>
      <c r="F903" s="14" t="str">
        <f>IFERROR(__xludf.DUMMYFUNCTION("""COMPUTED_VALUE"""),"七年級")</f>
        <v>七年級</v>
      </c>
      <c r="G903" s="14" t="str">
        <f>IFERROR(__xludf.DUMMYFUNCTION("""COMPUTED_VALUE"""),"獎狀")</f>
        <v>獎狀</v>
      </c>
      <c r="H903" s="8"/>
    </row>
    <row r="904">
      <c r="A904" s="18"/>
      <c r="B904" s="14">
        <f>IFERROR(__xludf.DUMMYFUNCTION("""COMPUTED_VALUE"""),423255.0)</f>
        <v>423255</v>
      </c>
      <c r="C904" s="14" t="str">
        <f>IFERROR(__xludf.DUMMYFUNCTION("""COMPUTED_VALUE"""),"林妍臻")</f>
        <v>林妍臻</v>
      </c>
      <c r="D904" s="16" t="str">
        <f>IFERROR(__xludf.DUMMYFUNCTION("""COMPUTED_VALUE"""),"jen*****0930@mail.edu.tw")</f>
        <v>jen*****0930@mail.edu.tw</v>
      </c>
      <c r="E904" s="17" t="str">
        <f>IFERROR(__xludf.DUMMYFUNCTION("""COMPUTED_VALUE"""),"新竹市私立曙光女子高級中學附設國中部")</f>
        <v>新竹市私立曙光女子高級中學附設國中部</v>
      </c>
      <c r="F904" s="14" t="str">
        <f>IFERROR(__xludf.DUMMYFUNCTION("""COMPUTED_VALUE"""),"七年級")</f>
        <v>七年級</v>
      </c>
      <c r="G904" s="14" t="str">
        <f>IFERROR(__xludf.DUMMYFUNCTION("""COMPUTED_VALUE"""),"獎狀")</f>
        <v>獎狀</v>
      </c>
      <c r="H904" s="8"/>
    </row>
    <row r="905">
      <c r="A905" s="18"/>
      <c r="B905" s="14">
        <f>IFERROR(__xludf.DUMMYFUNCTION("""COMPUTED_VALUE"""),1199328.0)</f>
        <v>1199328</v>
      </c>
      <c r="C905" s="14" t="str">
        <f>IFERROR(__xludf.DUMMYFUNCTION("""COMPUTED_VALUE"""),"徐心荃")</f>
        <v>徐心荃</v>
      </c>
      <c r="D905" s="16" t="str">
        <f>IFERROR(__xludf.DUMMYFUNCTION("""COMPUTED_VALUE"""),"111*****stu.sggs.hc.edu.tw")</f>
        <v>111*****stu.sggs.hc.edu.tw</v>
      </c>
      <c r="E905" s="17" t="str">
        <f>IFERROR(__xludf.DUMMYFUNCTION("""COMPUTED_VALUE"""),"新竹市私立曙光女子高級中學附設國中部")</f>
        <v>新竹市私立曙光女子高級中學附設國中部</v>
      </c>
      <c r="F905" s="14" t="str">
        <f>IFERROR(__xludf.DUMMYFUNCTION("""COMPUTED_VALUE"""),"七年級")</f>
        <v>七年級</v>
      </c>
      <c r="G905" s="14" t="str">
        <f>IFERROR(__xludf.DUMMYFUNCTION("""COMPUTED_VALUE"""),"獎狀")</f>
        <v>獎狀</v>
      </c>
      <c r="H905" s="8"/>
    </row>
    <row r="906">
      <c r="A906" s="18"/>
      <c r="B906" s="14">
        <f>IFERROR(__xludf.DUMMYFUNCTION("""COMPUTED_VALUE"""),1198465.0)</f>
        <v>1198465</v>
      </c>
      <c r="C906" s="14" t="str">
        <f>IFERROR(__xludf.DUMMYFUNCTION("""COMPUTED_VALUE"""),"許芸綺")</f>
        <v>許芸綺</v>
      </c>
      <c r="D906" s="16" t="str">
        <f>IFERROR(__xludf.DUMMYFUNCTION("""COMPUTED_VALUE"""),"111*****stu.sggs.hc.edu.tw")</f>
        <v>111*****stu.sggs.hc.edu.tw</v>
      </c>
      <c r="E906" s="17" t="str">
        <f>IFERROR(__xludf.DUMMYFUNCTION("""COMPUTED_VALUE"""),"新竹市私立曙光女子高級中學附設國中部")</f>
        <v>新竹市私立曙光女子高級中學附設國中部</v>
      </c>
      <c r="F906" s="14" t="str">
        <f>IFERROR(__xludf.DUMMYFUNCTION("""COMPUTED_VALUE"""),"七年級")</f>
        <v>七年級</v>
      </c>
      <c r="G906" s="14" t="str">
        <f>IFERROR(__xludf.DUMMYFUNCTION("""COMPUTED_VALUE"""),"獎狀")</f>
        <v>獎狀</v>
      </c>
      <c r="H906" s="8"/>
    </row>
    <row r="907">
      <c r="A907" s="18"/>
      <c r="B907" s="14">
        <f>IFERROR(__xludf.DUMMYFUNCTION("""COMPUTED_VALUE"""),951372.0)</f>
        <v>951372</v>
      </c>
      <c r="C907" s="14" t="str">
        <f>IFERROR(__xludf.DUMMYFUNCTION("""COMPUTED_VALUE"""),"陳敏睿")</f>
        <v>陳敏睿</v>
      </c>
      <c r="D907" s="16" t="str">
        <f>IFERROR(__xludf.DUMMYFUNCTION("""COMPUTED_VALUE"""),"ray*****930@mail.edu.tw")</f>
        <v>ray*****930@mail.edu.tw</v>
      </c>
      <c r="E907" s="17" t="str">
        <f>IFERROR(__xludf.DUMMYFUNCTION("""COMPUTED_VALUE"""),"新竹市私立曙光女子高級中學附設國中部")</f>
        <v>新竹市私立曙光女子高級中學附設國中部</v>
      </c>
      <c r="F907" s="14" t="str">
        <f>IFERROR(__xludf.DUMMYFUNCTION("""COMPUTED_VALUE"""),"七年級")</f>
        <v>七年級</v>
      </c>
      <c r="G907" s="14" t="str">
        <f>IFERROR(__xludf.DUMMYFUNCTION("""COMPUTED_VALUE"""),"獎狀")</f>
        <v>獎狀</v>
      </c>
      <c r="H907" s="8"/>
    </row>
    <row r="908">
      <c r="A908" s="18"/>
      <c r="B908" s="14">
        <f>IFERROR(__xludf.DUMMYFUNCTION("""COMPUTED_VALUE"""),1186468.0)</f>
        <v>1186468</v>
      </c>
      <c r="C908" s="14" t="str">
        <f>IFERROR(__xludf.DUMMYFUNCTION("""COMPUTED_VALUE"""),"陳湘云")</f>
        <v>陳湘云</v>
      </c>
      <c r="D908" s="16" t="str">
        <f>IFERROR(__xludf.DUMMYFUNCTION("""COMPUTED_VALUE"""),"111*****stu.sggs.hc.edu.tw")</f>
        <v>111*****stu.sggs.hc.edu.tw</v>
      </c>
      <c r="E908" s="17" t="str">
        <f>IFERROR(__xludf.DUMMYFUNCTION("""COMPUTED_VALUE"""),"新竹市私立曙光女子高級中學附設國中部")</f>
        <v>新竹市私立曙光女子高級中學附設國中部</v>
      </c>
      <c r="F908" s="14" t="str">
        <f>IFERROR(__xludf.DUMMYFUNCTION("""COMPUTED_VALUE"""),"七年級")</f>
        <v>七年級</v>
      </c>
      <c r="G908" s="14" t="str">
        <f>IFERROR(__xludf.DUMMYFUNCTION("""COMPUTED_VALUE"""),"獎狀")</f>
        <v>獎狀</v>
      </c>
      <c r="H908" s="8"/>
    </row>
    <row r="909">
      <c r="A909" s="18"/>
      <c r="B909" s="14">
        <f>IFERROR(__xludf.DUMMYFUNCTION("""COMPUTED_VALUE"""),1186274.0)</f>
        <v>1186274</v>
      </c>
      <c r="C909" s="14" t="str">
        <f>IFERROR(__xludf.DUMMYFUNCTION("""COMPUTED_VALUE"""),"楊侑哲")</f>
        <v>楊侑哲</v>
      </c>
      <c r="D909" s="16" t="str">
        <f>IFERROR(__xludf.DUMMYFUNCTION("""COMPUTED_VALUE"""),"111*****stu.sggs.hc.edu.tw")</f>
        <v>111*****stu.sggs.hc.edu.tw</v>
      </c>
      <c r="E909" s="17" t="str">
        <f>IFERROR(__xludf.DUMMYFUNCTION("""COMPUTED_VALUE"""),"新竹市私立曙光女子高級中學附設國中部")</f>
        <v>新竹市私立曙光女子高級中學附設國中部</v>
      </c>
      <c r="F909" s="14" t="str">
        <f>IFERROR(__xludf.DUMMYFUNCTION("""COMPUTED_VALUE"""),"七年級")</f>
        <v>七年級</v>
      </c>
      <c r="G909" s="14" t="str">
        <f>IFERROR(__xludf.DUMMYFUNCTION("""COMPUTED_VALUE"""),"獎狀")</f>
        <v>獎狀</v>
      </c>
      <c r="H909" s="8"/>
    </row>
    <row r="910">
      <c r="A910" s="18"/>
      <c r="B910" s="14">
        <f>IFERROR(__xludf.DUMMYFUNCTION("""COMPUTED_VALUE"""),1186394.0)</f>
        <v>1186394</v>
      </c>
      <c r="C910" s="14" t="str">
        <f>IFERROR(__xludf.DUMMYFUNCTION("""COMPUTED_VALUE"""),"劉宥昕")</f>
        <v>劉宥昕</v>
      </c>
      <c r="D910" s="16" t="str">
        <f>IFERROR(__xludf.DUMMYFUNCTION("""COMPUTED_VALUE"""),"111*****stu.sggs.hc.edu.tw")</f>
        <v>111*****stu.sggs.hc.edu.tw</v>
      </c>
      <c r="E910" s="17" t="str">
        <f>IFERROR(__xludf.DUMMYFUNCTION("""COMPUTED_VALUE"""),"新竹市私立曙光女子高級中學附設國中部")</f>
        <v>新竹市私立曙光女子高級中學附設國中部</v>
      </c>
      <c r="F910" s="14" t="str">
        <f>IFERROR(__xludf.DUMMYFUNCTION("""COMPUTED_VALUE"""),"七年級")</f>
        <v>七年級</v>
      </c>
      <c r="G910" s="14" t="str">
        <f>IFERROR(__xludf.DUMMYFUNCTION("""COMPUTED_VALUE"""),"獎狀")</f>
        <v>獎狀</v>
      </c>
      <c r="H910" s="8"/>
    </row>
    <row r="911">
      <c r="A911" s="18"/>
      <c r="B911" s="14">
        <f>IFERROR(__xludf.DUMMYFUNCTION("""COMPUTED_VALUE"""),1181850.0)</f>
        <v>1181850</v>
      </c>
      <c r="C911" s="14" t="str">
        <f>IFERROR(__xludf.DUMMYFUNCTION("""COMPUTED_VALUE"""),"蔡雨蓁")</f>
        <v>蔡雨蓁</v>
      </c>
      <c r="D911" s="16" t="str">
        <f>IFERROR(__xludf.DUMMYFUNCTION("""COMPUTED_VALUE"""),"111*****stu.sggs.hc.edu.tw")</f>
        <v>111*****stu.sggs.hc.edu.tw</v>
      </c>
      <c r="E911" s="17" t="str">
        <f>IFERROR(__xludf.DUMMYFUNCTION("""COMPUTED_VALUE"""),"新竹市私立曙光女子高級中學附設國中部")</f>
        <v>新竹市私立曙光女子高級中學附設國中部</v>
      </c>
      <c r="F911" s="14" t="str">
        <f>IFERROR(__xludf.DUMMYFUNCTION("""COMPUTED_VALUE"""),"七年級")</f>
        <v>七年級</v>
      </c>
      <c r="G911" s="14" t="str">
        <f>IFERROR(__xludf.DUMMYFUNCTION("""COMPUTED_VALUE"""),"獎狀")</f>
        <v>獎狀</v>
      </c>
      <c r="H911" s="8"/>
    </row>
    <row r="912">
      <c r="A912" s="18"/>
      <c r="B912" s="14">
        <f>IFERROR(__xludf.DUMMYFUNCTION("""COMPUTED_VALUE"""),1179611.0)</f>
        <v>1179611</v>
      </c>
      <c r="C912" s="14" t="str">
        <f>IFERROR(__xludf.DUMMYFUNCTION("""COMPUTED_VALUE"""),"鄭力嘉")</f>
        <v>鄭力嘉</v>
      </c>
      <c r="D912" s="16" t="str">
        <f>IFERROR(__xludf.DUMMYFUNCTION("""COMPUTED_VALUE"""),"111*****stu.sggs.hc.edu.tw")</f>
        <v>111*****stu.sggs.hc.edu.tw</v>
      </c>
      <c r="E912" s="17" t="str">
        <f>IFERROR(__xludf.DUMMYFUNCTION("""COMPUTED_VALUE"""),"新竹市私立曙光女子高級中學附設國中部")</f>
        <v>新竹市私立曙光女子高級中學附設國中部</v>
      </c>
      <c r="F912" s="14" t="str">
        <f>IFERROR(__xludf.DUMMYFUNCTION("""COMPUTED_VALUE"""),"七年級")</f>
        <v>七年級</v>
      </c>
      <c r="G912" s="14" t="str">
        <f>IFERROR(__xludf.DUMMYFUNCTION("""COMPUTED_VALUE"""),"獎狀")</f>
        <v>獎狀</v>
      </c>
      <c r="H912" s="8"/>
    </row>
    <row r="913">
      <c r="A913" s="18"/>
      <c r="B913" s="14">
        <f>IFERROR(__xludf.DUMMYFUNCTION("""COMPUTED_VALUE"""),1146100.0)</f>
        <v>1146100</v>
      </c>
      <c r="C913" s="14" t="str">
        <f>IFERROR(__xludf.DUMMYFUNCTION("""COMPUTED_VALUE"""),"陳育珍")</f>
        <v>陳育珍</v>
      </c>
      <c r="D913" s="16" t="str">
        <f>IFERROR(__xludf.DUMMYFUNCTION("""COMPUTED_VALUE"""),"111*****stu.sggs.hc.edu.tw")</f>
        <v>111*****stu.sggs.hc.edu.tw</v>
      </c>
      <c r="E913" s="17" t="str">
        <f>IFERROR(__xludf.DUMMYFUNCTION("""COMPUTED_VALUE"""),"新竹市私立曙光女子高級中學附設國中部")</f>
        <v>新竹市私立曙光女子高級中學附設國中部</v>
      </c>
      <c r="F913" s="14" t="str">
        <f>IFERROR(__xludf.DUMMYFUNCTION("""COMPUTED_VALUE"""),"七年級")</f>
        <v>七年級</v>
      </c>
      <c r="G913" s="14" t="str">
        <f>IFERROR(__xludf.DUMMYFUNCTION("""COMPUTED_VALUE"""),"獎狀")</f>
        <v>獎狀</v>
      </c>
      <c r="H913" s="8"/>
    </row>
    <row r="914">
      <c r="A914" s="18"/>
      <c r="B914" s="14">
        <f>IFERROR(__xludf.DUMMYFUNCTION("""COMPUTED_VALUE"""),879532.0)</f>
        <v>879532</v>
      </c>
      <c r="C914" s="14" t="str">
        <f>IFERROR(__xludf.DUMMYFUNCTION("""COMPUTED_VALUE"""),"簡岑蓁")</f>
        <v>簡岑蓁</v>
      </c>
      <c r="D914" s="16" t="str">
        <f>IFERROR(__xludf.DUMMYFUNCTION("""COMPUTED_VALUE"""),"110*****stu.sggs.hc.edu.tw")</f>
        <v>110*****stu.sggs.hc.edu.tw</v>
      </c>
      <c r="E914" s="17" t="str">
        <f>IFERROR(__xludf.DUMMYFUNCTION("""COMPUTED_VALUE"""),"新竹市私立曙光女子高級中學附設國中部")</f>
        <v>新竹市私立曙光女子高級中學附設國中部</v>
      </c>
      <c r="F914" s="14" t="str">
        <f>IFERROR(__xludf.DUMMYFUNCTION("""COMPUTED_VALUE"""),"八年級")</f>
        <v>八年級</v>
      </c>
      <c r="G914" s="14" t="str">
        <f>IFERROR(__xludf.DUMMYFUNCTION("""COMPUTED_VALUE"""),"●小禮物")</f>
        <v>●小禮物</v>
      </c>
      <c r="H914" s="8"/>
    </row>
    <row r="915">
      <c r="A915" s="18"/>
      <c r="B915" s="14">
        <f>IFERROR(__xludf.DUMMYFUNCTION("""COMPUTED_VALUE"""),1114430.0)</f>
        <v>1114430</v>
      </c>
      <c r="C915" s="14" t="str">
        <f>IFERROR(__xludf.DUMMYFUNCTION("""COMPUTED_VALUE"""),"林柏萱")</f>
        <v>林柏萱</v>
      </c>
      <c r="D915" s="16" t="str">
        <f>IFERROR(__xludf.DUMMYFUNCTION("""COMPUTED_VALUE"""),"110*****stu.sggs.hc.edu.tw")</f>
        <v>110*****stu.sggs.hc.edu.tw</v>
      </c>
      <c r="E915" s="17" t="str">
        <f>IFERROR(__xludf.DUMMYFUNCTION("""COMPUTED_VALUE"""),"新竹市私立曙光女子高級中學附設國中部")</f>
        <v>新竹市私立曙光女子高級中學附設國中部</v>
      </c>
      <c r="F915" s="14" t="str">
        <f>IFERROR(__xludf.DUMMYFUNCTION("""COMPUTED_VALUE"""),"八年級")</f>
        <v>八年級</v>
      </c>
      <c r="G915" s="14" t="str">
        <f>IFERROR(__xludf.DUMMYFUNCTION("""COMPUTED_VALUE"""),"獎狀")</f>
        <v>獎狀</v>
      </c>
      <c r="H915" s="8"/>
    </row>
    <row r="916">
      <c r="A916" s="18"/>
      <c r="B916" s="14">
        <f>IFERROR(__xludf.DUMMYFUNCTION("""COMPUTED_VALUE"""),1114159.0)</f>
        <v>1114159</v>
      </c>
      <c r="C916" s="14" t="str">
        <f>IFERROR(__xludf.DUMMYFUNCTION("""COMPUTED_VALUE"""),"胡馨允")</f>
        <v>胡馨允</v>
      </c>
      <c r="D916" s="16" t="str">
        <f>IFERROR(__xludf.DUMMYFUNCTION("""COMPUTED_VALUE"""),"110*****stu.sggs.hc.edu.tw")</f>
        <v>110*****stu.sggs.hc.edu.tw</v>
      </c>
      <c r="E916" s="17" t="str">
        <f>IFERROR(__xludf.DUMMYFUNCTION("""COMPUTED_VALUE"""),"新竹市私立曙光女子高級中學附設國中部")</f>
        <v>新竹市私立曙光女子高級中學附設國中部</v>
      </c>
      <c r="F916" s="14" t="str">
        <f>IFERROR(__xludf.DUMMYFUNCTION("""COMPUTED_VALUE"""),"八年級")</f>
        <v>八年級</v>
      </c>
      <c r="G916" s="14" t="str">
        <f>IFERROR(__xludf.DUMMYFUNCTION("""COMPUTED_VALUE"""),"獎狀")</f>
        <v>獎狀</v>
      </c>
      <c r="H916" s="8"/>
    </row>
    <row r="917">
      <c r="A917" s="18"/>
      <c r="B917" s="14">
        <f>IFERROR(__xludf.DUMMYFUNCTION("""COMPUTED_VALUE"""),1112364.0)</f>
        <v>1112364</v>
      </c>
      <c r="C917" s="14" t="str">
        <f>IFERROR(__xludf.DUMMYFUNCTION("""COMPUTED_VALUE"""),"周羿均")</f>
        <v>周羿均</v>
      </c>
      <c r="D917" s="16" t="str">
        <f>IFERROR(__xludf.DUMMYFUNCTION("""COMPUTED_VALUE"""),"110*****stu.sggs.hc.edu.tw")</f>
        <v>110*****stu.sggs.hc.edu.tw</v>
      </c>
      <c r="E917" s="17" t="str">
        <f>IFERROR(__xludf.DUMMYFUNCTION("""COMPUTED_VALUE"""),"新竹市私立曙光女子高級中學附設國中部")</f>
        <v>新竹市私立曙光女子高級中學附設國中部</v>
      </c>
      <c r="F917" s="14" t="str">
        <f>IFERROR(__xludf.DUMMYFUNCTION("""COMPUTED_VALUE"""),"八年級")</f>
        <v>八年級</v>
      </c>
      <c r="G917" s="14" t="str">
        <f>IFERROR(__xludf.DUMMYFUNCTION("""COMPUTED_VALUE"""),"●小禮物")</f>
        <v>●小禮物</v>
      </c>
      <c r="H917" s="8"/>
    </row>
    <row r="918">
      <c r="A918" s="18"/>
      <c r="B918" s="14">
        <f>IFERROR(__xludf.DUMMYFUNCTION("""COMPUTED_VALUE"""),932518.0)</f>
        <v>932518</v>
      </c>
      <c r="C918" s="14" t="str">
        <f>IFERROR(__xludf.DUMMYFUNCTION("""COMPUTED_VALUE"""),"陳宥蓁")</f>
        <v>陳宥蓁</v>
      </c>
      <c r="D918" s="16" t="str">
        <f>IFERROR(__xludf.DUMMYFUNCTION("""COMPUTED_VALUE"""),"jes*****henchatting@gmail.com")</f>
        <v>jes*****henchatting@gmail.com</v>
      </c>
      <c r="E918" s="17" t="str">
        <f>IFERROR(__xludf.DUMMYFUNCTION("""COMPUTED_VALUE"""),"新竹市私立曙光女子高級中學附設國中部")</f>
        <v>新竹市私立曙光女子高級中學附設國中部</v>
      </c>
      <c r="F918" s="14" t="str">
        <f>IFERROR(__xludf.DUMMYFUNCTION("""COMPUTED_VALUE"""),"八年級")</f>
        <v>八年級</v>
      </c>
      <c r="G918" s="14" t="str">
        <f>IFERROR(__xludf.DUMMYFUNCTION("""COMPUTED_VALUE"""),"獎狀")</f>
        <v>獎狀</v>
      </c>
      <c r="H918" s="8"/>
    </row>
    <row r="919">
      <c r="A919" s="18"/>
      <c r="B919" s="14">
        <f>IFERROR(__xludf.DUMMYFUNCTION("""COMPUTED_VALUE"""),940650.0)</f>
        <v>940650</v>
      </c>
      <c r="C919" s="14" t="str">
        <f>IFERROR(__xludf.DUMMYFUNCTION("""COMPUTED_VALUE"""),"吳宜蓁")</f>
        <v>吳宜蓁</v>
      </c>
      <c r="D919" s="16" t="str">
        <f>IFERROR(__xludf.DUMMYFUNCTION("""COMPUTED_VALUE"""),"evi*****wu@gmail.com")</f>
        <v>evi*****wu@gmail.com</v>
      </c>
      <c r="E919" s="17" t="str">
        <f>IFERROR(__xludf.DUMMYFUNCTION("""COMPUTED_VALUE"""),"新竹市私立曙光女子高級中學附設國中部")</f>
        <v>新竹市私立曙光女子高級中學附設國中部</v>
      </c>
      <c r="F919" s="14" t="str">
        <f>IFERROR(__xludf.DUMMYFUNCTION("""COMPUTED_VALUE"""),"八年級")</f>
        <v>八年級</v>
      </c>
      <c r="G919" s="14" t="str">
        <f>IFERROR(__xludf.DUMMYFUNCTION("""COMPUTED_VALUE"""),"●小禮物")</f>
        <v>●小禮物</v>
      </c>
      <c r="H919" s="8"/>
    </row>
    <row r="920">
      <c r="A920" s="18"/>
      <c r="B920" s="14">
        <f>IFERROR(__xludf.DUMMYFUNCTION("""COMPUTED_VALUE"""),229188.0)</f>
        <v>229188</v>
      </c>
      <c r="C920" s="14" t="str">
        <f>IFERROR(__xludf.DUMMYFUNCTION("""COMPUTED_VALUE"""),"邱詩芸")</f>
        <v>邱詩芸</v>
      </c>
      <c r="D920" s="16" t="str">
        <f>IFERROR(__xludf.DUMMYFUNCTION("""COMPUTED_VALUE"""),"joj*****1202@gmail.com")</f>
        <v>joj*****1202@gmail.com</v>
      </c>
      <c r="E920" s="17" t="str">
        <f>IFERROR(__xludf.DUMMYFUNCTION("""COMPUTED_VALUE"""),"新竹市私立曙光女子高級中學附設國中部")</f>
        <v>新竹市私立曙光女子高級中學附設國中部</v>
      </c>
      <c r="F920" s="14" t="str">
        <f>IFERROR(__xludf.DUMMYFUNCTION("""COMPUTED_VALUE"""),"八年級")</f>
        <v>八年級</v>
      </c>
      <c r="G920" s="14" t="str">
        <f>IFERROR(__xludf.DUMMYFUNCTION("""COMPUTED_VALUE"""),"●小禮物")</f>
        <v>●小禮物</v>
      </c>
      <c r="H920" s="8"/>
    </row>
    <row r="921">
      <c r="A921" s="18"/>
      <c r="B921" s="14">
        <f>IFERROR(__xludf.DUMMYFUNCTION("""COMPUTED_VALUE"""),1119083.0)</f>
        <v>1119083</v>
      </c>
      <c r="C921" s="14" t="str">
        <f>IFERROR(__xludf.DUMMYFUNCTION("""COMPUTED_VALUE"""),"洪啟軒")</f>
        <v>洪啟軒</v>
      </c>
      <c r="D921" s="16" t="str">
        <f>IFERROR(__xludf.DUMMYFUNCTION("""COMPUTED_VALUE"""),"110*****stu.sggs.hc.edu.tw")</f>
        <v>110*****stu.sggs.hc.edu.tw</v>
      </c>
      <c r="E921" s="17" t="str">
        <f>IFERROR(__xludf.DUMMYFUNCTION("""COMPUTED_VALUE"""),"新竹市私立曙光女子高級中學附設國中部")</f>
        <v>新竹市私立曙光女子高級中學附設國中部</v>
      </c>
      <c r="F921" s="14" t="str">
        <f>IFERROR(__xludf.DUMMYFUNCTION("""COMPUTED_VALUE"""),"八年級")</f>
        <v>八年級</v>
      </c>
      <c r="G921" s="14" t="str">
        <f>IFERROR(__xludf.DUMMYFUNCTION("""COMPUTED_VALUE"""),"●小禮物")</f>
        <v>●小禮物</v>
      </c>
      <c r="H921" s="8"/>
    </row>
    <row r="922">
      <c r="A922" s="18"/>
      <c r="B922" s="14">
        <f>IFERROR(__xludf.DUMMYFUNCTION("""COMPUTED_VALUE"""),1114589.0)</f>
        <v>1114589</v>
      </c>
      <c r="C922" s="14" t="str">
        <f>IFERROR(__xludf.DUMMYFUNCTION("""COMPUTED_VALUE"""),"高翊翔")</f>
        <v>高翊翔</v>
      </c>
      <c r="D922" s="16" t="str">
        <f>IFERROR(__xludf.DUMMYFUNCTION("""COMPUTED_VALUE"""),"110*****stu.sggs.hc.edu.tw")</f>
        <v>110*****stu.sggs.hc.edu.tw</v>
      </c>
      <c r="E922" s="17" t="str">
        <f>IFERROR(__xludf.DUMMYFUNCTION("""COMPUTED_VALUE"""),"新竹市私立曙光女子高級中學附設國中部")</f>
        <v>新竹市私立曙光女子高級中學附設國中部</v>
      </c>
      <c r="F922" s="14" t="str">
        <f>IFERROR(__xludf.DUMMYFUNCTION("""COMPUTED_VALUE"""),"八年級")</f>
        <v>八年級</v>
      </c>
      <c r="G922" s="14" t="str">
        <f>IFERROR(__xludf.DUMMYFUNCTION("""COMPUTED_VALUE"""),"●小禮物")</f>
        <v>●小禮物</v>
      </c>
      <c r="H922" s="8"/>
    </row>
    <row r="923">
      <c r="A923" s="18"/>
      <c r="B923" s="14">
        <f>IFERROR(__xludf.DUMMYFUNCTION("""COMPUTED_VALUE"""),939015.0)</f>
        <v>939015</v>
      </c>
      <c r="C923" s="14" t="str">
        <f>IFERROR(__xludf.DUMMYFUNCTION("""COMPUTED_VALUE"""),"莊奇紘")</f>
        <v>莊奇紘</v>
      </c>
      <c r="D923" s="16" t="str">
        <f>IFERROR(__xludf.DUMMYFUNCTION("""COMPUTED_VALUE"""),"car*****0@gmail.com")</f>
        <v>car*****0@gmail.com</v>
      </c>
      <c r="E923" s="17" t="str">
        <f>IFERROR(__xludf.DUMMYFUNCTION("""COMPUTED_VALUE"""),"新竹市私立曙光女子高級中學附設國中部")</f>
        <v>新竹市私立曙光女子高級中學附設國中部</v>
      </c>
      <c r="F923" s="14" t="str">
        <f>IFERROR(__xludf.DUMMYFUNCTION("""COMPUTED_VALUE"""),"八年級")</f>
        <v>八年級</v>
      </c>
      <c r="G923" s="14" t="str">
        <f>IFERROR(__xludf.DUMMYFUNCTION("""COMPUTED_VALUE"""),"●小禮物")</f>
        <v>●小禮物</v>
      </c>
      <c r="H923" s="8"/>
    </row>
    <row r="924">
      <c r="A924" s="18"/>
      <c r="B924" s="14">
        <f>IFERROR(__xludf.DUMMYFUNCTION("""COMPUTED_VALUE"""),1114519.0)</f>
        <v>1114519</v>
      </c>
      <c r="C924" s="14" t="str">
        <f>IFERROR(__xludf.DUMMYFUNCTION("""COMPUTED_VALUE"""),"郭宜姍")</f>
        <v>郭宜姍</v>
      </c>
      <c r="D924" s="16" t="str">
        <f>IFERROR(__xludf.DUMMYFUNCTION("""COMPUTED_VALUE"""),"110*****stu.sggs.hc.edu.tw")</f>
        <v>110*****stu.sggs.hc.edu.tw</v>
      </c>
      <c r="E924" s="17" t="str">
        <f>IFERROR(__xludf.DUMMYFUNCTION("""COMPUTED_VALUE"""),"新竹市私立曙光女子高級中學附設國中部")</f>
        <v>新竹市私立曙光女子高級中學附設國中部</v>
      </c>
      <c r="F924" s="14" t="str">
        <f>IFERROR(__xludf.DUMMYFUNCTION("""COMPUTED_VALUE"""),"八年級")</f>
        <v>八年級</v>
      </c>
      <c r="G924" s="14" t="str">
        <f>IFERROR(__xludf.DUMMYFUNCTION("""COMPUTED_VALUE"""),"●小禮物")</f>
        <v>●小禮物</v>
      </c>
      <c r="H924" s="8"/>
    </row>
    <row r="925">
      <c r="A925" s="18"/>
      <c r="B925" s="14">
        <f>IFERROR(__xludf.DUMMYFUNCTION("""COMPUTED_VALUE"""),1117589.0)</f>
        <v>1117589</v>
      </c>
      <c r="C925" s="14" t="str">
        <f>IFERROR(__xludf.DUMMYFUNCTION("""COMPUTED_VALUE"""),"陳映之")</f>
        <v>陳映之</v>
      </c>
      <c r="D925" s="16" t="str">
        <f>IFERROR(__xludf.DUMMYFUNCTION("""COMPUTED_VALUE"""),"110*****stu.sggs.hc.edu.tw")</f>
        <v>110*****stu.sggs.hc.edu.tw</v>
      </c>
      <c r="E925" s="17" t="str">
        <f>IFERROR(__xludf.DUMMYFUNCTION("""COMPUTED_VALUE"""),"新竹市私立曙光女子高級中學附設國中部")</f>
        <v>新竹市私立曙光女子高級中學附設國中部</v>
      </c>
      <c r="F925" s="14" t="str">
        <f>IFERROR(__xludf.DUMMYFUNCTION("""COMPUTED_VALUE"""),"八年級")</f>
        <v>八年級</v>
      </c>
      <c r="G925" s="14" t="str">
        <f>IFERROR(__xludf.DUMMYFUNCTION("""COMPUTED_VALUE"""),"●小禮物")</f>
        <v>●小禮物</v>
      </c>
      <c r="H925" s="8"/>
    </row>
    <row r="926">
      <c r="A926" s="18"/>
      <c r="B926" s="14">
        <f>IFERROR(__xludf.DUMMYFUNCTION("""COMPUTED_VALUE"""),1179640.0)</f>
        <v>1179640</v>
      </c>
      <c r="C926" s="14" t="str">
        <f>IFERROR(__xludf.DUMMYFUNCTION("""COMPUTED_VALUE"""),"楊雅涵")</f>
        <v>楊雅涵</v>
      </c>
      <c r="D926" s="16" t="str">
        <f>IFERROR(__xludf.DUMMYFUNCTION("""COMPUTED_VALUE"""),"ang*****ng0416@gmail.com")</f>
        <v>ang*****ng0416@gmail.com</v>
      </c>
      <c r="E926" s="17" t="str">
        <f>IFERROR(__xludf.DUMMYFUNCTION("""COMPUTED_VALUE"""),"新竹市私立曙光女子高級中學附設國中部")</f>
        <v>新竹市私立曙光女子高級中學附設國中部</v>
      </c>
      <c r="F926" s="14" t="str">
        <f>IFERROR(__xludf.DUMMYFUNCTION("""COMPUTED_VALUE"""),"八年級")</f>
        <v>八年級</v>
      </c>
      <c r="G926" s="14" t="str">
        <f>IFERROR(__xludf.DUMMYFUNCTION("""COMPUTED_VALUE"""),"●小禮物")</f>
        <v>●小禮物</v>
      </c>
      <c r="H926" s="8"/>
    </row>
    <row r="927">
      <c r="A927" s="18"/>
      <c r="B927" s="14">
        <f>IFERROR(__xludf.DUMMYFUNCTION("""COMPUTED_VALUE"""),936169.0)</f>
        <v>936169</v>
      </c>
      <c r="C927" s="14" t="str">
        <f>IFERROR(__xludf.DUMMYFUNCTION("""COMPUTED_VALUE"""),"蔡懷之")</f>
        <v>蔡懷之</v>
      </c>
      <c r="D927" s="16" t="str">
        <f>IFERROR(__xludf.DUMMYFUNCTION("""COMPUTED_VALUE"""),"vic*****ai04061@gmail.com")</f>
        <v>vic*****ai04061@gmail.com</v>
      </c>
      <c r="E927" s="17" t="str">
        <f>IFERROR(__xludf.DUMMYFUNCTION("""COMPUTED_VALUE"""),"新竹市私立曙光女子高級中學附設國中部")</f>
        <v>新竹市私立曙光女子高級中學附設國中部</v>
      </c>
      <c r="F927" s="14" t="str">
        <f>IFERROR(__xludf.DUMMYFUNCTION("""COMPUTED_VALUE"""),"八年級")</f>
        <v>八年級</v>
      </c>
      <c r="G927" s="14" t="str">
        <f>IFERROR(__xludf.DUMMYFUNCTION("""COMPUTED_VALUE"""),"●小禮物")</f>
        <v>●小禮物</v>
      </c>
      <c r="H927" s="8"/>
    </row>
    <row r="928">
      <c r="A928" s="18"/>
      <c r="B928" s="14">
        <f>IFERROR(__xludf.DUMMYFUNCTION("""COMPUTED_VALUE"""),1116333.0)</f>
        <v>1116333</v>
      </c>
      <c r="C928" s="14" t="str">
        <f>IFERROR(__xludf.DUMMYFUNCTION("""COMPUTED_VALUE"""),"謝旻佑")</f>
        <v>謝旻佑</v>
      </c>
      <c r="D928" s="16" t="str">
        <f>IFERROR(__xludf.DUMMYFUNCTION("""COMPUTED_VALUE"""),"110*****stu.sggs.hc.edu.tw")</f>
        <v>110*****stu.sggs.hc.edu.tw</v>
      </c>
      <c r="E928" s="17" t="str">
        <f>IFERROR(__xludf.DUMMYFUNCTION("""COMPUTED_VALUE"""),"新竹市私立曙光女子高級中學附設國中部")</f>
        <v>新竹市私立曙光女子高級中學附設國中部</v>
      </c>
      <c r="F928" s="14" t="str">
        <f>IFERROR(__xludf.DUMMYFUNCTION("""COMPUTED_VALUE"""),"八年級")</f>
        <v>八年級</v>
      </c>
      <c r="G928" s="14" t="str">
        <f>IFERROR(__xludf.DUMMYFUNCTION("""COMPUTED_VALUE"""),"●小禮物")</f>
        <v>●小禮物</v>
      </c>
      <c r="H928" s="8"/>
    </row>
    <row r="929">
      <c r="A929" s="18"/>
      <c r="B929" s="14">
        <f>IFERROR(__xludf.DUMMYFUNCTION("""COMPUTED_VALUE"""),1114516.0)</f>
        <v>1114516</v>
      </c>
      <c r="C929" s="14" t="str">
        <f>IFERROR(__xludf.DUMMYFUNCTION("""COMPUTED_VALUE"""),"魏曼甯")</f>
        <v>魏曼甯</v>
      </c>
      <c r="D929" s="16" t="str">
        <f>IFERROR(__xludf.DUMMYFUNCTION("""COMPUTED_VALUE"""),"110*****stu.sggs.hc.edu.tw")</f>
        <v>110*****stu.sggs.hc.edu.tw</v>
      </c>
      <c r="E929" s="17" t="str">
        <f>IFERROR(__xludf.DUMMYFUNCTION("""COMPUTED_VALUE"""),"新竹市私立曙光女子高級中學附設國中部")</f>
        <v>新竹市私立曙光女子高級中學附設國中部</v>
      </c>
      <c r="F929" s="14" t="str">
        <f>IFERROR(__xludf.DUMMYFUNCTION("""COMPUTED_VALUE"""),"八年級")</f>
        <v>八年級</v>
      </c>
      <c r="G929" s="14" t="str">
        <f>IFERROR(__xludf.DUMMYFUNCTION("""COMPUTED_VALUE"""),"●小禮物")</f>
        <v>●小禮物</v>
      </c>
      <c r="H929" s="8"/>
    </row>
    <row r="930">
      <c r="A930" s="18"/>
      <c r="B930" s="14">
        <f>IFERROR(__xludf.DUMMYFUNCTION("""COMPUTED_VALUE"""),1112571.0)</f>
        <v>1112571</v>
      </c>
      <c r="C930" s="14" t="str">
        <f>IFERROR(__xludf.DUMMYFUNCTION("""COMPUTED_VALUE"""),"吳沛芸")</f>
        <v>吳沛芸</v>
      </c>
      <c r="D930" s="16" t="str">
        <f>IFERROR(__xludf.DUMMYFUNCTION("""COMPUTED_VALUE"""),"110*****stu.sggs.hc.edu.tw")</f>
        <v>110*****stu.sggs.hc.edu.tw</v>
      </c>
      <c r="E930" s="17" t="str">
        <f>IFERROR(__xludf.DUMMYFUNCTION("""COMPUTED_VALUE"""),"新竹市私立曙光女子高級中學附設國中部")</f>
        <v>新竹市私立曙光女子高級中學附設國中部</v>
      </c>
      <c r="F930" s="14" t="str">
        <f>IFERROR(__xludf.DUMMYFUNCTION("""COMPUTED_VALUE"""),"八年級")</f>
        <v>八年級</v>
      </c>
      <c r="G930" s="14" t="str">
        <f>IFERROR(__xludf.DUMMYFUNCTION("""COMPUTED_VALUE"""),"★禮券$200")</f>
        <v>★禮券$200</v>
      </c>
      <c r="H930" s="8"/>
    </row>
    <row r="931">
      <c r="A931" s="18"/>
      <c r="B931" s="14">
        <f>IFERROR(__xludf.DUMMYFUNCTION("""COMPUTED_VALUE"""),938395.0)</f>
        <v>938395</v>
      </c>
      <c r="C931" s="14" t="str">
        <f>IFERROR(__xludf.DUMMYFUNCTION("""COMPUTED_VALUE"""),"林昕柔")</f>
        <v>林昕柔</v>
      </c>
      <c r="D931" s="16" t="str">
        <f>IFERROR(__xludf.DUMMYFUNCTION("""COMPUTED_VALUE"""),"110*****stu.sggs.hc.edu.tw")</f>
        <v>110*****stu.sggs.hc.edu.tw</v>
      </c>
      <c r="E931" s="17" t="str">
        <f>IFERROR(__xludf.DUMMYFUNCTION("""COMPUTED_VALUE"""),"新竹市私立曙光女子高級中學附設國中部")</f>
        <v>新竹市私立曙光女子高級中學附設國中部</v>
      </c>
      <c r="F931" s="14" t="str">
        <f>IFERROR(__xludf.DUMMYFUNCTION("""COMPUTED_VALUE"""),"八年級")</f>
        <v>八年級</v>
      </c>
      <c r="G931" s="14" t="str">
        <f>IFERROR(__xludf.DUMMYFUNCTION("""COMPUTED_VALUE"""),"★禮券$200")</f>
        <v>★禮券$200</v>
      </c>
      <c r="H931" s="8"/>
    </row>
    <row r="932">
      <c r="A932" s="18"/>
      <c r="B932" s="14">
        <f>IFERROR(__xludf.DUMMYFUNCTION("""COMPUTED_VALUE"""),961250.0)</f>
        <v>961250</v>
      </c>
      <c r="C932" s="14" t="str">
        <f>IFERROR(__xludf.DUMMYFUNCTION("""COMPUTED_VALUE"""),"涂芷婕")</f>
        <v>涂芷婕</v>
      </c>
      <c r="D932" s="16" t="str">
        <f>IFERROR(__xludf.DUMMYFUNCTION("""COMPUTED_VALUE"""),"aly*****0106@gmail.com")</f>
        <v>aly*****0106@gmail.com</v>
      </c>
      <c r="E932" s="17" t="str">
        <f>IFERROR(__xludf.DUMMYFUNCTION("""COMPUTED_VALUE"""),"新竹市私立曙光女子高級中學附設國中部")</f>
        <v>新竹市私立曙光女子高級中學附設國中部</v>
      </c>
      <c r="F932" s="14" t="str">
        <f>IFERROR(__xludf.DUMMYFUNCTION("""COMPUTED_VALUE"""),"八年級")</f>
        <v>八年級</v>
      </c>
      <c r="G932" s="14" t="str">
        <f>IFERROR(__xludf.DUMMYFUNCTION("""COMPUTED_VALUE"""),"★禮券$200")</f>
        <v>★禮券$200</v>
      </c>
      <c r="H932" s="8"/>
    </row>
    <row r="933">
      <c r="A933" s="18"/>
      <c r="B933" s="14">
        <f>IFERROR(__xludf.DUMMYFUNCTION("""COMPUTED_VALUE"""),977223.0)</f>
        <v>977223</v>
      </c>
      <c r="C933" s="14" t="str">
        <f>IFERROR(__xludf.DUMMYFUNCTION("""COMPUTED_VALUE"""),"何如喬")</f>
        <v>何如喬</v>
      </c>
      <c r="D933" s="16" t="str">
        <f>IFERROR(__xludf.DUMMYFUNCTION("""COMPUTED_VALUE"""),"110*****stu.sggs.hc.edu.tw")</f>
        <v>110*****stu.sggs.hc.edu.tw</v>
      </c>
      <c r="E933" s="17" t="str">
        <f>IFERROR(__xludf.DUMMYFUNCTION("""COMPUTED_VALUE"""),"新竹市私立曙光女子高級中學附設國中部")</f>
        <v>新竹市私立曙光女子高級中學附設國中部</v>
      </c>
      <c r="F933" s="14" t="str">
        <f>IFERROR(__xludf.DUMMYFUNCTION("""COMPUTED_VALUE"""),"八年級")</f>
        <v>八年級</v>
      </c>
      <c r="G933" s="14" t="str">
        <f>IFERROR(__xludf.DUMMYFUNCTION("""COMPUTED_VALUE"""),"獎狀")</f>
        <v>獎狀</v>
      </c>
      <c r="H933" s="8"/>
    </row>
    <row r="934">
      <c r="A934" s="18"/>
      <c r="B934" s="14">
        <f>IFERROR(__xludf.DUMMYFUNCTION("""COMPUTED_VALUE"""),978981.0)</f>
        <v>978981</v>
      </c>
      <c r="C934" s="14" t="str">
        <f>IFERROR(__xludf.DUMMYFUNCTION("""COMPUTED_VALUE"""),"吳雨蓁")</f>
        <v>吳雨蓁</v>
      </c>
      <c r="D934" s="16" t="str">
        <f>IFERROR(__xludf.DUMMYFUNCTION("""COMPUTED_VALUE"""),"ire*****14@gmail.com")</f>
        <v>ire*****14@gmail.com</v>
      </c>
      <c r="E934" s="17" t="str">
        <f>IFERROR(__xludf.DUMMYFUNCTION("""COMPUTED_VALUE"""),"新竹市私立曙光女子高級中學附設國中部")</f>
        <v>新竹市私立曙光女子高級中學附設國中部</v>
      </c>
      <c r="F934" s="14" t="str">
        <f>IFERROR(__xludf.DUMMYFUNCTION("""COMPUTED_VALUE"""),"八年級")</f>
        <v>八年級</v>
      </c>
      <c r="G934" s="14" t="str">
        <f>IFERROR(__xludf.DUMMYFUNCTION("""COMPUTED_VALUE"""),"獎狀")</f>
        <v>獎狀</v>
      </c>
      <c r="H934" s="8"/>
    </row>
    <row r="935">
      <c r="A935" s="18"/>
      <c r="B935" s="14">
        <f>IFERROR(__xludf.DUMMYFUNCTION("""COMPUTED_VALUE"""),978934.0)</f>
        <v>978934</v>
      </c>
      <c r="C935" s="14" t="str">
        <f>IFERROR(__xludf.DUMMYFUNCTION("""COMPUTED_VALUE"""),"李英綺")</f>
        <v>李英綺</v>
      </c>
      <c r="D935" s="16" t="str">
        <f>IFERROR(__xludf.DUMMYFUNCTION("""COMPUTED_VALUE"""),"110*****stu.sggs.hc.edu.tw")</f>
        <v>110*****stu.sggs.hc.edu.tw</v>
      </c>
      <c r="E935" s="17" t="str">
        <f>IFERROR(__xludf.DUMMYFUNCTION("""COMPUTED_VALUE"""),"新竹市私立曙光女子高級中學附設國中部")</f>
        <v>新竹市私立曙光女子高級中學附設國中部</v>
      </c>
      <c r="F935" s="14" t="str">
        <f>IFERROR(__xludf.DUMMYFUNCTION("""COMPUTED_VALUE"""),"八年級")</f>
        <v>八年級</v>
      </c>
      <c r="G935" s="14" t="str">
        <f>IFERROR(__xludf.DUMMYFUNCTION("""COMPUTED_VALUE"""),"獎狀")</f>
        <v>獎狀</v>
      </c>
      <c r="H935" s="8"/>
    </row>
    <row r="936">
      <c r="A936" s="18"/>
      <c r="B936" s="14">
        <f>IFERROR(__xludf.DUMMYFUNCTION("""COMPUTED_VALUE"""),978919.0)</f>
        <v>978919</v>
      </c>
      <c r="C936" s="14" t="str">
        <f>IFERROR(__xludf.DUMMYFUNCTION("""COMPUTED_VALUE"""),"施媗云")</f>
        <v>施媗云</v>
      </c>
      <c r="D936" s="16" t="str">
        <f>IFERROR(__xludf.DUMMYFUNCTION("""COMPUTED_VALUE"""),"ann*****ih0226@gmail.com")</f>
        <v>ann*****ih0226@gmail.com</v>
      </c>
      <c r="E936" s="17" t="str">
        <f>IFERROR(__xludf.DUMMYFUNCTION("""COMPUTED_VALUE"""),"新竹市私立曙光女子高級中學附設國中部")</f>
        <v>新竹市私立曙光女子高級中學附設國中部</v>
      </c>
      <c r="F936" s="14" t="str">
        <f>IFERROR(__xludf.DUMMYFUNCTION("""COMPUTED_VALUE"""),"八年級")</f>
        <v>八年級</v>
      </c>
      <c r="G936" s="14" t="str">
        <f>IFERROR(__xludf.DUMMYFUNCTION("""COMPUTED_VALUE"""),"獎狀")</f>
        <v>獎狀</v>
      </c>
      <c r="H936" s="8"/>
    </row>
    <row r="937">
      <c r="A937" s="18"/>
      <c r="B937" s="14">
        <f>IFERROR(__xludf.DUMMYFUNCTION("""COMPUTED_VALUE"""),979864.0)</f>
        <v>979864</v>
      </c>
      <c r="C937" s="14" t="str">
        <f>IFERROR(__xludf.DUMMYFUNCTION("""COMPUTED_VALUE"""),"許芷綦")</f>
        <v>許芷綦</v>
      </c>
      <c r="D937" s="16" t="str">
        <f>IFERROR(__xludf.DUMMYFUNCTION("""COMPUTED_VALUE"""),"110*****stu.sggs.hc.edu.tw")</f>
        <v>110*****stu.sggs.hc.edu.tw</v>
      </c>
      <c r="E937" s="17" t="str">
        <f>IFERROR(__xludf.DUMMYFUNCTION("""COMPUTED_VALUE"""),"新竹市私立曙光女子高級中學附設國中部")</f>
        <v>新竹市私立曙光女子高級中學附設國中部</v>
      </c>
      <c r="F937" s="14" t="str">
        <f>IFERROR(__xludf.DUMMYFUNCTION("""COMPUTED_VALUE"""),"八年級")</f>
        <v>八年級</v>
      </c>
      <c r="G937" s="14" t="str">
        <f>IFERROR(__xludf.DUMMYFUNCTION("""COMPUTED_VALUE"""),"獎狀")</f>
        <v>獎狀</v>
      </c>
      <c r="H937" s="8"/>
    </row>
    <row r="938">
      <c r="A938" s="18"/>
      <c r="B938" s="14">
        <f>IFERROR(__xludf.DUMMYFUNCTION("""COMPUTED_VALUE"""),1064422.0)</f>
        <v>1064422</v>
      </c>
      <c r="C938" s="14" t="str">
        <f>IFERROR(__xludf.DUMMYFUNCTION("""COMPUTED_VALUE"""),"陸冠宇")</f>
        <v>陸冠宇</v>
      </c>
      <c r="D938" s="16" t="str">
        <f>IFERROR(__xludf.DUMMYFUNCTION("""COMPUTED_VALUE"""),"110*****stu.sggs.hc.edu.tw")</f>
        <v>110*****stu.sggs.hc.edu.tw</v>
      </c>
      <c r="E938" s="17" t="str">
        <f>IFERROR(__xludf.DUMMYFUNCTION("""COMPUTED_VALUE"""),"新竹市私立曙光女子高級中學附設國中部")</f>
        <v>新竹市私立曙光女子高級中學附設國中部</v>
      </c>
      <c r="F938" s="14" t="str">
        <f>IFERROR(__xludf.DUMMYFUNCTION("""COMPUTED_VALUE"""),"八年級")</f>
        <v>八年級</v>
      </c>
      <c r="G938" s="14" t="str">
        <f>IFERROR(__xludf.DUMMYFUNCTION("""COMPUTED_VALUE"""),"獎狀")</f>
        <v>獎狀</v>
      </c>
      <c r="H938" s="8"/>
    </row>
    <row r="939">
      <c r="A939" s="18"/>
      <c r="B939" s="14">
        <f>IFERROR(__xludf.DUMMYFUNCTION("""COMPUTED_VALUE"""),948038.0)</f>
        <v>948038</v>
      </c>
      <c r="C939" s="14" t="str">
        <f>IFERROR(__xludf.DUMMYFUNCTION("""COMPUTED_VALUE"""),"曾彥鈞")</f>
        <v>曾彥鈞</v>
      </c>
      <c r="D939" s="16" t="str">
        <f>IFERROR(__xludf.DUMMYFUNCTION("""COMPUTED_VALUE"""),"kel*****407@gmail.com")</f>
        <v>kel*****407@gmail.com</v>
      </c>
      <c r="E939" s="17" t="str">
        <f>IFERROR(__xludf.DUMMYFUNCTION("""COMPUTED_VALUE"""),"新竹市私立曙光女子高級中學附設國中部")</f>
        <v>新竹市私立曙光女子高級中學附設國中部</v>
      </c>
      <c r="F939" s="14" t="str">
        <f>IFERROR(__xludf.DUMMYFUNCTION("""COMPUTED_VALUE"""),"八年級")</f>
        <v>八年級</v>
      </c>
      <c r="G939" s="14" t="str">
        <f>IFERROR(__xludf.DUMMYFUNCTION("""COMPUTED_VALUE"""),"獎狀")</f>
        <v>獎狀</v>
      </c>
      <c r="H939" s="8"/>
    </row>
    <row r="940">
      <c r="A940" s="18"/>
      <c r="B940" s="14">
        <f>IFERROR(__xludf.DUMMYFUNCTION("""COMPUTED_VALUE"""),894059.0)</f>
        <v>894059</v>
      </c>
      <c r="C940" s="14" t="str">
        <f>IFERROR(__xludf.DUMMYFUNCTION("""COMPUTED_VALUE"""),"黃品薰")</f>
        <v>黃品薰</v>
      </c>
      <c r="D940" s="16" t="str">
        <f>IFERROR(__xludf.DUMMYFUNCTION("""COMPUTED_VALUE"""),"110*****stu.sggs.hc.edu.tw")</f>
        <v>110*****stu.sggs.hc.edu.tw</v>
      </c>
      <c r="E940" s="17" t="str">
        <f>IFERROR(__xludf.DUMMYFUNCTION("""COMPUTED_VALUE"""),"新竹市私立曙光女子高級中學附設國中部")</f>
        <v>新竹市私立曙光女子高級中學附設國中部</v>
      </c>
      <c r="F940" s="14" t="str">
        <f>IFERROR(__xludf.DUMMYFUNCTION("""COMPUTED_VALUE"""),"八年級")</f>
        <v>八年級</v>
      </c>
      <c r="G940" s="14" t="str">
        <f>IFERROR(__xludf.DUMMYFUNCTION("""COMPUTED_VALUE"""),"獎狀")</f>
        <v>獎狀</v>
      </c>
      <c r="H940" s="8"/>
    </row>
    <row r="941">
      <c r="A941" s="18"/>
      <c r="B941" s="14">
        <f>IFERROR(__xludf.DUMMYFUNCTION("""COMPUTED_VALUE"""),876044.0)</f>
        <v>876044</v>
      </c>
      <c r="C941" s="14" t="str">
        <f>IFERROR(__xludf.DUMMYFUNCTION("""COMPUTED_VALUE"""),"黃習聿")</f>
        <v>黃習聿</v>
      </c>
      <c r="D941" s="16" t="str">
        <f>IFERROR(__xludf.DUMMYFUNCTION("""COMPUTED_VALUE"""),"110*****stu.sggs.hc.edu.tw")</f>
        <v>110*****stu.sggs.hc.edu.tw</v>
      </c>
      <c r="E941" s="17" t="str">
        <f>IFERROR(__xludf.DUMMYFUNCTION("""COMPUTED_VALUE"""),"新竹市私立曙光女子高級中學附設國中部")</f>
        <v>新竹市私立曙光女子高級中學附設國中部</v>
      </c>
      <c r="F941" s="14" t="str">
        <f>IFERROR(__xludf.DUMMYFUNCTION("""COMPUTED_VALUE"""),"八年級")</f>
        <v>八年級</v>
      </c>
      <c r="G941" s="14" t="str">
        <f>IFERROR(__xludf.DUMMYFUNCTION("""COMPUTED_VALUE"""),"獎狀")</f>
        <v>獎狀</v>
      </c>
      <c r="H941" s="8"/>
    </row>
    <row r="942">
      <c r="A942" s="18"/>
      <c r="B942" s="14">
        <f>IFERROR(__xludf.DUMMYFUNCTION("""COMPUTED_VALUE"""),1114457.0)</f>
        <v>1114457</v>
      </c>
      <c r="C942" s="14" t="str">
        <f>IFERROR(__xludf.DUMMYFUNCTION("""COMPUTED_VALUE"""),"劉芯伃")</f>
        <v>劉芯伃</v>
      </c>
      <c r="D942" s="16" t="str">
        <f>IFERROR(__xludf.DUMMYFUNCTION("""COMPUTED_VALUE"""),"110*****stu.sggs.hc.edu.tw")</f>
        <v>110*****stu.sggs.hc.edu.tw</v>
      </c>
      <c r="E942" s="17" t="str">
        <f>IFERROR(__xludf.DUMMYFUNCTION("""COMPUTED_VALUE"""),"新竹市私立曙光女子高級中學附設國中部")</f>
        <v>新竹市私立曙光女子高級中學附設國中部</v>
      </c>
      <c r="F942" s="14" t="str">
        <f>IFERROR(__xludf.DUMMYFUNCTION("""COMPUTED_VALUE"""),"八年級")</f>
        <v>八年級</v>
      </c>
      <c r="G942" s="14" t="str">
        <f>IFERROR(__xludf.DUMMYFUNCTION("""COMPUTED_VALUE"""),"獎狀")</f>
        <v>獎狀</v>
      </c>
      <c r="H942" s="8"/>
    </row>
    <row r="943">
      <c r="A943" s="18"/>
      <c r="B943" s="14">
        <f>IFERROR(__xludf.DUMMYFUNCTION("""COMPUTED_VALUE"""),948000.0)</f>
        <v>948000</v>
      </c>
      <c r="C943" s="14" t="str">
        <f>IFERROR(__xludf.DUMMYFUNCTION("""COMPUTED_VALUE"""),"羅浥芹")</f>
        <v>羅浥芹</v>
      </c>
      <c r="D943" s="16" t="str">
        <f>IFERROR(__xludf.DUMMYFUNCTION("""COMPUTED_VALUE"""),"yic*****0627@gmail.com")</f>
        <v>yic*****0627@gmail.com</v>
      </c>
      <c r="E943" s="17" t="str">
        <f>IFERROR(__xludf.DUMMYFUNCTION("""COMPUTED_VALUE"""),"新竹市私立曙光女子高級中學附設國中部")</f>
        <v>新竹市私立曙光女子高級中學附設國中部</v>
      </c>
      <c r="F943" s="14" t="str">
        <f>IFERROR(__xludf.DUMMYFUNCTION("""COMPUTED_VALUE"""),"八年級")</f>
        <v>八年級</v>
      </c>
      <c r="G943" s="14" t="str">
        <f>IFERROR(__xludf.DUMMYFUNCTION("""COMPUTED_VALUE"""),"獎狀")</f>
        <v>獎狀</v>
      </c>
      <c r="H943" s="8"/>
    </row>
    <row r="944">
      <c r="A944" s="18"/>
      <c r="B944" s="14">
        <f>IFERROR(__xludf.DUMMYFUNCTION("""COMPUTED_VALUE"""),1121901.0)</f>
        <v>1121901</v>
      </c>
      <c r="C944" s="14" t="str">
        <f>IFERROR(__xludf.DUMMYFUNCTION("""COMPUTED_VALUE"""),"黃宥璇")</f>
        <v>黃宥璇</v>
      </c>
      <c r="D944" s="16" t="str">
        <f>IFERROR(__xludf.DUMMYFUNCTION("""COMPUTED_VALUE"""),"110*****stu.sggs.hc.edu.tw")</f>
        <v>110*****stu.sggs.hc.edu.tw</v>
      </c>
      <c r="E944" s="17" t="str">
        <f>IFERROR(__xludf.DUMMYFUNCTION("""COMPUTED_VALUE"""),"新竹市私立曙光女子高級中學附設國中部")</f>
        <v>新竹市私立曙光女子高級中學附設國中部</v>
      </c>
      <c r="F944" s="14" t="str">
        <f>IFERROR(__xludf.DUMMYFUNCTION("""COMPUTED_VALUE"""),"八年級")</f>
        <v>八年級</v>
      </c>
      <c r="G944" s="14" t="str">
        <f>IFERROR(__xludf.DUMMYFUNCTION("""COMPUTED_VALUE"""),"獎狀")</f>
        <v>獎狀</v>
      </c>
      <c r="H944" s="8"/>
    </row>
    <row r="945">
      <c r="A945" s="18"/>
      <c r="B945" s="14">
        <f>IFERROR(__xludf.DUMMYFUNCTION("""COMPUTED_VALUE"""),1119171.0)</f>
        <v>1119171</v>
      </c>
      <c r="C945" s="14" t="str">
        <f>IFERROR(__xludf.DUMMYFUNCTION("""COMPUTED_VALUE"""),"黃紫喬")</f>
        <v>黃紫喬</v>
      </c>
      <c r="D945" s="16" t="str">
        <f>IFERROR(__xludf.DUMMYFUNCTION("""COMPUTED_VALUE"""),"110*****stu.sggs.hc.edu.tw")</f>
        <v>110*****stu.sggs.hc.edu.tw</v>
      </c>
      <c r="E945" s="17" t="str">
        <f>IFERROR(__xludf.DUMMYFUNCTION("""COMPUTED_VALUE"""),"新竹市私立曙光女子高級中學附設國中部")</f>
        <v>新竹市私立曙光女子高級中學附設國中部</v>
      </c>
      <c r="F945" s="14" t="str">
        <f>IFERROR(__xludf.DUMMYFUNCTION("""COMPUTED_VALUE"""),"八年級")</f>
        <v>八年級</v>
      </c>
      <c r="G945" s="14" t="str">
        <f>IFERROR(__xludf.DUMMYFUNCTION("""COMPUTED_VALUE"""),"獎狀")</f>
        <v>獎狀</v>
      </c>
      <c r="H945" s="8"/>
    </row>
    <row r="946">
      <c r="A946" s="18"/>
      <c r="B946" s="14">
        <f>IFERROR(__xludf.DUMMYFUNCTION("""COMPUTED_VALUE"""),934964.0)</f>
        <v>934964</v>
      </c>
      <c r="C946" s="14" t="str">
        <f>IFERROR(__xludf.DUMMYFUNCTION("""COMPUTED_VALUE"""),"戴苡蕎")</f>
        <v>戴苡蕎</v>
      </c>
      <c r="D946" s="16" t="str">
        <f>IFERROR(__xludf.DUMMYFUNCTION("""COMPUTED_VALUE"""),"110*****stu.sggs.hc.edu.tw")</f>
        <v>110*****stu.sggs.hc.edu.tw</v>
      </c>
      <c r="E946" s="17" t="str">
        <f>IFERROR(__xludf.DUMMYFUNCTION("""COMPUTED_VALUE"""),"新竹市私立曙光女子高級中學附設國中部")</f>
        <v>新竹市私立曙光女子高級中學附設國中部</v>
      </c>
      <c r="F946" s="14" t="str">
        <f>IFERROR(__xludf.DUMMYFUNCTION("""COMPUTED_VALUE"""),"八年級")</f>
        <v>八年級</v>
      </c>
      <c r="G946" s="14" t="str">
        <f>IFERROR(__xludf.DUMMYFUNCTION("""COMPUTED_VALUE"""),"獎狀")</f>
        <v>獎狀</v>
      </c>
      <c r="H946" s="8"/>
    </row>
    <row r="947">
      <c r="A947" s="18"/>
      <c r="B947" s="14">
        <f>IFERROR(__xludf.DUMMYFUNCTION("""COMPUTED_VALUE"""),1187037.0)</f>
        <v>1187037</v>
      </c>
      <c r="C947" s="14" t="str">
        <f>IFERROR(__xludf.DUMMYFUNCTION("""COMPUTED_VALUE"""),"伍英瀚")</f>
        <v>伍英瀚</v>
      </c>
      <c r="D947" s="16" t="str">
        <f>IFERROR(__xludf.DUMMYFUNCTION("""COMPUTED_VALUE"""),"111*****wjh.hc.edu.tw")</f>
        <v>111*****wjh.hc.edu.tw</v>
      </c>
      <c r="E947" s="17" t="str">
        <f>IFERROR(__xludf.DUMMYFUNCTION("""COMPUTED_VALUE"""),"新竹市立光武國民中學")</f>
        <v>新竹市立光武國民中學</v>
      </c>
      <c r="F947" s="14" t="str">
        <f>IFERROR(__xludf.DUMMYFUNCTION("""COMPUTED_VALUE"""),"七年級")</f>
        <v>七年級</v>
      </c>
      <c r="G947" s="14" t="str">
        <f>IFERROR(__xludf.DUMMYFUNCTION("""COMPUTED_VALUE"""),"●小禮物")</f>
        <v>●小禮物</v>
      </c>
      <c r="H947" s="8"/>
    </row>
    <row r="948">
      <c r="A948" s="18"/>
      <c r="B948" s="14">
        <f>IFERROR(__xludf.DUMMYFUNCTION("""COMPUTED_VALUE"""),1089726.0)</f>
        <v>1089726</v>
      </c>
      <c r="C948" s="14" t="str">
        <f>IFERROR(__xludf.DUMMYFUNCTION("""COMPUTED_VALUE"""),"鄭至妍")</f>
        <v>鄭至妍</v>
      </c>
      <c r="D948" s="16" t="str">
        <f>IFERROR(__xludf.DUMMYFUNCTION("""COMPUTED_VALUE"""),"ari*****cheng@gmail.com")</f>
        <v>ari*****cheng@gmail.com</v>
      </c>
      <c r="E948" s="17" t="str">
        <f>IFERROR(__xludf.DUMMYFUNCTION("""COMPUTED_VALUE"""),"新竹市立光武國民中學")</f>
        <v>新竹市立光武國民中學</v>
      </c>
      <c r="F948" s="14" t="str">
        <f>IFERROR(__xludf.DUMMYFUNCTION("""COMPUTED_VALUE"""),"七年級")</f>
        <v>七年級</v>
      </c>
      <c r="G948" s="14" t="str">
        <f>IFERROR(__xludf.DUMMYFUNCTION("""COMPUTED_VALUE"""),"獎狀")</f>
        <v>獎狀</v>
      </c>
      <c r="H948" s="8"/>
    </row>
    <row r="949">
      <c r="A949" s="18"/>
      <c r="B949" s="14">
        <f>IFERROR(__xludf.DUMMYFUNCTION("""COMPUTED_VALUE"""),1217341.0)</f>
        <v>1217341</v>
      </c>
      <c r="C949" s="14" t="str">
        <f>IFERROR(__xludf.DUMMYFUNCTION("""COMPUTED_VALUE"""),"陳兆允")</f>
        <v>陳兆允</v>
      </c>
      <c r="D949" s="16" t="str">
        <f>IFERROR(__xludf.DUMMYFUNCTION("""COMPUTED_VALUE"""),"111*****wjh.hc.edu.tw")</f>
        <v>111*****wjh.hc.edu.tw</v>
      </c>
      <c r="E949" s="17" t="str">
        <f>IFERROR(__xludf.DUMMYFUNCTION("""COMPUTED_VALUE"""),"新竹市立光武國民中學")</f>
        <v>新竹市立光武國民中學</v>
      </c>
      <c r="F949" s="14" t="str">
        <f>IFERROR(__xludf.DUMMYFUNCTION("""COMPUTED_VALUE"""),"七年級")</f>
        <v>七年級</v>
      </c>
      <c r="G949" s="14" t="str">
        <f>IFERROR(__xludf.DUMMYFUNCTION("""COMPUTED_VALUE"""),"●小禮物")</f>
        <v>●小禮物</v>
      </c>
      <c r="H949" s="8"/>
    </row>
    <row r="950">
      <c r="A950" s="18"/>
      <c r="B950" s="14">
        <f>IFERROR(__xludf.DUMMYFUNCTION("""COMPUTED_VALUE"""),1171493.0)</f>
        <v>1171493</v>
      </c>
      <c r="C950" s="14" t="str">
        <f>IFERROR(__xludf.DUMMYFUNCTION("""COMPUTED_VALUE"""),"曾姵榕")</f>
        <v>曾姵榕</v>
      </c>
      <c r="D950" s="16" t="str">
        <f>IFERROR(__xludf.DUMMYFUNCTION("""COMPUTED_VALUE"""),"111*****wjh.hc.edu.tw")</f>
        <v>111*****wjh.hc.edu.tw</v>
      </c>
      <c r="E950" s="17" t="str">
        <f>IFERROR(__xludf.DUMMYFUNCTION("""COMPUTED_VALUE"""),"新竹市立光武國民中學")</f>
        <v>新竹市立光武國民中學</v>
      </c>
      <c r="F950" s="14" t="str">
        <f>IFERROR(__xludf.DUMMYFUNCTION("""COMPUTED_VALUE"""),"七年級")</f>
        <v>七年級</v>
      </c>
      <c r="G950" s="14" t="str">
        <f>IFERROR(__xludf.DUMMYFUNCTION("""COMPUTED_VALUE"""),"●小禮物")</f>
        <v>●小禮物</v>
      </c>
      <c r="H950" s="8"/>
    </row>
    <row r="951">
      <c r="A951" s="18"/>
      <c r="B951" s="14">
        <f>IFERROR(__xludf.DUMMYFUNCTION("""COMPUTED_VALUE"""),954918.0)</f>
        <v>954918</v>
      </c>
      <c r="C951" s="14" t="str">
        <f>IFERROR(__xludf.DUMMYFUNCTION("""COMPUTED_VALUE"""),"呂宸熙")</f>
        <v>呂宸熙</v>
      </c>
      <c r="D951" s="16" t="str">
        <f>IFERROR(__xludf.DUMMYFUNCTION("""COMPUTED_VALUE"""),"110*****wjh.hc.edu.tw")</f>
        <v>110*****wjh.hc.edu.tw</v>
      </c>
      <c r="E951" s="17" t="str">
        <f>IFERROR(__xludf.DUMMYFUNCTION("""COMPUTED_VALUE"""),"新竹市立光武國民中學")</f>
        <v>新竹市立光武國民中學</v>
      </c>
      <c r="F951" s="14" t="str">
        <f>IFERROR(__xludf.DUMMYFUNCTION("""COMPUTED_VALUE"""),"八年級")</f>
        <v>八年級</v>
      </c>
      <c r="G951" s="14" t="str">
        <f>IFERROR(__xludf.DUMMYFUNCTION("""COMPUTED_VALUE"""),"獎狀")</f>
        <v>獎狀</v>
      </c>
      <c r="H951" s="8"/>
    </row>
    <row r="952">
      <c r="A952" s="18"/>
      <c r="B952" s="14">
        <f>IFERROR(__xludf.DUMMYFUNCTION("""COMPUTED_VALUE"""),544114.0)</f>
        <v>544114</v>
      </c>
      <c r="C952" s="14" t="str">
        <f>IFERROR(__xludf.DUMMYFUNCTION("""COMPUTED_VALUE"""),"李承叡")</f>
        <v>李承叡</v>
      </c>
      <c r="D952" s="16" t="str">
        <f>IFERROR(__xludf.DUMMYFUNCTION("""COMPUTED_VALUE"""),"cha*****a@hotmail.com")</f>
        <v>cha*****a@hotmail.com</v>
      </c>
      <c r="E952" s="17" t="str">
        <f>IFERROR(__xludf.DUMMYFUNCTION("""COMPUTED_VALUE"""),"新竹市立光武國民中學")</f>
        <v>新竹市立光武國民中學</v>
      </c>
      <c r="F952" s="14" t="str">
        <f>IFERROR(__xludf.DUMMYFUNCTION("""COMPUTED_VALUE"""),"八年級")</f>
        <v>八年級</v>
      </c>
      <c r="G952" s="14" t="str">
        <f>IFERROR(__xludf.DUMMYFUNCTION("""COMPUTED_VALUE"""),"●小禮物")</f>
        <v>●小禮物</v>
      </c>
      <c r="H952" s="8"/>
    </row>
    <row r="953">
      <c r="A953" s="18"/>
      <c r="B953" s="14">
        <f>IFERROR(__xludf.DUMMYFUNCTION("""COMPUTED_VALUE"""),1177688.0)</f>
        <v>1177688</v>
      </c>
      <c r="C953" s="14" t="str">
        <f>IFERROR(__xludf.DUMMYFUNCTION("""COMPUTED_VALUE"""),"陳菘德")</f>
        <v>陳菘德</v>
      </c>
      <c r="D953" s="16" t="str">
        <f>IFERROR(__xludf.DUMMYFUNCTION("""COMPUTED_VALUE"""),"111*****stu.sggs.hc.edu.tw")</f>
        <v>111*****stu.sggs.hc.edu.tw</v>
      </c>
      <c r="E953" s="17" t="str">
        <f>IFERROR(__xludf.DUMMYFUNCTION("""COMPUTED_VALUE"""),"新竹市私立光復高級中學附設國中部")</f>
        <v>新竹市私立光復高級中學附設國中部</v>
      </c>
      <c r="F953" s="14" t="str">
        <f>IFERROR(__xludf.DUMMYFUNCTION("""COMPUTED_VALUE"""),"七年級")</f>
        <v>七年級</v>
      </c>
      <c r="G953" s="14" t="str">
        <f>IFERROR(__xludf.DUMMYFUNCTION("""COMPUTED_VALUE"""),"獎狀")</f>
        <v>獎狀</v>
      </c>
      <c r="H953" s="8"/>
    </row>
    <row r="954">
      <c r="A954" s="18"/>
      <c r="B954" s="14">
        <f>IFERROR(__xludf.DUMMYFUNCTION("""COMPUTED_VALUE"""),1201645.0)</f>
        <v>1201645</v>
      </c>
      <c r="C954" s="14" t="str">
        <f>IFERROR(__xludf.DUMMYFUNCTION("""COMPUTED_VALUE"""),"彭詠慈")</f>
        <v>彭詠慈</v>
      </c>
      <c r="D954" s="16" t="str">
        <f>IFERROR(__xludf.DUMMYFUNCTION("""COMPUTED_VALUE"""),"kfs*****@kfsh.hc.edu.tw")</f>
        <v>kfs*****@kfsh.hc.edu.tw</v>
      </c>
      <c r="E954" s="17" t="str">
        <f>IFERROR(__xludf.DUMMYFUNCTION("""COMPUTED_VALUE"""),"新竹市私立光復高級中學附設國中部")</f>
        <v>新竹市私立光復高級中學附設國中部</v>
      </c>
      <c r="F954" s="14" t="str">
        <f>IFERROR(__xludf.DUMMYFUNCTION("""COMPUTED_VALUE"""),"八年級")</f>
        <v>八年級</v>
      </c>
      <c r="G954" s="14" t="str">
        <f>IFERROR(__xludf.DUMMYFUNCTION("""COMPUTED_VALUE"""),"獎狀")</f>
        <v>獎狀</v>
      </c>
      <c r="H954" s="8"/>
    </row>
    <row r="955">
      <c r="A955" s="18"/>
      <c r="B955" s="14">
        <f>IFERROR(__xludf.DUMMYFUNCTION("""COMPUTED_VALUE"""),1163840.0)</f>
        <v>1163840</v>
      </c>
      <c r="C955" s="14" t="str">
        <f>IFERROR(__xludf.DUMMYFUNCTION("""COMPUTED_VALUE"""),"康瑀倢")</f>
        <v>康瑀倢</v>
      </c>
      <c r="D955" s="16" t="str">
        <f>IFERROR(__xludf.DUMMYFUNCTION("""COMPUTED_VALUE"""),"kfs*****@kfsh.hc.edu.tw")</f>
        <v>kfs*****@kfsh.hc.edu.tw</v>
      </c>
      <c r="E955" s="17" t="str">
        <f>IFERROR(__xludf.DUMMYFUNCTION("""COMPUTED_VALUE"""),"新竹市私立光復高級中學附設國中部")</f>
        <v>新竹市私立光復高級中學附設國中部</v>
      </c>
      <c r="F955" s="14" t="str">
        <f>IFERROR(__xludf.DUMMYFUNCTION("""COMPUTED_VALUE"""),"八年級")</f>
        <v>八年級</v>
      </c>
      <c r="G955" s="14" t="str">
        <f>IFERROR(__xludf.DUMMYFUNCTION("""COMPUTED_VALUE"""),"★禮券$200")</f>
        <v>★禮券$200</v>
      </c>
      <c r="H955" s="8"/>
    </row>
    <row r="956">
      <c r="A956" s="18"/>
      <c r="B956" s="14">
        <f>IFERROR(__xludf.DUMMYFUNCTION("""COMPUTED_VALUE"""),1165486.0)</f>
        <v>1165486</v>
      </c>
      <c r="C956" s="14" t="str">
        <f>IFERROR(__xludf.DUMMYFUNCTION("""COMPUTED_VALUE"""),"莊子儀")</f>
        <v>莊子儀</v>
      </c>
      <c r="D956" s="16" t="str">
        <f>IFERROR(__xludf.DUMMYFUNCTION("""COMPUTED_VALUE"""),"kfs*****@kfsh.hc.edu.tw")</f>
        <v>kfs*****@kfsh.hc.edu.tw</v>
      </c>
      <c r="E956" s="17" t="str">
        <f>IFERROR(__xludf.DUMMYFUNCTION("""COMPUTED_VALUE"""),"新竹市私立光復高級中學附設國中部")</f>
        <v>新竹市私立光復高級中學附設國中部</v>
      </c>
      <c r="F956" s="14" t="str">
        <f>IFERROR(__xludf.DUMMYFUNCTION("""COMPUTED_VALUE"""),"八年級")</f>
        <v>八年級</v>
      </c>
      <c r="G956" s="14" t="str">
        <f>IFERROR(__xludf.DUMMYFUNCTION("""COMPUTED_VALUE"""),"獎狀")</f>
        <v>獎狀</v>
      </c>
      <c r="H956" s="8"/>
    </row>
    <row r="957">
      <c r="A957" s="18"/>
      <c r="B957" s="14">
        <f>IFERROR(__xludf.DUMMYFUNCTION("""COMPUTED_VALUE"""),1189998.0)</f>
        <v>1189998</v>
      </c>
      <c r="C957" s="14" t="str">
        <f>IFERROR(__xludf.DUMMYFUNCTION("""COMPUTED_VALUE"""),"彭奕緁")</f>
        <v>彭奕緁</v>
      </c>
      <c r="D957" s="16" t="str">
        <f>IFERROR(__xludf.DUMMYFUNCTION("""COMPUTED_VALUE"""),"kfs*****@kfsh.hc.edu.tw")</f>
        <v>kfs*****@kfsh.hc.edu.tw</v>
      </c>
      <c r="E957" s="17" t="str">
        <f>IFERROR(__xludf.DUMMYFUNCTION("""COMPUTED_VALUE"""),"新竹市私立光復高級中學附設國中部")</f>
        <v>新竹市私立光復高級中學附設國中部</v>
      </c>
      <c r="F957" s="14" t="str">
        <f>IFERROR(__xludf.DUMMYFUNCTION("""COMPUTED_VALUE"""),"九年級")</f>
        <v>九年級</v>
      </c>
      <c r="G957" s="14" t="str">
        <f>IFERROR(__xludf.DUMMYFUNCTION("""COMPUTED_VALUE"""),"●小禮物")</f>
        <v>●小禮物</v>
      </c>
      <c r="H957" s="8"/>
    </row>
    <row r="958">
      <c r="A958" s="18"/>
      <c r="B958" s="14">
        <f>IFERROR(__xludf.DUMMYFUNCTION("""COMPUTED_VALUE"""),1190022.0)</f>
        <v>1190022</v>
      </c>
      <c r="C958" s="14" t="str">
        <f>IFERROR(__xludf.DUMMYFUNCTION("""COMPUTED_VALUE"""),"李晟楷")</f>
        <v>李晟楷</v>
      </c>
      <c r="D958" s="16" t="str">
        <f>IFERROR(__xludf.DUMMYFUNCTION("""COMPUTED_VALUE"""),"kfs*****@kfsh.hc.edu.tw")</f>
        <v>kfs*****@kfsh.hc.edu.tw</v>
      </c>
      <c r="E958" s="17" t="str">
        <f>IFERROR(__xludf.DUMMYFUNCTION("""COMPUTED_VALUE"""),"新竹市私立光復高級中學附設國中部")</f>
        <v>新竹市私立光復高級中學附設國中部</v>
      </c>
      <c r="F958" s="14" t="str">
        <f>IFERROR(__xludf.DUMMYFUNCTION("""COMPUTED_VALUE"""),"九年級")</f>
        <v>九年級</v>
      </c>
      <c r="G958" s="14" t="str">
        <f>IFERROR(__xludf.DUMMYFUNCTION("""COMPUTED_VALUE"""),"獎狀")</f>
        <v>獎狀</v>
      </c>
      <c r="H958" s="8"/>
    </row>
    <row r="959">
      <c r="A959" s="18"/>
      <c r="B959" s="14">
        <f>IFERROR(__xludf.DUMMYFUNCTION("""COMPUTED_VALUE"""),1208293.0)</f>
        <v>1208293</v>
      </c>
      <c r="C959" s="14" t="str">
        <f>IFERROR(__xludf.DUMMYFUNCTION("""COMPUTED_VALUE"""),"蘇冠誠")</f>
        <v>蘇冠誠</v>
      </c>
      <c r="D959" s="16" t="str">
        <f>IFERROR(__xludf.DUMMYFUNCTION("""COMPUTED_VALUE"""),"kfs*****@kfsh.hc.edu.tw")</f>
        <v>kfs*****@kfsh.hc.edu.tw</v>
      </c>
      <c r="E959" s="17" t="str">
        <f>IFERROR(__xludf.DUMMYFUNCTION("""COMPUTED_VALUE"""),"新竹市私立光復高級中學附設國中部")</f>
        <v>新竹市私立光復高級中學附設國中部</v>
      </c>
      <c r="F959" s="14" t="str">
        <f>IFERROR(__xludf.DUMMYFUNCTION("""COMPUTED_VALUE"""),"九年級")</f>
        <v>九年級</v>
      </c>
      <c r="G959" s="14" t="str">
        <f>IFERROR(__xludf.DUMMYFUNCTION("""COMPUTED_VALUE"""),"●小禮物")</f>
        <v>●小禮物</v>
      </c>
      <c r="H959" s="8"/>
    </row>
    <row r="960">
      <c r="A960" s="18"/>
      <c r="B960" s="14">
        <f>IFERROR(__xludf.DUMMYFUNCTION("""COMPUTED_VALUE"""),1189986.0)</f>
        <v>1189986</v>
      </c>
      <c r="C960" s="14" t="str">
        <f>IFERROR(__xludf.DUMMYFUNCTION("""COMPUTED_VALUE"""),"范揚宥")</f>
        <v>范揚宥</v>
      </c>
      <c r="D960" s="16" t="str">
        <f>IFERROR(__xludf.DUMMYFUNCTION("""COMPUTED_VALUE"""),"wrr*****mail.com")</f>
        <v>wrr*****mail.com</v>
      </c>
      <c r="E960" s="17" t="str">
        <f>IFERROR(__xludf.DUMMYFUNCTION("""COMPUTED_VALUE"""),"新竹市私立光復高級中學附設國中部")</f>
        <v>新竹市私立光復高級中學附設國中部</v>
      </c>
      <c r="F960" s="14" t="str">
        <f>IFERROR(__xludf.DUMMYFUNCTION("""COMPUTED_VALUE"""),"九年級")</f>
        <v>九年級</v>
      </c>
      <c r="G960" s="14" t="str">
        <f>IFERROR(__xludf.DUMMYFUNCTION("""COMPUTED_VALUE"""),"●小禮物")</f>
        <v>●小禮物</v>
      </c>
      <c r="H960" s="8"/>
    </row>
    <row r="961">
      <c r="A961" s="18"/>
      <c r="B961" s="14">
        <f>IFERROR(__xludf.DUMMYFUNCTION("""COMPUTED_VALUE"""),463155.0)</f>
        <v>463155</v>
      </c>
      <c r="C961" s="14" t="str">
        <f>IFERROR(__xludf.DUMMYFUNCTION("""COMPUTED_VALUE"""),"陳辰")</f>
        <v>陳辰</v>
      </c>
      <c r="D961" s="16" t="str">
        <f>IFERROR(__xludf.DUMMYFUNCTION("""COMPUTED_VALUE"""),"hic*****07@gmail.com")</f>
        <v>hic*****07@gmail.com</v>
      </c>
      <c r="E961" s="17" t="str">
        <f>IFERROR(__xludf.DUMMYFUNCTION("""COMPUTED_VALUE"""),"新竹市私立光復高級中學附設國中部")</f>
        <v>新竹市私立光復高級中學附設國中部</v>
      </c>
      <c r="F961" s="14" t="str">
        <f>IFERROR(__xludf.DUMMYFUNCTION("""COMPUTED_VALUE"""),"九年級")</f>
        <v>九年級</v>
      </c>
      <c r="G961" s="14" t="str">
        <f>IFERROR(__xludf.DUMMYFUNCTION("""COMPUTED_VALUE"""),"●小禮物")</f>
        <v>●小禮物</v>
      </c>
      <c r="H961" s="8"/>
    </row>
    <row r="962">
      <c r="A962" s="18"/>
      <c r="B962" s="14">
        <f>IFERROR(__xludf.DUMMYFUNCTION("""COMPUTED_VALUE"""),1190005.0)</f>
        <v>1190005</v>
      </c>
      <c r="C962" s="14" t="str">
        <f>IFERROR(__xludf.DUMMYFUNCTION("""COMPUTED_VALUE"""),"彭毅華")</f>
        <v>彭毅華</v>
      </c>
      <c r="D962" s="16" t="str">
        <f>IFERROR(__xludf.DUMMYFUNCTION("""COMPUTED_VALUE"""),"kfs*****@kfsh.hc.edu.tw")</f>
        <v>kfs*****@kfsh.hc.edu.tw</v>
      </c>
      <c r="E962" s="17" t="str">
        <f>IFERROR(__xludf.DUMMYFUNCTION("""COMPUTED_VALUE"""),"新竹市私立光復高級中學附設國中部")</f>
        <v>新竹市私立光復高級中學附設國中部</v>
      </c>
      <c r="F962" s="14" t="str">
        <f>IFERROR(__xludf.DUMMYFUNCTION("""COMPUTED_VALUE"""),"九年級")</f>
        <v>九年級</v>
      </c>
      <c r="G962" s="14" t="str">
        <f>IFERROR(__xludf.DUMMYFUNCTION("""COMPUTED_VALUE"""),"●小禮物")</f>
        <v>●小禮物</v>
      </c>
      <c r="H962" s="8"/>
    </row>
    <row r="963">
      <c r="A963" s="18"/>
      <c r="B963" s="14">
        <f>IFERROR(__xludf.DUMMYFUNCTION("""COMPUTED_VALUE"""),1189985.0)</f>
        <v>1189985</v>
      </c>
      <c r="C963" s="14" t="str">
        <f>IFERROR(__xludf.DUMMYFUNCTION("""COMPUTED_VALUE"""),"邱碩晨")</f>
        <v>邱碩晨</v>
      </c>
      <c r="D963" s="16" t="str">
        <f>IFERROR(__xludf.DUMMYFUNCTION("""COMPUTED_VALUE"""),"sho*****703@gmail.com")</f>
        <v>sho*****703@gmail.com</v>
      </c>
      <c r="E963" s="17" t="str">
        <f>IFERROR(__xludf.DUMMYFUNCTION("""COMPUTED_VALUE"""),"新竹市私立光復高級中學附設國中部")</f>
        <v>新竹市私立光復高級中學附設國中部</v>
      </c>
      <c r="F963" s="14" t="str">
        <f>IFERROR(__xludf.DUMMYFUNCTION("""COMPUTED_VALUE"""),"九年級")</f>
        <v>九年級</v>
      </c>
      <c r="G963" s="14" t="str">
        <f>IFERROR(__xludf.DUMMYFUNCTION("""COMPUTED_VALUE"""),"獎狀")</f>
        <v>獎狀</v>
      </c>
      <c r="H963" s="8"/>
    </row>
    <row r="964">
      <c r="A964" s="18"/>
      <c r="B964" s="14">
        <f>IFERROR(__xludf.DUMMYFUNCTION("""COMPUTED_VALUE"""),1189997.0)</f>
        <v>1189997</v>
      </c>
      <c r="C964" s="14" t="str">
        <f>IFERROR(__xludf.DUMMYFUNCTION("""COMPUTED_VALUE"""),"劉芊歆")</f>
        <v>劉芊歆</v>
      </c>
      <c r="D964" s="16" t="str">
        <f>IFERROR(__xludf.DUMMYFUNCTION("""COMPUTED_VALUE"""),"kfs*****@kfsh.hc.edu.tw")</f>
        <v>kfs*****@kfsh.hc.edu.tw</v>
      </c>
      <c r="E964" s="17" t="str">
        <f>IFERROR(__xludf.DUMMYFUNCTION("""COMPUTED_VALUE"""),"新竹市私立光復高級中學附設國中部")</f>
        <v>新竹市私立光復高級中學附設國中部</v>
      </c>
      <c r="F964" s="14" t="str">
        <f>IFERROR(__xludf.DUMMYFUNCTION("""COMPUTED_VALUE"""),"九年級")</f>
        <v>九年級</v>
      </c>
      <c r="G964" s="14" t="str">
        <f>IFERROR(__xludf.DUMMYFUNCTION("""COMPUTED_VALUE"""),"獎狀")</f>
        <v>獎狀</v>
      </c>
      <c r="H964" s="8"/>
    </row>
    <row r="965">
      <c r="A965" s="18"/>
      <c r="B965" s="14">
        <f>IFERROR(__xludf.DUMMYFUNCTION("""COMPUTED_VALUE"""),564136.0)</f>
        <v>564136</v>
      </c>
      <c r="C965" s="14" t="str">
        <f>IFERROR(__xludf.DUMMYFUNCTION("""COMPUTED_VALUE"""),"林英宬")</f>
        <v>林英宬</v>
      </c>
      <c r="D965" s="16" t="str">
        <f>IFERROR(__xludf.DUMMYFUNCTION("""COMPUTED_VALUE"""),"kfs*****@kfsh.hc.edu.tw")</f>
        <v>kfs*****@kfsh.hc.edu.tw</v>
      </c>
      <c r="E965" s="17" t="str">
        <f>IFERROR(__xludf.DUMMYFUNCTION("""COMPUTED_VALUE"""),"新竹市私立光復高級中學附設國中部")</f>
        <v>新竹市私立光復高級中學附設國中部</v>
      </c>
      <c r="F965" s="14" t="str">
        <f>IFERROR(__xludf.DUMMYFUNCTION("""COMPUTED_VALUE"""),"九年級")</f>
        <v>九年級</v>
      </c>
      <c r="G965" s="14" t="str">
        <f>IFERROR(__xludf.DUMMYFUNCTION("""COMPUTED_VALUE"""),"●小禮物")</f>
        <v>●小禮物</v>
      </c>
      <c r="H965" s="8"/>
    </row>
    <row r="966">
      <c r="A966" s="18"/>
      <c r="B966" s="14">
        <f>IFERROR(__xludf.DUMMYFUNCTION("""COMPUTED_VALUE"""),1210728.0)</f>
        <v>1210728</v>
      </c>
      <c r="C966" s="14" t="str">
        <f>IFERROR(__xludf.DUMMYFUNCTION("""COMPUTED_VALUE"""),"林恩楷")</f>
        <v>林恩楷</v>
      </c>
      <c r="D966" s="16" t="str">
        <f>IFERROR(__xludf.DUMMYFUNCTION("""COMPUTED_VALUE"""),"kfs*****@kfsh.hc.edu.tw")</f>
        <v>kfs*****@kfsh.hc.edu.tw</v>
      </c>
      <c r="E966" s="17" t="str">
        <f>IFERROR(__xludf.DUMMYFUNCTION("""COMPUTED_VALUE"""),"新竹市私立光復高級中學附設國中部")</f>
        <v>新竹市私立光復高級中學附設國中部</v>
      </c>
      <c r="F966" s="14" t="str">
        <f>IFERROR(__xludf.DUMMYFUNCTION("""COMPUTED_VALUE"""),"九年級")</f>
        <v>九年級</v>
      </c>
      <c r="G966" s="14" t="str">
        <f>IFERROR(__xludf.DUMMYFUNCTION("""COMPUTED_VALUE"""),"●小禮物")</f>
        <v>●小禮物</v>
      </c>
      <c r="H966" s="8"/>
    </row>
    <row r="967">
      <c r="A967" s="18"/>
      <c r="B967" s="14">
        <f>IFERROR(__xludf.DUMMYFUNCTION("""COMPUTED_VALUE"""),1217624.0)</f>
        <v>1217624</v>
      </c>
      <c r="C967" s="14" t="str">
        <f>IFERROR(__xludf.DUMMYFUNCTION("""COMPUTED_VALUE"""),"張立融")</f>
        <v>張立融</v>
      </c>
      <c r="D967" s="16" t="str">
        <f>IFERROR(__xludf.DUMMYFUNCTION("""COMPUTED_VALUE"""),"kfs*****@kfsh.hc.edu.tw")</f>
        <v>kfs*****@kfsh.hc.edu.tw</v>
      </c>
      <c r="E967" s="17" t="str">
        <f>IFERROR(__xludf.DUMMYFUNCTION("""COMPUTED_VALUE"""),"新竹市私立光復高級中學附設國中部")</f>
        <v>新竹市私立光復高級中學附設國中部</v>
      </c>
      <c r="F967" s="14" t="str">
        <f>IFERROR(__xludf.DUMMYFUNCTION("""COMPUTED_VALUE"""),"九年級")</f>
        <v>九年級</v>
      </c>
      <c r="G967" s="14" t="str">
        <f>IFERROR(__xludf.DUMMYFUNCTION("""COMPUTED_VALUE"""),"●小禮物")</f>
        <v>●小禮物</v>
      </c>
      <c r="H967" s="8"/>
    </row>
    <row r="968">
      <c r="A968" s="18"/>
      <c r="B968" s="14">
        <f>IFERROR(__xludf.DUMMYFUNCTION("""COMPUTED_VALUE"""),1193692.0)</f>
        <v>1193692</v>
      </c>
      <c r="C968" s="14" t="str">
        <f>IFERROR(__xludf.DUMMYFUNCTION("""COMPUTED_VALUE"""),"莊承恩")</f>
        <v>莊承恩</v>
      </c>
      <c r="D968" s="16" t="str">
        <f>IFERROR(__xludf.DUMMYFUNCTION("""COMPUTED_VALUE"""),"kfs*****@kfsh.hc.edu.tw")</f>
        <v>kfs*****@kfsh.hc.edu.tw</v>
      </c>
      <c r="E968" s="17" t="str">
        <f>IFERROR(__xludf.DUMMYFUNCTION("""COMPUTED_VALUE"""),"新竹市私立光復高級中學附設國中部")</f>
        <v>新竹市私立光復高級中學附設國中部</v>
      </c>
      <c r="F968" s="14" t="str">
        <f>IFERROR(__xludf.DUMMYFUNCTION("""COMPUTED_VALUE"""),"九年級")</f>
        <v>九年級</v>
      </c>
      <c r="G968" s="14" t="str">
        <f>IFERROR(__xludf.DUMMYFUNCTION("""COMPUTED_VALUE"""),"●小禮物")</f>
        <v>●小禮物</v>
      </c>
      <c r="H968" s="8"/>
    </row>
    <row r="969">
      <c r="A969" s="18"/>
      <c r="B969" s="14">
        <f>IFERROR(__xludf.DUMMYFUNCTION("""COMPUTED_VALUE"""),1208213.0)</f>
        <v>1208213</v>
      </c>
      <c r="C969" s="14" t="str">
        <f>IFERROR(__xludf.DUMMYFUNCTION("""COMPUTED_VALUE"""),"錢奕䈄")</f>
        <v>錢奕䈄</v>
      </c>
      <c r="D969" s="16" t="str">
        <f>IFERROR(__xludf.DUMMYFUNCTION("""COMPUTED_VALUE"""),"hed*****0224@gmail.com")</f>
        <v>hed*****0224@gmail.com</v>
      </c>
      <c r="E969" s="17" t="str">
        <f>IFERROR(__xludf.DUMMYFUNCTION("""COMPUTED_VALUE"""),"新竹市私立光復高級中學附設國中部")</f>
        <v>新竹市私立光復高級中學附設國中部</v>
      </c>
      <c r="F969" s="14" t="str">
        <f>IFERROR(__xludf.DUMMYFUNCTION("""COMPUTED_VALUE"""),"九年級")</f>
        <v>九年級</v>
      </c>
      <c r="G969" s="14" t="str">
        <f>IFERROR(__xludf.DUMMYFUNCTION("""COMPUTED_VALUE"""),"●小禮物")</f>
        <v>●小禮物</v>
      </c>
      <c r="H969" s="8"/>
    </row>
    <row r="970">
      <c r="A970" s="18"/>
      <c r="B970" s="14">
        <f>IFERROR(__xludf.DUMMYFUNCTION("""COMPUTED_VALUE"""),1208429.0)</f>
        <v>1208429</v>
      </c>
      <c r="C970" s="14" t="str">
        <f>IFERROR(__xludf.DUMMYFUNCTION("""COMPUTED_VALUE"""),"黃苡宸")</f>
        <v>黃苡宸</v>
      </c>
      <c r="D970" s="16" t="str">
        <f>IFERROR(__xludf.DUMMYFUNCTION("""COMPUTED_VALUE"""),"kfs*****@kfsh.hc.edu.tw")</f>
        <v>kfs*****@kfsh.hc.edu.tw</v>
      </c>
      <c r="E970" s="17" t="str">
        <f>IFERROR(__xludf.DUMMYFUNCTION("""COMPUTED_VALUE"""),"新竹市私立光復高級中學附設國中部")</f>
        <v>新竹市私立光復高級中學附設國中部</v>
      </c>
      <c r="F970" s="14" t="str">
        <f>IFERROR(__xludf.DUMMYFUNCTION("""COMPUTED_VALUE"""),"九年級")</f>
        <v>九年級</v>
      </c>
      <c r="G970" s="14" t="str">
        <f>IFERROR(__xludf.DUMMYFUNCTION("""COMPUTED_VALUE"""),"★禮券$200")</f>
        <v>★禮券$200</v>
      </c>
      <c r="H970" s="8"/>
    </row>
    <row r="971">
      <c r="A971" s="18"/>
      <c r="B971" s="14">
        <f>IFERROR(__xludf.DUMMYFUNCTION("""COMPUTED_VALUE"""),1213755.0)</f>
        <v>1213755</v>
      </c>
      <c r="C971" s="14" t="str">
        <f>IFERROR(__xludf.DUMMYFUNCTION("""COMPUTED_VALUE"""),"何詠儀")</f>
        <v>何詠儀</v>
      </c>
      <c r="D971" s="16" t="str">
        <f>IFERROR(__xludf.DUMMYFUNCTION("""COMPUTED_VALUE"""),"miy*****03@gmail.com")</f>
        <v>miy*****03@gmail.com</v>
      </c>
      <c r="E971" s="17" t="str">
        <f>IFERROR(__xludf.DUMMYFUNCTION("""COMPUTED_VALUE"""),"新竹市私立光復高級中學附設國中部")</f>
        <v>新竹市私立光復高級中學附設國中部</v>
      </c>
      <c r="F971" s="14" t="str">
        <f>IFERROR(__xludf.DUMMYFUNCTION("""COMPUTED_VALUE"""),"九年級")</f>
        <v>九年級</v>
      </c>
      <c r="G971" s="14" t="str">
        <f>IFERROR(__xludf.DUMMYFUNCTION("""COMPUTED_VALUE"""),"獎狀")</f>
        <v>獎狀</v>
      </c>
      <c r="H971" s="8"/>
    </row>
    <row r="972">
      <c r="A972" s="18"/>
      <c r="B972" s="14">
        <f>IFERROR(__xludf.DUMMYFUNCTION("""COMPUTED_VALUE"""),1199151.0)</f>
        <v>1199151</v>
      </c>
      <c r="C972" s="14" t="str">
        <f>IFERROR(__xludf.DUMMYFUNCTION("""COMPUTED_VALUE"""),"陳譽升")</f>
        <v>陳譽升</v>
      </c>
      <c r="D972" s="16" t="str">
        <f>IFERROR(__xludf.DUMMYFUNCTION("""COMPUTED_VALUE"""),"eas*****en0109@gmail.com")</f>
        <v>eas*****en0109@gmail.com</v>
      </c>
      <c r="E972" s="17" t="str">
        <f>IFERROR(__xludf.DUMMYFUNCTION("""COMPUTED_VALUE"""),"新竹市私立光復高級中學附設國中部")</f>
        <v>新竹市私立光復高級中學附設國中部</v>
      </c>
      <c r="F972" s="14" t="str">
        <f>IFERROR(__xludf.DUMMYFUNCTION("""COMPUTED_VALUE"""),"九年級")</f>
        <v>九年級</v>
      </c>
      <c r="G972" s="14" t="str">
        <f>IFERROR(__xludf.DUMMYFUNCTION("""COMPUTED_VALUE"""),"獎狀")</f>
        <v>獎狀</v>
      </c>
      <c r="H972" s="8"/>
    </row>
    <row r="973">
      <c r="A973" s="18"/>
      <c r="B973" s="14">
        <f>IFERROR(__xludf.DUMMYFUNCTION("""COMPUTED_VALUE"""),582375.0)</f>
        <v>582375</v>
      </c>
      <c r="C973" s="14" t="str">
        <f>IFERROR(__xludf.DUMMYFUNCTION("""COMPUTED_VALUE"""),"洪苡睿")</f>
        <v>洪苡睿</v>
      </c>
      <c r="D973" s="16" t="str">
        <f>IFERROR(__xludf.DUMMYFUNCTION("""COMPUTED_VALUE"""),"kfs*****@kfsh.hc.edu.tw")</f>
        <v>kfs*****@kfsh.hc.edu.tw</v>
      </c>
      <c r="E973" s="17" t="str">
        <f>IFERROR(__xludf.DUMMYFUNCTION("""COMPUTED_VALUE"""),"新竹市私立光復高級中學附設國中部")</f>
        <v>新竹市私立光復高級中學附設國中部</v>
      </c>
      <c r="F973" s="14" t="str">
        <f>IFERROR(__xludf.DUMMYFUNCTION("""COMPUTED_VALUE"""),"九年級")</f>
        <v>九年級</v>
      </c>
      <c r="G973" s="14" t="str">
        <f>IFERROR(__xludf.DUMMYFUNCTION("""COMPUTED_VALUE"""),"●小禮物")</f>
        <v>●小禮物</v>
      </c>
      <c r="H973" s="8"/>
    </row>
    <row r="974">
      <c r="A974" s="18"/>
      <c r="B974" s="14">
        <f>IFERROR(__xludf.DUMMYFUNCTION("""COMPUTED_VALUE"""),986342.0)</f>
        <v>986342</v>
      </c>
      <c r="C974" s="14" t="str">
        <f>IFERROR(__xludf.DUMMYFUNCTION("""COMPUTED_VALUE"""),"彭梓為")</f>
        <v>彭梓為</v>
      </c>
      <c r="D974" s="16" t="str">
        <f>IFERROR(__xludf.DUMMYFUNCTION("""COMPUTED_VALUE"""),"kfs*****@kfsh.hc.edu.tw")</f>
        <v>kfs*****@kfsh.hc.edu.tw</v>
      </c>
      <c r="E974" s="17" t="str">
        <f>IFERROR(__xludf.DUMMYFUNCTION("""COMPUTED_VALUE"""),"新竹市私立光復高級中學附設國中部")</f>
        <v>新竹市私立光復高級中學附設國中部</v>
      </c>
      <c r="F974" s="14" t="str">
        <f>IFERROR(__xludf.DUMMYFUNCTION("""COMPUTED_VALUE"""),"九年級")</f>
        <v>九年級</v>
      </c>
      <c r="G974" s="14" t="str">
        <f>IFERROR(__xludf.DUMMYFUNCTION("""COMPUTED_VALUE"""),"●小禮物")</f>
        <v>●小禮物</v>
      </c>
      <c r="H974" s="8"/>
    </row>
    <row r="975">
      <c r="A975" s="18"/>
      <c r="B975" s="14">
        <f>IFERROR(__xludf.DUMMYFUNCTION("""COMPUTED_VALUE"""),1208247.0)</f>
        <v>1208247</v>
      </c>
      <c r="C975" s="14" t="str">
        <f>IFERROR(__xludf.DUMMYFUNCTION("""COMPUTED_VALUE"""),"吳東叡")</f>
        <v>吳東叡</v>
      </c>
      <c r="D975" s="16" t="str">
        <f>IFERROR(__xludf.DUMMYFUNCTION("""COMPUTED_VALUE"""),"kfs*****@kfsh.hc.edu.tw")</f>
        <v>kfs*****@kfsh.hc.edu.tw</v>
      </c>
      <c r="E975" s="17" t="str">
        <f>IFERROR(__xludf.DUMMYFUNCTION("""COMPUTED_VALUE"""),"新竹市私立光復高級中學附設國中部")</f>
        <v>新竹市私立光復高級中學附設國中部</v>
      </c>
      <c r="F975" s="14" t="str">
        <f>IFERROR(__xludf.DUMMYFUNCTION("""COMPUTED_VALUE"""),"九年級")</f>
        <v>九年級</v>
      </c>
      <c r="G975" s="14" t="str">
        <f>IFERROR(__xludf.DUMMYFUNCTION("""COMPUTED_VALUE"""),"獎狀")</f>
        <v>獎狀</v>
      </c>
      <c r="H975" s="8"/>
    </row>
    <row r="976">
      <c r="A976" s="18"/>
      <c r="B976" s="14">
        <f>IFERROR(__xludf.DUMMYFUNCTION("""COMPUTED_VALUE"""),1213883.0)</f>
        <v>1213883</v>
      </c>
      <c r="C976" s="14" t="str">
        <f>IFERROR(__xludf.DUMMYFUNCTION("""COMPUTED_VALUE"""),"黃盺喨")</f>
        <v>黃盺喨</v>
      </c>
      <c r="D976" s="16" t="str">
        <f>IFERROR(__xludf.DUMMYFUNCTION("""COMPUTED_VALUE"""),"kfs*****@kfsh.hc.edu.tw")</f>
        <v>kfs*****@kfsh.hc.edu.tw</v>
      </c>
      <c r="E976" s="17" t="str">
        <f>IFERROR(__xludf.DUMMYFUNCTION("""COMPUTED_VALUE"""),"新竹市私立光復高級中學附設國中部")</f>
        <v>新竹市私立光復高級中學附設國中部</v>
      </c>
      <c r="F976" s="14" t="str">
        <f>IFERROR(__xludf.DUMMYFUNCTION("""COMPUTED_VALUE"""),"九年級")</f>
        <v>九年級</v>
      </c>
      <c r="G976" s="14" t="str">
        <f>IFERROR(__xludf.DUMMYFUNCTION("""COMPUTED_VALUE"""),"獎狀")</f>
        <v>獎狀</v>
      </c>
      <c r="H976" s="8"/>
    </row>
    <row r="977">
      <c r="A977" s="18"/>
      <c r="B977" s="14">
        <f>IFERROR(__xludf.DUMMYFUNCTION("""COMPUTED_VALUE"""),1212472.0)</f>
        <v>1212472</v>
      </c>
      <c r="C977" s="14" t="str">
        <f>IFERROR(__xludf.DUMMYFUNCTION("""COMPUTED_VALUE"""),"錢沛謙")</f>
        <v>錢沛謙</v>
      </c>
      <c r="D977" s="16" t="str">
        <f>IFERROR(__xludf.DUMMYFUNCTION("""COMPUTED_VALUE"""),"kfs*****@kfsh.hc.edu.tw")</f>
        <v>kfs*****@kfsh.hc.edu.tw</v>
      </c>
      <c r="E977" s="17" t="str">
        <f>IFERROR(__xludf.DUMMYFUNCTION("""COMPUTED_VALUE"""),"新竹市私立光復高級中學附設國中部")</f>
        <v>新竹市私立光復高級中學附設國中部</v>
      </c>
      <c r="F977" s="14" t="str">
        <f>IFERROR(__xludf.DUMMYFUNCTION("""COMPUTED_VALUE"""),"九年級")</f>
        <v>九年級</v>
      </c>
      <c r="G977" s="14" t="str">
        <f>IFERROR(__xludf.DUMMYFUNCTION("""COMPUTED_VALUE"""),"獎狀")</f>
        <v>獎狀</v>
      </c>
      <c r="H977" s="8"/>
    </row>
    <row r="978">
      <c r="A978" s="18"/>
      <c r="B978" s="14">
        <f>IFERROR(__xludf.DUMMYFUNCTION("""COMPUTED_VALUE"""),463151.0)</f>
        <v>463151</v>
      </c>
      <c r="C978" s="14" t="str">
        <f>IFERROR(__xludf.DUMMYFUNCTION("""COMPUTED_VALUE"""),"曾睿竹")</f>
        <v>曾睿竹</v>
      </c>
      <c r="D978" s="16" t="str">
        <f>IFERROR(__xludf.DUMMYFUNCTION("""COMPUTED_VALUE"""),"ren*****ng98@gmail.com")</f>
        <v>ren*****ng98@gmail.com</v>
      </c>
      <c r="E978" s="17" t="str">
        <f>IFERROR(__xludf.DUMMYFUNCTION("""COMPUTED_VALUE"""),"新竹市私立光復高級中學附設國中部")</f>
        <v>新竹市私立光復高級中學附設國中部</v>
      </c>
      <c r="F978" s="14" t="str">
        <f>IFERROR(__xludf.DUMMYFUNCTION("""COMPUTED_VALUE"""),"九年級")</f>
        <v>九年級</v>
      </c>
      <c r="G978" s="14" t="str">
        <f>IFERROR(__xludf.DUMMYFUNCTION("""COMPUTED_VALUE"""),"●小禮物")</f>
        <v>●小禮物</v>
      </c>
      <c r="H978" s="8"/>
    </row>
    <row r="979">
      <c r="A979" s="18"/>
      <c r="B979" s="14">
        <f>IFERROR(__xludf.DUMMYFUNCTION("""COMPUTED_VALUE"""),1189992.0)</f>
        <v>1189992</v>
      </c>
      <c r="C979" s="14" t="str">
        <f>IFERROR(__xludf.DUMMYFUNCTION("""COMPUTED_VALUE"""),"李哲宇")</f>
        <v>李哲宇</v>
      </c>
      <c r="D979" s="16" t="str">
        <f>IFERROR(__xludf.DUMMYFUNCTION("""COMPUTED_VALUE"""),"kfs*****@kfsh.hc.edu.tw")</f>
        <v>kfs*****@kfsh.hc.edu.tw</v>
      </c>
      <c r="E979" s="17" t="str">
        <f>IFERROR(__xludf.DUMMYFUNCTION("""COMPUTED_VALUE"""),"新竹市私立光復高級中學附設國中部")</f>
        <v>新竹市私立光復高級中學附設國中部</v>
      </c>
      <c r="F979" s="14" t="str">
        <f>IFERROR(__xludf.DUMMYFUNCTION("""COMPUTED_VALUE"""),"九年級")</f>
        <v>九年級</v>
      </c>
      <c r="G979" s="14" t="str">
        <f>IFERROR(__xludf.DUMMYFUNCTION("""COMPUTED_VALUE"""),"●小禮物")</f>
        <v>●小禮物</v>
      </c>
      <c r="H979" s="8"/>
    </row>
    <row r="980">
      <c r="A980" s="18"/>
      <c r="B980" s="14">
        <f>IFERROR(__xludf.DUMMYFUNCTION("""COMPUTED_VALUE"""),959114.0)</f>
        <v>959114</v>
      </c>
      <c r="C980" s="14" t="str">
        <f>IFERROR(__xludf.DUMMYFUNCTION("""COMPUTED_VALUE"""),"陳宥嘉")</f>
        <v>陳宥嘉</v>
      </c>
      <c r="D980" s="16" t="str">
        <f>IFERROR(__xludf.DUMMYFUNCTION("""COMPUTED_VALUE"""),"wes*****947809@gmail.com")</f>
        <v>wes*****947809@gmail.com</v>
      </c>
      <c r="E980" s="17" t="str">
        <f>IFERROR(__xludf.DUMMYFUNCTION("""COMPUTED_VALUE"""),"新竹市私立光復高級中學附設國中部")</f>
        <v>新竹市私立光復高級中學附設國中部</v>
      </c>
      <c r="F980" s="14" t="str">
        <f>IFERROR(__xludf.DUMMYFUNCTION("""COMPUTED_VALUE"""),"九年級")</f>
        <v>九年級</v>
      </c>
      <c r="G980" s="14" t="str">
        <f>IFERROR(__xludf.DUMMYFUNCTION("""COMPUTED_VALUE"""),"●小禮物")</f>
        <v>●小禮物</v>
      </c>
      <c r="H980" s="8"/>
    </row>
    <row r="981">
      <c r="A981" s="18"/>
      <c r="B981" s="14">
        <f>IFERROR(__xludf.DUMMYFUNCTION("""COMPUTED_VALUE"""),959124.0)</f>
        <v>959124</v>
      </c>
      <c r="C981" s="14" t="str">
        <f>IFERROR(__xludf.DUMMYFUNCTION("""COMPUTED_VALUE"""),"彭宥庭")</f>
        <v>彭宥庭</v>
      </c>
      <c r="D981" s="16" t="str">
        <f>IFERROR(__xludf.DUMMYFUNCTION("""COMPUTED_VALUE"""),"kfs*****@kfsh.hc.edu.tw")</f>
        <v>kfs*****@kfsh.hc.edu.tw</v>
      </c>
      <c r="E981" s="17" t="str">
        <f>IFERROR(__xludf.DUMMYFUNCTION("""COMPUTED_VALUE"""),"新竹市私立光復高級中學附設國中部")</f>
        <v>新竹市私立光復高級中學附設國中部</v>
      </c>
      <c r="F981" s="14" t="str">
        <f>IFERROR(__xludf.DUMMYFUNCTION("""COMPUTED_VALUE"""),"九年級")</f>
        <v>九年級</v>
      </c>
      <c r="G981" s="14" t="str">
        <f>IFERROR(__xludf.DUMMYFUNCTION("""COMPUTED_VALUE"""),"●小禮物")</f>
        <v>●小禮物</v>
      </c>
      <c r="H981" s="8"/>
    </row>
    <row r="982">
      <c r="A982" s="18"/>
      <c r="B982" s="14">
        <f>IFERROR(__xludf.DUMMYFUNCTION("""COMPUTED_VALUE"""),463142.0)</f>
        <v>463142</v>
      </c>
      <c r="C982" s="14" t="str">
        <f>IFERROR(__xludf.DUMMYFUNCTION("""COMPUTED_VALUE"""),"姜沁妤")</f>
        <v>姜沁妤</v>
      </c>
      <c r="D982" s="16" t="str">
        <f>IFERROR(__xludf.DUMMYFUNCTION("""COMPUTED_VALUE"""),"mif*****ang@hotmail.com")</f>
        <v>mif*****ang@hotmail.com</v>
      </c>
      <c r="E982" s="17" t="str">
        <f>IFERROR(__xludf.DUMMYFUNCTION("""COMPUTED_VALUE"""),"新竹市私立光復高級中學附設國中部")</f>
        <v>新竹市私立光復高級中學附設國中部</v>
      </c>
      <c r="F982" s="14" t="str">
        <f>IFERROR(__xludf.DUMMYFUNCTION("""COMPUTED_VALUE"""),"九年級")</f>
        <v>九年級</v>
      </c>
      <c r="G982" s="14" t="str">
        <f>IFERROR(__xludf.DUMMYFUNCTION("""COMPUTED_VALUE"""),"獎狀")</f>
        <v>獎狀</v>
      </c>
      <c r="H982" s="8"/>
    </row>
    <row r="983">
      <c r="A983" s="18"/>
      <c r="B983" s="14">
        <f>IFERROR(__xludf.DUMMYFUNCTION("""COMPUTED_VALUE"""),1189991.0)</f>
        <v>1189991</v>
      </c>
      <c r="C983" s="14" t="str">
        <f>IFERROR(__xludf.DUMMYFUNCTION("""COMPUTED_VALUE"""),"彭琪達")</f>
        <v>彭琪達</v>
      </c>
      <c r="D983" s="16" t="str">
        <f>IFERROR(__xludf.DUMMYFUNCTION("""COMPUTED_VALUE"""),"kfs*****@kfsh.hc.edu.tw")</f>
        <v>kfs*****@kfsh.hc.edu.tw</v>
      </c>
      <c r="E983" s="17" t="str">
        <f>IFERROR(__xludf.DUMMYFUNCTION("""COMPUTED_VALUE"""),"新竹市私立光復高級中學附設國中部")</f>
        <v>新竹市私立光復高級中學附設國中部</v>
      </c>
      <c r="F983" s="14" t="str">
        <f>IFERROR(__xludf.DUMMYFUNCTION("""COMPUTED_VALUE"""),"九年級")</f>
        <v>九年級</v>
      </c>
      <c r="G983" s="14" t="str">
        <f>IFERROR(__xludf.DUMMYFUNCTION("""COMPUTED_VALUE"""),"獎狀")</f>
        <v>獎狀</v>
      </c>
      <c r="H983" s="8"/>
    </row>
    <row r="984">
      <c r="A984" s="18"/>
      <c r="B984" s="14">
        <f>IFERROR(__xludf.DUMMYFUNCTION("""COMPUTED_VALUE"""),463145.0)</f>
        <v>463145</v>
      </c>
      <c r="C984" s="14" t="str">
        <f>IFERROR(__xludf.DUMMYFUNCTION("""COMPUTED_VALUE"""),"楊承皓")</f>
        <v>楊承皓</v>
      </c>
      <c r="D984" s="16" t="str">
        <f>IFERROR(__xludf.DUMMYFUNCTION("""COMPUTED_VALUE"""),"aus*****ng961019@gmail.com")</f>
        <v>aus*****ng961019@gmail.com</v>
      </c>
      <c r="E984" s="17" t="str">
        <f>IFERROR(__xludf.DUMMYFUNCTION("""COMPUTED_VALUE"""),"新竹市私立光復高級中學附設國中部")</f>
        <v>新竹市私立光復高級中學附設國中部</v>
      </c>
      <c r="F984" s="14" t="str">
        <f>IFERROR(__xludf.DUMMYFUNCTION("""COMPUTED_VALUE"""),"九年級")</f>
        <v>九年級</v>
      </c>
      <c r="G984" s="14" t="str">
        <f>IFERROR(__xludf.DUMMYFUNCTION("""COMPUTED_VALUE"""),"獎狀")</f>
        <v>獎狀</v>
      </c>
      <c r="H984" s="8"/>
    </row>
    <row r="985">
      <c r="A985" s="18"/>
      <c r="B985" s="14">
        <f>IFERROR(__xludf.DUMMYFUNCTION("""COMPUTED_VALUE"""),1189994.0)</f>
        <v>1189994</v>
      </c>
      <c r="C985" s="14" t="str">
        <f>IFERROR(__xludf.DUMMYFUNCTION("""COMPUTED_VALUE"""),"劉怡均")</f>
        <v>劉怡均</v>
      </c>
      <c r="D985" s="16" t="str">
        <f>IFERROR(__xludf.DUMMYFUNCTION("""COMPUTED_VALUE"""),"kfs*****@kfsh.hc.edu.tw")</f>
        <v>kfs*****@kfsh.hc.edu.tw</v>
      </c>
      <c r="E985" s="17" t="str">
        <f>IFERROR(__xludf.DUMMYFUNCTION("""COMPUTED_VALUE"""),"新竹市私立光復高級中學附設國中部")</f>
        <v>新竹市私立光復高級中學附設國中部</v>
      </c>
      <c r="F985" s="14" t="str">
        <f>IFERROR(__xludf.DUMMYFUNCTION("""COMPUTED_VALUE"""),"九年級")</f>
        <v>九年級</v>
      </c>
      <c r="G985" s="14" t="str">
        <f>IFERROR(__xludf.DUMMYFUNCTION("""COMPUTED_VALUE"""),"獎狀")</f>
        <v>獎狀</v>
      </c>
      <c r="H985" s="8"/>
    </row>
    <row r="986">
      <c r="A986" s="18"/>
      <c r="B986" s="14">
        <f>IFERROR(__xludf.DUMMYFUNCTION("""COMPUTED_VALUE"""),1192151.0)</f>
        <v>1192151</v>
      </c>
      <c r="C986" s="14" t="str">
        <f>IFERROR(__xludf.DUMMYFUNCTION("""COMPUTED_VALUE"""),"謝沁嗯")</f>
        <v>謝沁嗯</v>
      </c>
      <c r="D986" s="16" t="str">
        <f>IFERROR(__xludf.DUMMYFUNCTION("""COMPUTED_VALUE"""),"kfs*****@kfsh.hc.edu.tw")</f>
        <v>kfs*****@kfsh.hc.edu.tw</v>
      </c>
      <c r="E986" s="17" t="str">
        <f>IFERROR(__xludf.DUMMYFUNCTION("""COMPUTED_VALUE"""),"新竹市私立光復高級中學附設國中部")</f>
        <v>新竹市私立光復高級中學附設國中部</v>
      </c>
      <c r="F986" s="14" t="str">
        <f>IFERROR(__xludf.DUMMYFUNCTION("""COMPUTED_VALUE"""),"九年級")</f>
        <v>九年級</v>
      </c>
      <c r="G986" s="14" t="str">
        <f>IFERROR(__xludf.DUMMYFUNCTION("""COMPUTED_VALUE"""),"獎狀")</f>
        <v>獎狀</v>
      </c>
      <c r="H986" s="8"/>
    </row>
    <row r="987">
      <c r="A987" s="18"/>
      <c r="B987" s="14">
        <f>IFERROR(__xludf.DUMMYFUNCTION("""COMPUTED_VALUE"""),463156.0)</f>
        <v>463156</v>
      </c>
      <c r="C987" s="14" t="str">
        <f>IFERROR(__xludf.DUMMYFUNCTION("""COMPUTED_VALUE"""),"謝昇羿")</f>
        <v>謝昇羿</v>
      </c>
      <c r="D987" s="16" t="str">
        <f>IFERROR(__xludf.DUMMYFUNCTION("""COMPUTED_VALUE"""),"joe*****@smail.hc.edu.tw")</f>
        <v>joe*****@smail.hc.edu.tw</v>
      </c>
      <c r="E987" s="17" t="str">
        <f>IFERROR(__xludf.DUMMYFUNCTION("""COMPUTED_VALUE"""),"新竹市私立光復高級中學附設國中部")</f>
        <v>新竹市私立光復高級中學附設國中部</v>
      </c>
      <c r="F987" s="14" t="str">
        <f>IFERROR(__xludf.DUMMYFUNCTION("""COMPUTED_VALUE"""),"九年級")</f>
        <v>九年級</v>
      </c>
      <c r="G987" s="14" t="str">
        <f>IFERROR(__xludf.DUMMYFUNCTION("""COMPUTED_VALUE"""),"獎狀")</f>
        <v>獎狀</v>
      </c>
      <c r="H987" s="8"/>
    </row>
    <row r="988">
      <c r="A988" s="18"/>
      <c r="B988" s="14">
        <f>IFERROR(__xludf.DUMMYFUNCTION("""COMPUTED_VALUE"""),970618.0)</f>
        <v>970618</v>
      </c>
      <c r="C988" s="14" t="str">
        <f>IFERROR(__xludf.DUMMYFUNCTION("""COMPUTED_VALUE"""),"楊欣亭")</f>
        <v>楊欣亭</v>
      </c>
      <c r="D988" s="16" t="str">
        <f>IFERROR(__xludf.DUMMYFUNCTION("""COMPUTED_VALUE"""),"tin*****1@gmail.com")</f>
        <v>tin*****1@gmail.com</v>
      </c>
      <c r="E988" s="17" t="str">
        <f>IFERROR(__xludf.DUMMYFUNCTION("""COMPUTED_VALUE"""),"新竹市立三民國民中學")</f>
        <v>新竹市立三民國民中學</v>
      </c>
      <c r="F988" s="14" t="str">
        <f>IFERROR(__xludf.DUMMYFUNCTION("""COMPUTED_VALUE"""),"七年級")</f>
        <v>七年級</v>
      </c>
      <c r="G988" s="14" t="str">
        <f>IFERROR(__xludf.DUMMYFUNCTION("""COMPUTED_VALUE"""),"●小禮物")</f>
        <v>●小禮物</v>
      </c>
      <c r="H988" s="8"/>
    </row>
    <row r="989">
      <c r="A989" s="18"/>
      <c r="B989" s="14">
        <f>IFERROR(__xludf.DUMMYFUNCTION("""COMPUTED_VALUE"""),760232.0)</f>
        <v>760232</v>
      </c>
      <c r="C989" s="14" t="str">
        <f>IFERROR(__xludf.DUMMYFUNCTION("""COMPUTED_VALUE"""),"詹子瑩")</f>
        <v>詹子瑩</v>
      </c>
      <c r="D989" s="16" t="str">
        <f>IFERROR(__xludf.DUMMYFUNCTION("""COMPUTED_VALUE"""),"joa*****a@gmail.com")</f>
        <v>joa*****a@gmail.com</v>
      </c>
      <c r="E989" s="17" t="str">
        <f>IFERROR(__xludf.DUMMYFUNCTION("""COMPUTED_VALUE"""),"新竹市立三民國民中學")</f>
        <v>新竹市立三民國民中學</v>
      </c>
      <c r="F989" s="14" t="str">
        <f>IFERROR(__xludf.DUMMYFUNCTION("""COMPUTED_VALUE"""),"七年級")</f>
        <v>七年級</v>
      </c>
      <c r="G989" s="14" t="str">
        <f>IFERROR(__xludf.DUMMYFUNCTION("""COMPUTED_VALUE"""),"獎狀")</f>
        <v>獎狀</v>
      </c>
      <c r="H989" s="8"/>
    </row>
    <row r="990">
      <c r="A990" s="18"/>
      <c r="B990" s="14">
        <f>IFERROR(__xludf.DUMMYFUNCTION("""COMPUTED_VALUE"""),1187075.0)</f>
        <v>1187075</v>
      </c>
      <c r="C990" s="14" t="str">
        <f>IFERROR(__xludf.DUMMYFUNCTION("""COMPUTED_VALUE"""),"莊丞毅")</f>
        <v>莊丞毅</v>
      </c>
      <c r="D990" s="16" t="str">
        <f>IFERROR(__xludf.DUMMYFUNCTION("""COMPUTED_VALUE"""),"111*****mjh.hc.edu.tw")</f>
        <v>111*****mjh.hc.edu.tw</v>
      </c>
      <c r="E990" s="17" t="str">
        <f>IFERROR(__xludf.DUMMYFUNCTION("""COMPUTED_VALUE"""),"新竹市立三民國民中學")</f>
        <v>新竹市立三民國民中學</v>
      </c>
      <c r="F990" s="14" t="str">
        <f>IFERROR(__xludf.DUMMYFUNCTION("""COMPUTED_VALUE"""),"七年級")</f>
        <v>七年級</v>
      </c>
      <c r="G990" s="14" t="str">
        <f>IFERROR(__xludf.DUMMYFUNCTION("""COMPUTED_VALUE"""),"●小禮物")</f>
        <v>●小禮物</v>
      </c>
      <c r="H990" s="8"/>
    </row>
    <row r="991">
      <c r="A991" s="18"/>
      <c r="B991" s="14">
        <f>IFERROR(__xludf.DUMMYFUNCTION("""COMPUTED_VALUE"""),711539.0)</f>
        <v>711539</v>
      </c>
      <c r="C991" s="14" t="str">
        <f>IFERROR(__xludf.DUMMYFUNCTION("""COMPUTED_VALUE"""),"何承蔚")</f>
        <v>何承蔚</v>
      </c>
      <c r="D991" s="16" t="str">
        <f>IFERROR(__xludf.DUMMYFUNCTION("""COMPUTED_VALUE"""),"cla*****u99@gmail.com")</f>
        <v>cla*****u99@gmail.com</v>
      </c>
      <c r="E991" s="17" t="str">
        <f>IFERROR(__xludf.DUMMYFUNCTION("""COMPUTED_VALUE"""),"新竹市立三民國民中學")</f>
        <v>新竹市立三民國民中學</v>
      </c>
      <c r="F991" s="14" t="str">
        <f>IFERROR(__xludf.DUMMYFUNCTION("""COMPUTED_VALUE"""),"八年級")</f>
        <v>八年級</v>
      </c>
      <c r="G991" s="14" t="str">
        <f>IFERROR(__xludf.DUMMYFUNCTION("""COMPUTED_VALUE"""),"獎狀")</f>
        <v>獎狀</v>
      </c>
      <c r="H991" s="8"/>
    </row>
    <row r="992">
      <c r="A992" s="18"/>
      <c r="B992" s="14">
        <f>IFERROR(__xludf.DUMMYFUNCTION("""COMPUTED_VALUE"""),517250.0)</f>
        <v>517250</v>
      </c>
      <c r="C992" s="14" t="str">
        <f>IFERROR(__xludf.DUMMYFUNCTION("""COMPUTED_VALUE"""),"林真言")</f>
        <v>林真言</v>
      </c>
      <c r="D992" s="16" t="str">
        <f>IFERROR(__xludf.DUMMYFUNCTION("""COMPUTED_VALUE"""),"109*****mjh.hc.edu.tw")</f>
        <v>109*****mjh.hc.edu.tw</v>
      </c>
      <c r="E992" s="17" t="str">
        <f>IFERROR(__xludf.DUMMYFUNCTION("""COMPUTED_VALUE"""),"新竹市立三民國民中學")</f>
        <v>新竹市立三民國民中學</v>
      </c>
      <c r="F992" s="14" t="str">
        <f>IFERROR(__xludf.DUMMYFUNCTION("""COMPUTED_VALUE"""),"九年級")</f>
        <v>九年級</v>
      </c>
      <c r="G992" s="14" t="str">
        <f>IFERROR(__xludf.DUMMYFUNCTION("""COMPUTED_VALUE"""),"●小禮物")</f>
        <v>●小禮物</v>
      </c>
      <c r="H992" s="8"/>
    </row>
    <row r="993">
      <c r="A993" s="18"/>
      <c r="B993" s="14">
        <f>IFERROR(__xludf.DUMMYFUNCTION("""COMPUTED_VALUE"""),508101.0)</f>
        <v>508101</v>
      </c>
      <c r="C993" s="14" t="str">
        <f>IFERROR(__xludf.DUMMYFUNCTION("""COMPUTED_VALUE"""),"林沛錞")</f>
        <v>林沛錞</v>
      </c>
      <c r="D993" s="16" t="str">
        <f>IFERROR(__xludf.DUMMYFUNCTION("""COMPUTED_VALUE"""),"109*****mjh.hc.edu.tw")</f>
        <v>109*****mjh.hc.edu.tw</v>
      </c>
      <c r="E993" s="17" t="str">
        <f>IFERROR(__xludf.DUMMYFUNCTION("""COMPUTED_VALUE"""),"新竹市立三民國民中學")</f>
        <v>新竹市立三民國民中學</v>
      </c>
      <c r="F993" s="14" t="str">
        <f>IFERROR(__xludf.DUMMYFUNCTION("""COMPUTED_VALUE"""),"九年級")</f>
        <v>九年級</v>
      </c>
      <c r="G993" s="14" t="str">
        <f>IFERROR(__xludf.DUMMYFUNCTION("""COMPUTED_VALUE"""),"●小禮物")</f>
        <v>●小禮物</v>
      </c>
      <c r="H993" s="8"/>
    </row>
    <row r="994">
      <c r="A994" s="18"/>
      <c r="B994" s="14">
        <f>IFERROR(__xludf.DUMMYFUNCTION("""COMPUTED_VALUE"""),744161.0)</f>
        <v>744161</v>
      </c>
      <c r="C994" s="14" t="str">
        <f>IFERROR(__xludf.DUMMYFUNCTION("""COMPUTED_VALUE"""),"劉科宏")</f>
        <v>劉科宏</v>
      </c>
      <c r="D994" s="16" t="str">
        <f>IFERROR(__xludf.DUMMYFUNCTION("""COMPUTED_VALUE"""),"109*****mjh.hc.edu.tw")</f>
        <v>109*****mjh.hc.edu.tw</v>
      </c>
      <c r="E994" s="17" t="str">
        <f>IFERROR(__xludf.DUMMYFUNCTION("""COMPUTED_VALUE"""),"新竹市立三民國民中學")</f>
        <v>新竹市立三民國民中學</v>
      </c>
      <c r="F994" s="14" t="str">
        <f>IFERROR(__xludf.DUMMYFUNCTION("""COMPUTED_VALUE"""),"九年級")</f>
        <v>九年級</v>
      </c>
      <c r="G994" s="14" t="str">
        <f>IFERROR(__xludf.DUMMYFUNCTION("""COMPUTED_VALUE"""),"獎狀")</f>
        <v>獎狀</v>
      </c>
      <c r="H994" s="8"/>
    </row>
    <row r="995">
      <c r="A995" s="18"/>
      <c r="B995" s="14">
        <f>IFERROR(__xludf.DUMMYFUNCTION("""COMPUTED_VALUE"""),345052.0)</f>
        <v>345052</v>
      </c>
      <c r="C995" s="14" t="str">
        <f>IFERROR(__xludf.DUMMYFUNCTION("""COMPUTED_VALUE"""),"黃沛涵")</f>
        <v>黃沛涵</v>
      </c>
      <c r="D995" s="16" t="str">
        <f>IFERROR(__xludf.DUMMYFUNCTION("""COMPUTED_VALUE"""),"kit*****8.hc@mail.edu.tw")</f>
        <v>kit*****8.hc@mail.edu.tw</v>
      </c>
      <c r="E995" s="17" t="str">
        <f>IFERROR(__xludf.DUMMYFUNCTION("""COMPUTED_VALUE"""),"新竹市立三民國民中學")</f>
        <v>新竹市立三民國民中學</v>
      </c>
      <c r="F995" s="14" t="str">
        <f>IFERROR(__xludf.DUMMYFUNCTION("""COMPUTED_VALUE"""),"九年級")</f>
        <v>九年級</v>
      </c>
      <c r="G995" s="14" t="str">
        <f>IFERROR(__xludf.DUMMYFUNCTION("""COMPUTED_VALUE"""),"●小禮物")</f>
        <v>●小禮物</v>
      </c>
      <c r="H995" s="8"/>
    </row>
    <row r="996">
      <c r="A996" s="18"/>
      <c r="B996" s="14">
        <f>IFERROR(__xludf.DUMMYFUNCTION("""COMPUTED_VALUE"""),484144.0)</f>
        <v>484144</v>
      </c>
      <c r="C996" s="14" t="str">
        <f>IFERROR(__xludf.DUMMYFUNCTION("""COMPUTED_VALUE"""),"劉忻宸")</f>
        <v>劉忻宸</v>
      </c>
      <c r="D996" s="16" t="str">
        <f>IFERROR(__xludf.DUMMYFUNCTION("""COMPUTED_VALUE"""),"ali*****6.hc@mail.edu.tw")</f>
        <v>ali*****6.hc@mail.edu.tw</v>
      </c>
      <c r="E996" s="17" t="str">
        <f>IFERROR(__xludf.DUMMYFUNCTION("""COMPUTED_VALUE"""),"新竹市立育賢國民中學")</f>
        <v>新竹市立育賢國民中學</v>
      </c>
      <c r="F996" s="14" t="str">
        <f>IFERROR(__xludf.DUMMYFUNCTION("""COMPUTED_VALUE"""),"七年級")</f>
        <v>七年級</v>
      </c>
      <c r="G996" s="14" t="str">
        <f>IFERROR(__xludf.DUMMYFUNCTION("""COMPUTED_VALUE"""),"獎狀")</f>
        <v>獎狀</v>
      </c>
      <c r="H996" s="8"/>
    </row>
    <row r="997">
      <c r="A997" s="18"/>
      <c r="B997" s="14">
        <f>IFERROR(__xludf.DUMMYFUNCTION("""COMPUTED_VALUE"""),746689.0)</f>
        <v>746689</v>
      </c>
      <c r="C997" s="14" t="str">
        <f>IFERROR(__xludf.DUMMYFUNCTION("""COMPUTED_VALUE"""),"黃于晏")</f>
        <v>黃于晏</v>
      </c>
      <c r="D997" s="16" t="str">
        <f>IFERROR(__xludf.DUMMYFUNCTION("""COMPUTED_VALUE"""),"toi*****lahuang@gmail.com")</f>
        <v>toi*****lahuang@gmail.com</v>
      </c>
      <c r="E997" s="17" t="str">
        <f>IFERROR(__xludf.DUMMYFUNCTION("""COMPUTED_VALUE"""),"新竹市立育賢國民中學")</f>
        <v>新竹市立育賢國民中學</v>
      </c>
      <c r="F997" s="14" t="str">
        <f>IFERROR(__xludf.DUMMYFUNCTION("""COMPUTED_VALUE"""),"八年級")</f>
        <v>八年級</v>
      </c>
      <c r="G997" s="14" t="str">
        <f>IFERROR(__xludf.DUMMYFUNCTION("""COMPUTED_VALUE"""),"★禮券$500")</f>
        <v>★禮券$500</v>
      </c>
      <c r="H997" s="8"/>
    </row>
    <row r="998">
      <c r="A998" s="18"/>
      <c r="B998" s="14">
        <f>IFERROR(__xludf.DUMMYFUNCTION("""COMPUTED_VALUE"""),1181371.0)</f>
        <v>1181371</v>
      </c>
      <c r="C998" s="14" t="str">
        <f>IFERROR(__xludf.DUMMYFUNCTION("""COMPUTED_VALUE"""),"謝青峰")</f>
        <v>謝青峰</v>
      </c>
      <c r="D998" s="16" t="str">
        <f>IFERROR(__xludf.DUMMYFUNCTION("""COMPUTED_VALUE"""),"chj*****0058@chjh.hc.edu.tw")</f>
        <v>chj*****0058@chjh.hc.edu.tw</v>
      </c>
      <c r="E998" s="17" t="str">
        <f>IFERROR(__xludf.DUMMYFUNCTION("""COMPUTED_VALUE"""),"新竹市立建華國民中學")</f>
        <v>新竹市立建華國民中學</v>
      </c>
      <c r="F998" s="14" t="str">
        <f>IFERROR(__xludf.DUMMYFUNCTION("""COMPUTED_VALUE"""),"八年級")</f>
        <v>八年級</v>
      </c>
      <c r="G998" s="14" t="str">
        <f>IFERROR(__xludf.DUMMYFUNCTION("""COMPUTED_VALUE"""),"獎狀")</f>
        <v>獎狀</v>
      </c>
      <c r="H998" s="8"/>
    </row>
    <row r="999">
      <c r="A999" s="18"/>
      <c r="B999" s="14">
        <f>IFERROR(__xludf.DUMMYFUNCTION("""COMPUTED_VALUE"""),1074357.0)</f>
        <v>1074357</v>
      </c>
      <c r="C999" s="14" t="str">
        <f>IFERROR(__xludf.DUMMYFUNCTION("""COMPUTED_VALUE"""),"曾意崴")</f>
        <v>曾意崴</v>
      </c>
      <c r="D999" s="16" t="str">
        <f>IFERROR(__xludf.DUMMYFUNCTION("""COMPUTED_VALUE"""),"wes*****62@smail.hc.edu.tw")</f>
        <v>wes*****62@smail.hc.edu.tw</v>
      </c>
      <c r="E999" s="17" t="str">
        <f>IFERROR(__xludf.DUMMYFUNCTION("""COMPUTED_VALUE"""),"新竹市立培英國民中學")</f>
        <v>新竹市立培英國民中學</v>
      </c>
      <c r="F999" s="14" t="str">
        <f>IFERROR(__xludf.DUMMYFUNCTION("""COMPUTED_VALUE"""),"七年級")</f>
        <v>七年級</v>
      </c>
      <c r="G999" s="14" t="str">
        <f>IFERROR(__xludf.DUMMYFUNCTION("""COMPUTED_VALUE"""),"●小禮物")</f>
        <v>●小禮物</v>
      </c>
      <c r="H999" s="8"/>
    </row>
    <row r="1000">
      <c r="A1000" s="18"/>
      <c r="B1000" s="14">
        <f>IFERROR(__xludf.DUMMYFUNCTION("""COMPUTED_VALUE"""),373737.0)</f>
        <v>373737</v>
      </c>
      <c r="C1000" s="14" t="str">
        <f>IFERROR(__xludf.DUMMYFUNCTION("""COMPUTED_VALUE"""),"馬時中")</f>
        <v>馬時中</v>
      </c>
      <c r="D1000" s="16" t="str">
        <f>IFERROR(__xludf.DUMMYFUNCTION("""COMPUTED_VALUE"""),"cod*****.hc@mail.edu.tw")</f>
        <v>cod*****.hc@mail.edu.tw</v>
      </c>
      <c r="E1000" s="17" t="str">
        <f>IFERROR(__xludf.DUMMYFUNCTION("""COMPUTED_VALUE"""),"新竹市立培英國民中學")</f>
        <v>新竹市立培英國民中學</v>
      </c>
      <c r="F1000" s="14" t="str">
        <f>IFERROR(__xludf.DUMMYFUNCTION("""COMPUTED_VALUE"""),"七年級")</f>
        <v>七年級</v>
      </c>
      <c r="G1000" s="14" t="str">
        <f>IFERROR(__xludf.DUMMYFUNCTION("""COMPUTED_VALUE"""),"●小禮物")</f>
        <v>●小禮物</v>
      </c>
      <c r="H1000" s="8"/>
    </row>
    <row r="1001">
      <c r="A1001" s="18"/>
      <c r="B1001" s="14">
        <f>IFERROR(__xludf.DUMMYFUNCTION("""COMPUTED_VALUE"""),321392.0)</f>
        <v>321392</v>
      </c>
      <c r="C1001" s="14" t="str">
        <f>IFERROR(__xludf.DUMMYFUNCTION("""COMPUTED_VALUE"""),"于子媛")</f>
        <v>于子媛</v>
      </c>
      <c r="D1001" s="16" t="str">
        <f>IFERROR(__xludf.DUMMYFUNCTION("""COMPUTED_VALUE"""),"ari*****3@smail.hc.edu.tw")</f>
        <v>ari*****3@smail.hc.edu.tw</v>
      </c>
      <c r="E1001" s="17" t="str">
        <f>IFERROR(__xludf.DUMMYFUNCTION("""COMPUTED_VALUE"""),"新竹市立培英國民中學")</f>
        <v>新竹市立培英國民中學</v>
      </c>
      <c r="F1001" s="14" t="str">
        <f>IFERROR(__xludf.DUMMYFUNCTION("""COMPUTED_VALUE"""),"七年級")</f>
        <v>七年級</v>
      </c>
      <c r="G1001" s="14" t="str">
        <f>IFERROR(__xludf.DUMMYFUNCTION("""COMPUTED_VALUE"""),"●小禮物")</f>
        <v>●小禮物</v>
      </c>
      <c r="H1001" s="8"/>
    </row>
    <row r="1002">
      <c r="A1002" s="18"/>
      <c r="B1002" s="14">
        <f>IFERROR(__xludf.DUMMYFUNCTION("""COMPUTED_VALUE"""),125179.0)</f>
        <v>125179</v>
      </c>
      <c r="C1002" s="14" t="str">
        <f>IFERROR(__xludf.DUMMYFUNCTION("""COMPUTED_VALUE"""),"廖浚亞")</f>
        <v>廖浚亞</v>
      </c>
      <c r="D1002" s="16" t="str">
        <f>IFERROR(__xludf.DUMMYFUNCTION("""COMPUTED_VALUE"""),"aal*****liao@gmail.com")</f>
        <v>aal*****liao@gmail.com</v>
      </c>
      <c r="E1002" s="17" t="str">
        <f>IFERROR(__xludf.DUMMYFUNCTION("""COMPUTED_VALUE"""),"新竹市立培英國民中學")</f>
        <v>新竹市立培英國民中學</v>
      </c>
      <c r="F1002" s="14" t="str">
        <f>IFERROR(__xludf.DUMMYFUNCTION("""COMPUTED_VALUE"""),"八年級")</f>
        <v>八年級</v>
      </c>
      <c r="G1002" s="14" t="str">
        <f>IFERROR(__xludf.DUMMYFUNCTION("""COMPUTED_VALUE"""),"●小禮物")</f>
        <v>●小禮物</v>
      </c>
      <c r="H1002" s="8"/>
    </row>
    <row r="1003">
      <c r="A1003" s="18"/>
      <c r="B1003" s="14">
        <f>IFERROR(__xludf.DUMMYFUNCTION("""COMPUTED_VALUE"""),741132.0)</f>
        <v>741132</v>
      </c>
      <c r="C1003" s="14" t="str">
        <f>IFERROR(__xludf.DUMMYFUNCTION("""COMPUTED_VALUE"""),"林子芸")</f>
        <v>林子芸</v>
      </c>
      <c r="D1003" s="16" t="str">
        <f>IFERROR(__xludf.DUMMYFUNCTION("""COMPUTED_VALUE"""),"nik*****@smail.hc.edu.tw")</f>
        <v>nik*****@smail.hc.edu.tw</v>
      </c>
      <c r="E1003" s="17" t="str">
        <f>IFERROR(__xludf.DUMMYFUNCTION("""COMPUTED_VALUE"""),"新竹市立培英國民中學")</f>
        <v>新竹市立培英國民中學</v>
      </c>
      <c r="F1003" s="14" t="str">
        <f>IFERROR(__xludf.DUMMYFUNCTION("""COMPUTED_VALUE"""),"九年級")</f>
        <v>九年級</v>
      </c>
      <c r="G1003" s="14" t="str">
        <f>IFERROR(__xludf.DUMMYFUNCTION("""COMPUTED_VALUE"""),"●小禮物")</f>
        <v>●小禮物</v>
      </c>
      <c r="H1003" s="8"/>
    </row>
    <row r="1004">
      <c r="A1004" s="18"/>
      <c r="B1004" s="14">
        <f>IFERROR(__xludf.DUMMYFUNCTION("""COMPUTED_VALUE"""),758121.0)</f>
        <v>758121</v>
      </c>
      <c r="C1004" s="14" t="str">
        <f>IFERROR(__xludf.DUMMYFUNCTION("""COMPUTED_VALUE"""),"楊昕妮")</f>
        <v>楊昕妮</v>
      </c>
      <c r="D1004" s="16" t="str">
        <f>IFERROR(__xludf.DUMMYFUNCTION("""COMPUTED_VALUE"""),"amy*****66@gmail.com")</f>
        <v>amy*****66@gmail.com</v>
      </c>
      <c r="E1004" s="17" t="str">
        <f>IFERROR(__xludf.DUMMYFUNCTION("""COMPUTED_VALUE"""),"新竹市立虎林國民中學")</f>
        <v>新竹市立虎林國民中學</v>
      </c>
      <c r="F1004" s="14" t="str">
        <f>IFERROR(__xludf.DUMMYFUNCTION("""COMPUTED_VALUE"""),"八年級")</f>
        <v>八年級</v>
      </c>
      <c r="G1004" s="14" t="str">
        <f>IFERROR(__xludf.DUMMYFUNCTION("""COMPUTED_VALUE"""),"●小禮物")</f>
        <v>●小禮物</v>
      </c>
      <c r="H1004" s="8"/>
    </row>
    <row r="1005">
      <c r="A1005" s="18"/>
      <c r="B1005" s="14">
        <f>IFERROR(__xludf.DUMMYFUNCTION("""COMPUTED_VALUE"""),812049.0)</f>
        <v>812049</v>
      </c>
      <c r="C1005" s="14" t="str">
        <f>IFERROR(__xludf.DUMMYFUNCTION("""COMPUTED_VALUE"""),"楊智婷")</f>
        <v>楊智婷</v>
      </c>
      <c r="D1005" s="16" t="str">
        <f>IFERROR(__xludf.DUMMYFUNCTION("""COMPUTED_VALUE"""),"chi*****811681@gmail.com")</f>
        <v>chi*****811681@gmail.com</v>
      </c>
      <c r="E1005" s="17" t="str">
        <f>IFERROR(__xludf.DUMMYFUNCTION("""COMPUTED_VALUE"""),"新竹市立虎林國民中學")</f>
        <v>新竹市立虎林國民中學</v>
      </c>
      <c r="F1005" s="14" t="str">
        <f>IFERROR(__xludf.DUMMYFUNCTION("""COMPUTED_VALUE"""),"八年級")</f>
        <v>八年級</v>
      </c>
      <c r="G1005" s="14" t="str">
        <f>IFERROR(__xludf.DUMMYFUNCTION("""COMPUTED_VALUE"""),"●小禮物")</f>
        <v>●小禮物</v>
      </c>
      <c r="H1005" s="8"/>
    </row>
    <row r="1006">
      <c r="A1006" s="18"/>
      <c r="B1006" s="14">
        <f>IFERROR(__xludf.DUMMYFUNCTION("""COMPUTED_VALUE"""),817759.0)</f>
        <v>817759</v>
      </c>
      <c r="C1006" s="14" t="str">
        <f>IFERROR(__xludf.DUMMYFUNCTION("""COMPUTED_VALUE"""),"楊尚謙")</f>
        <v>楊尚謙</v>
      </c>
      <c r="D1006" s="16" t="str">
        <f>IFERROR(__xludf.DUMMYFUNCTION("""COMPUTED_VALUE"""),"har*****2.hc@mail.edu.tw")</f>
        <v>har*****2.hc@mail.edu.tw</v>
      </c>
      <c r="E1006" s="17" t="str">
        <f>IFERROR(__xludf.DUMMYFUNCTION("""COMPUTED_VALUE"""),"新竹市立富禮國民中學")</f>
        <v>新竹市立富禮國民中學</v>
      </c>
      <c r="F1006" s="14" t="str">
        <f>IFERROR(__xludf.DUMMYFUNCTION("""COMPUTED_VALUE"""),"八年級")</f>
        <v>八年級</v>
      </c>
      <c r="G1006" s="14" t="str">
        <f>IFERROR(__xludf.DUMMYFUNCTION("""COMPUTED_VALUE"""),"獎狀")</f>
        <v>獎狀</v>
      </c>
      <c r="H1006" s="8"/>
    </row>
    <row r="1007">
      <c r="A1007" s="18"/>
      <c r="B1007" s="14">
        <f>IFERROR(__xludf.DUMMYFUNCTION("""COMPUTED_VALUE"""),824387.0)</f>
        <v>824387</v>
      </c>
      <c r="C1007" s="14" t="str">
        <f>IFERROR(__xludf.DUMMYFUNCTION("""COMPUTED_VALUE"""),"姜林岑靜")</f>
        <v>姜林岑靜</v>
      </c>
      <c r="D1007" s="16" t="str">
        <f>IFERROR(__xludf.DUMMYFUNCTION("""COMPUTED_VALUE"""),"jam*****726@smail.hc.edu.tw")</f>
        <v>jam*****726@smail.hc.edu.tw</v>
      </c>
      <c r="E1007" s="17" t="str">
        <f>IFERROR(__xludf.DUMMYFUNCTION("""COMPUTED_VALUE"""),"新竹市立富禮國民中學")</f>
        <v>新竹市立富禮國民中學</v>
      </c>
      <c r="F1007" s="14" t="str">
        <f>IFERROR(__xludf.DUMMYFUNCTION("""COMPUTED_VALUE"""),"八年級")</f>
        <v>八年級</v>
      </c>
      <c r="G1007" s="14" t="str">
        <f>IFERROR(__xludf.DUMMYFUNCTION("""COMPUTED_VALUE"""),"●小禮物")</f>
        <v>●小禮物</v>
      </c>
      <c r="H1007" s="8"/>
    </row>
    <row r="1008">
      <c r="A1008" s="18"/>
      <c r="B1008" s="14">
        <f>IFERROR(__xludf.DUMMYFUNCTION("""COMPUTED_VALUE"""),817752.0)</f>
        <v>817752</v>
      </c>
      <c r="C1008" s="14" t="str">
        <f>IFERROR(__xludf.DUMMYFUNCTION("""COMPUTED_VALUE"""),"楊祐昊")</f>
        <v>楊祐昊</v>
      </c>
      <c r="D1008" s="16" t="str">
        <f>IFERROR(__xludf.DUMMYFUNCTION("""COMPUTED_VALUE"""),"you*****3.hc@mail.edu.tw")</f>
        <v>you*****3.hc@mail.edu.tw</v>
      </c>
      <c r="E1008" s="17" t="str">
        <f>IFERROR(__xludf.DUMMYFUNCTION("""COMPUTED_VALUE"""),"新竹市立富禮國民中學")</f>
        <v>新竹市立富禮國民中學</v>
      </c>
      <c r="F1008" s="14" t="str">
        <f>IFERROR(__xludf.DUMMYFUNCTION("""COMPUTED_VALUE"""),"八年級")</f>
        <v>八年級</v>
      </c>
      <c r="G1008" s="14" t="str">
        <f>IFERROR(__xludf.DUMMYFUNCTION("""COMPUTED_VALUE"""),"●小禮物")</f>
        <v>●小禮物</v>
      </c>
      <c r="H1008" s="8"/>
    </row>
    <row r="1009">
      <c r="A1009" s="18"/>
      <c r="B1009" s="14">
        <f>IFERROR(__xludf.DUMMYFUNCTION("""COMPUTED_VALUE"""),821381.0)</f>
        <v>821381</v>
      </c>
      <c r="C1009" s="14" t="str">
        <f>IFERROR(__xludf.DUMMYFUNCTION("""COMPUTED_VALUE"""),"潘宥心")</f>
        <v>潘宥心</v>
      </c>
      <c r="D1009" s="16" t="str">
        <f>IFERROR(__xludf.DUMMYFUNCTION("""COMPUTED_VALUE"""),"eff*****0.hc@mail.edu.tw")</f>
        <v>eff*****0.hc@mail.edu.tw</v>
      </c>
      <c r="E1009" s="17" t="str">
        <f>IFERROR(__xludf.DUMMYFUNCTION("""COMPUTED_VALUE"""),"新竹市立富禮國民中學")</f>
        <v>新竹市立富禮國民中學</v>
      </c>
      <c r="F1009" s="14" t="str">
        <f>IFERROR(__xludf.DUMMYFUNCTION("""COMPUTED_VALUE"""),"八年級")</f>
        <v>八年級</v>
      </c>
      <c r="G1009" s="14" t="str">
        <f>IFERROR(__xludf.DUMMYFUNCTION("""COMPUTED_VALUE"""),"獎狀")</f>
        <v>獎狀</v>
      </c>
      <c r="H1009" s="8"/>
    </row>
    <row r="1010">
      <c r="A1010" s="18"/>
      <c r="B1010" s="14">
        <f>IFERROR(__xludf.DUMMYFUNCTION("""COMPUTED_VALUE"""),817762.0)</f>
        <v>817762</v>
      </c>
      <c r="C1010" s="14" t="str">
        <f>IFERROR(__xludf.DUMMYFUNCTION("""COMPUTED_VALUE"""),"劉宜妮")</f>
        <v>劉宜妮</v>
      </c>
      <c r="D1010" s="16" t="str">
        <f>IFERROR(__xludf.DUMMYFUNCTION("""COMPUTED_VALUE"""),"dpp*****043@mail.edu.tw")</f>
        <v>dpp*****043@mail.edu.tw</v>
      </c>
      <c r="E1010" s="17" t="str">
        <f>IFERROR(__xludf.DUMMYFUNCTION("""COMPUTED_VALUE"""),"新竹市立富禮國民中學")</f>
        <v>新竹市立富禮國民中學</v>
      </c>
      <c r="F1010" s="14" t="str">
        <f>IFERROR(__xludf.DUMMYFUNCTION("""COMPUTED_VALUE"""),"八年級")</f>
        <v>八年級</v>
      </c>
      <c r="G1010" s="14" t="str">
        <f>IFERROR(__xludf.DUMMYFUNCTION("""COMPUTED_VALUE"""),"●小禮物")</f>
        <v>●小禮物</v>
      </c>
      <c r="H1010" s="8"/>
    </row>
    <row r="1011">
      <c r="A1011" s="18"/>
      <c r="B1011" s="14">
        <f>IFERROR(__xludf.DUMMYFUNCTION("""COMPUTED_VALUE"""),817756.0)</f>
        <v>817756</v>
      </c>
      <c r="C1011" s="14" t="str">
        <f>IFERROR(__xludf.DUMMYFUNCTION("""COMPUTED_VALUE"""),"王佑碩")</f>
        <v>王佑碩</v>
      </c>
      <c r="D1011" s="16" t="str">
        <f>IFERROR(__xludf.DUMMYFUNCTION("""COMPUTED_VALUE"""),"chr*****0.hc@mail.edu.tw")</f>
        <v>chr*****0.hc@mail.edu.tw</v>
      </c>
      <c r="E1011" s="17" t="str">
        <f>IFERROR(__xludf.DUMMYFUNCTION("""COMPUTED_VALUE"""),"新竹市立富禮國民中學")</f>
        <v>新竹市立富禮國民中學</v>
      </c>
      <c r="F1011" s="14" t="str">
        <f>IFERROR(__xludf.DUMMYFUNCTION("""COMPUTED_VALUE"""),"八年級")</f>
        <v>八年級</v>
      </c>
      <c r="G1011" s="14" t="str">
        <f>IFERROR(__xludf.DUMMYFUNCTION("""COMPUTED_VALUE"""),"●小禮物")</f>
        <v>●小禮物</v>
      </c>
      <c r="H1011" s="8"/>
    </row>
    <row r="1012">
      <c r="A1012" s="18"/>
      <c r="B1012" s="14">
        <f>IFERROR(__xludf.DUMMYFUNCTION("""COMPUTED_VALUE"""),776081.0)</f>
        <v>776081</v>
      </c>
      <c r="C1012" s="14" t="str">
        <f>IFERROR(__xludf.DUMMYFUNCTION("""COMPUTED_VALUE"""),"林禹安")</f>
        <v>林禹安</v>
      </c>
      <c r="D1012" s="16" t="str">
        <f>IFERROR(__xludf.DUMMYFUNCTION("""COMPUTED_VALUE"""),"oli*****22.hc@mail.edu.tw")</f>
        <v>oli*****22.hc@mail.edu.tw</v>
      </c>
      <c r="E1012" s="17" t="str">
        <f>IFERROR(__xludf.DUMMYFUNCTION("""COMPUTED_VALUE"""),"新竹市立富禮國民中學")</f>
        <v>新竹市立富禮國民中學</v>
      </c>
      <c r="F1012" s="14" t="str">
        <f>IFERROR(__xludf.DUMMYFUNCTION("""COMPUTED_VALUE"""),"八年級")</f>
        <v>八年級</v>
      </c>
      <c r="G1012" s="14" t="str">
        <f>IFERROR(__xludf.DUMMYFUNCTION("""COMPUTED_VALUE"""),"獎狀")</f>
        <v>獎狀</v>
      </c>
      <c r="H1012" s="8"/>
    </row>
    <row r="1013">
      <c r="A1013" s="18"/>
      <c r="B1013" s="14">
        <f>IFERROR(__xludf.DUMMYFUNCTION("""COMPUTED_VALUE"""),324348.0)</f>
        <v>324348</v>
      </c>
      <c r="C1013" s="14" t="str">
        <f>IFERROR(__xludf.DUMMYFUNCTION("""COMPUTED_VALUE"""),"涂紘瑋")</f>
        <v>涂紘瑋</v>
      </c>
      <c r="D1013" s="16" t="str">
        <f>IFERROR(__xludf.DUMMYFUNCTION("""COMPUTED_VALUE"""),"cha*****107.hc@mail.edu.tw")</f>
        <v>cha*****107.hc@mail.edu.tw</v>
      </c>
      <c r="E1013" s="17" t="str">
        <f>IFERROR(__xludf.DUMMYFUNCTION("""COMPUTED_VALUE"""),"新竹市立富禮國民中學")</f>
        <v>新竹市立富禮國民中學</v>
      </c>
      <c r="F1013" s="14" t="str">
        <f>IFERROR(__xludf.DUMMYFUNCTION("""COMPUTED_VALUE"""),"八年級")</f>
        <v>八年級</v>
      </c>
      <c r="G1013" s="14" t="str">
        <f>IFERROR(__xludf.DUMMYFUNCTION("""COMPUTED_VALUE"""),"獎狀")</f>
        <v>獎狀</v>
      </c>
      <c r="H1013" s="8"/>
    </row>
    <row r="1014">
      <c r="A1014" s="18"/>
      <c r="B1014" s="14">
        <f>IFERROR(__xludf.DUMMYFUNCTION("""COMPUTED_VALUE"""),817751.0)</f>
        <v>817751</v>
      </c>
      <c r="C1014" s="14" t="str">
        <f>IFERROR(__xludf.DUMMYFUNCTION("""COMPUTED_VALUE"""),"何泓毅")</f>
        <v>何泓毅</v>
      </c>
      <c r="D1014" s="16" t="str">
        <f>IFERROR(__xludf.DUMMYFUNCTION("""COMPUTED_VALUE"""),"edd*****.hc@mail.edu.tw")</f>
        <v>edd*****.hc@mail.edu.tw</v>
      </c>
      <c r="E1014" s="17" t="str">
        <f>IFERROR(__xludf.DUMMYFUNCTION("""COMPUTED_VALUE"""),"新竹市立富禮國民中學")</f>
        <v>新竹市立富禮國民中學</v>
      </c>
      <c r="F1014" s="14" t="str">
        <f>IFERROR(__xludf.DUMMYFUNCTION("""COMPUTED_VALUE"""),"八年級")</f>
        <v>八年級</v>
      </c>
      <c r="G1014" s="14" t="str">
        <f>IFERROR(__xludf.DUMMYFUNCTION("""COMPUTED_VALUE"""),"獎狀")</f>
        <v>獎狀</v>
      </c>
      <c r="H1014" s="8"/>
    </row>
    <row r="1015">
      <c r="A1015" s="18"/>
      <c r="B1015" s="14">
        <f>IFERROR(__xludf.DUMMYFUNCTION("""COMPUTED_VALUE"""),798770.0)</f>
        <v>798770</v>
      </c>
      <c r="C1015" s="14" t="str">
        <f>IFERROR(__xludf.DUMMYFUNCTION("""COMPUTED_VALUE"""),"張祐嘉")</f>
        <v>張祐嘉</v>
      </c>
      <c r="D1015" s="16" t="str">
        <f>IFERROR(__xludf.DUMMYFUNCTION("""COMPUTED_VALUE"""),"yog*****.hc@mail.edu.tw")</f>
        <v>yog*****.hc@mail.edu.tw</v>
      </c>
      <c r="E1015" s="17" t="str">
        <f>IFERROR(__xludf.DUMMYFUNCTION("""COMPUTED_VALUE"""),"新竹市立富禮國民中學")</f>
        <v>新竹市立富禮國民中學</v>
      </c>
      <c r="F1015" s="14" t="str">
        <f>IFERROR(__xludf.DUMMYFUNCTION("""COMPUTED_VALUE"""),"八年級")</f>
        <v>八年級</v>
      </c>
      <c r="G1015" s="14" t="str">
        <f>IFERROR(__xludf.DUMMYFUNCTION("""COMPUTED_VALUE"""),"獎狀")</f>
        <v>獎狀</v>
      </c>
      <c r="H1015" s="8"/>
    </row>
    <row r="1016">
      <c r="A1016" s="18"/>
      <c r="B1016" s="14">
        <f>IFERROR(__xludf.DUMMYFUNCTION("""COMPUTED_VALUE"""),1022401.0)</f>
        <v>1022401</v>
      </c>
      <c r="C1016" s="14" t="str">
        <f>IFERROR(__xludf.DUMMYFUNCTION("""COMPUTED_VALUE"""),"王志成")</f>
        <v>王志成</v>
      </c>
      <c r="D1016" s="16" t="str">
        <f>IFERROR(__xludf.DUMMYFUNCTION("""COMPUTED_VALUE"""),"wni*****7@gmail.com")</f>
        <v>wni*****7@gmail.com</v>
      </c>
      <c r="E1016" s="17" t="str">
        <f>IFERROR(__xludf.DUMMYFUNCTION("""COMPUTED_VALUE"""),"新竹縣立仁愛國民中學")</f>
        <v>新竹縣立仁愛國民中學</v>
      </c>
      <c r="F1016" s="14" t="str">
        <f>IFERROR(__xludf.DUMMYFUNCTION("""COMPUTED_VALUE"""),"七年級")</f>
        <v>七年級</v>
      </c>
      <c r="G1016" s="14" t="str">
        <f>IFERROR(__xludf.DUMMYFUNCTION("""COMPUTED_VALUE"""),"●小禮物")</f>
        <v>●小禮物</v>
      </c>
      <c r="H1016" s="8"/>
    </row>
    <row r="1017">
      <c r="A1017" s="18"/>
      <c r="B1017" s="14">
        <f>IFERROR(__xludf.DUMMYFUNCTION("""COMPUTED_VALUE"""),888802.0)</f>
        <v>888802</v>
      </c>
      <c r="C1017" s="14" t="str">
        <f>IFERROR(__xludf.DUMMYFUNCTION("""COMPUTED_VALUE"""),"高妍翎")</f>
        <v>高妍翎</v>
      </c>
      <c r="D1017" s="16" t="str">
        <f>IFERROR(__xludf.DUMMYFUNCTION("""COMPUTED_VALUE"""),"lil*****ao0905@gmail.com")</f>
        <v>lil*****ao0905@gmail.com</v>
      </c>
      <c r="E1017" s="17" t="str">
        <f>IFERROR(__xludf.DUMMYFUNCTION("""COMPUTED_VALUE"""),"新竹縣立仁愛國民中學")</f>
        <v>新竹縣立仁愛國民中學</v>
      </c>
      <c r="F1017" s="14" t="str">
        <f>IFERROR(__xludf.DUMMYFUNCTION("""COMPUTED_VALUE"""),"七年級")</f>
        <v>七年級</v>
      </c>
      <c r="G1017" s="14" t="str">
        <f>IFERROR(__xludf.DUMMYFUNCTION("""COMPUTED_VALUE"""),"獎狀")</f>
        <v>獎狀</v>
      </c>
      <c r="H1017" s="8"/>
    </row>
    <row r="1018">
      <c r="A1018" s="18"/>
      <c r="B1018" s="14">
        <f>IFERROR(__xludf.DUMMYFUNCTION("""COMPUTED_VALUE"""),469338.0)</f>
        <v>469338</v>
      </c>
      <c r="C1018" s="14" t="str">
        <f>IFERROR(__xludf.DUMMYFUNCTION("""COMPUTED_VALUE"""),"陳思璇")</f>
        <v>陳思璇</v>
      </c>
      <c r="D1018" s="16" t="str">
        <f>IFERROR(__xludf.DUMMYFUNCTION("""COMPUTED_VALUE"""),"fke*****@mail.edu.tw")</f>
        <v>fke*****@mail.edu.tw</v>
      </c>
      <c r="E1018" s="17" t="str">
        <f>IFERROR(__xludf.DUMMYFUNCTION("""COMPUTED_VALUE"""),"新竹縣立鳳岡國民中學")</f>
        <v>新竹縣立鳳岡國民中學</v>
      </c>
      <c r="F1018" s="14" t="str">
        <f>IFERROR(__xludf.DUMMYFUNCTION("""COMPUTED_VALUE"""),"九年級")</f>
        <v>九年級</v>
      </c>
      <c r="G1018" s="14" t="str">
        <f>IFERROR(__xludf.DUMMYFUNCTION("""COMPUTED_VALUE"""),"●小禮物")</f>
        <v>●小禮物</v>
      </c>
      <c r="H1018" s="8"/>
    </row>
    <row r="1019">
      <c r="A1019" s="18"/>
      <c r="B1019" s="14">
        <f>IFERROR(__xludf.DUMMYFUNCTION("""COMPUTED_VALUE"""),444125.0)</f>
        <v>444125</v>
      </c>
      <c r="C1019" s="14" t="str">
        <f>IFERROR(__xludf.DUMMYFUNCTION("""COMPUTED_VALUE"""),"柯鈞豪")</f>
        <v>柯鈞豪</v>
      </c>
      <c r="D1019" s="16" t="str">
        <f>IFERROR(__xludf.DUMMYFUNCTION("""COMPUTED_VALUE"""),"kej*****699@gmail.com")</f>
        <v>kej*****699@gmail.com</v>
      </c>
      <c r="E1019" s="17" t="str">
        <f>IFERROR(__xludf.DUMMYFUNCTION("""COMPUTED_VALUE"""),"新竹縣立鳳岡國民中學")</f>
        <v>新竹縣立鳳岡國民中學</v>
      </c>
      <c r="F1019" s="14" t="str">
        <f>IFERROR(__xludf.DUMMYFUNCTION("""COMPUTED_VALUE"""),"九年級")</f>
        <v>九年級</v>
      </c>
      <c r="G1019" s="14" t="str">
        <f>IFERROR(__xludf.DUMMYFUNCTION("""COMPUTED_VALUE"""),"●小禮物")</f>
        <v>●小禮物</v>
      </c>
      <c r="H1019" s="8"/>
    </row>
    <row r="1020">
      <c r="A1020" s="18"/>
      <c r="B1020" s="14">
        <f>IFERROR(__xludf.DUMMYFUNCTION("""COMPUTED_VALUE"""),466370.0)</f>
        <v>466370</v>
      </c>
      <c r="C1020" s="14" t="str">
        <f>IFERROR(__xludf.DUMMYFUNCTION("""COMPUTED_VALUE"""),"曾仲均")</f>
        <v>曾仲均</v>
      </c>
      <c r="D1020" s="16" t="str">
        <f>IFERROR(__xludf.DUMMYFUNCTION("""COMPUTED_VALUE"""),"fke*****@mail.edu.tw")</f>
        <v>fke*****@mail.edu.tw</v>
      </c>
      <c r="E1020" s="17" t="str">
        <f>IFERROR(__xludf.DUMMYFUNCTION("""COMPUTED_VALUE"""),"新竹縣立鳳岡國民中學")</f>
        <v>新竹縣立鳳岡國民中學</v>
      </c>
      <c r="F1020" s="14" t="str">
        <f>IFERROR(__xludf.DUMMYFUNCTION("""COMPUTED_VALUE"""),"九年級")</f>
        <v>九年級</v>
      </c>
      <c r="G1020" s="14" t="str">
        <f>IFERROR(__xludf.DUMMYFUNCTION("""COMPUTED_VALUE"""),"獎狀")</f>
        <v>獎狀</v>
      </c>
      <c r="H1020" s="8"/>
    </row>
    <row r="1021">
      <c r="A1021" s="18"/>
      <c r="B1021" s="14">
        <f>IFERROR(__xludf.DUMMYFUNCTION("""COMPUTED_VALUE"""),469220.0)</f>
        <v>469220</v>
      </c>
      <c r="C1021" s="14" t="str">
        <f>IFERROR(__xludf.DUMMYFUNCTION("""COMPUTED_VALUE"""),"朱家靖")</f>
        <v>朱家靖</v>
      </c>
      <c r="D1021" s="16" t="str">
        <f>IFERROR(__xludf.DUMMYFUNCTION("""COMPUTED_VALUE"""),"fke*****@mail.edu.tw")</f>
        <v>fke*****@mail.edu.tw</v>
      </c>
      <c r="E1021" s="17" t="str">
        <f>IFERROR(__xludf.DUMMYFUNCTION("""COMPUTED_VALUE"""),"新竹縣立鳳岡國民中學")</f>
        <v>新竹縣立鳳岡國民中學</v>
      </c>
      <c r="F1021" s="14" t="str">
        <f>IFERROR(__xludf.DUMMYFUNCTION("""COMPUTED_VALUE"""),"九年級")</f>
        <v>九年級</v>
      </c>
      <c r="G1021" s="14" t="str">
        <f>IFERROR(__xludf.DUMMYFUNCTION("""COMPUTED_VALUE"""),"●小禮物")</f>
        <v>●小禮物</v>
      </c>
      <c r="H1021" s="8"/>
    </row>
    <row r="1022">
      <c r="A1022" s="18"/>
      <c r="B1022" s="14">
        <f>IFERROR(__xludf.DUMMYFUNCTION("""COMPUTED_VALUE"""),469139.0)</f>
        <v>469139</v>
      </c>
      <c r="C1022" s="14" t="str">
        <f>IFERROR(__xludf.DUMMYFUNCTION("""COMPUTED_VALUE"""),"楊華伊")</f>
        <v>楊華伊</v>
      </c>
      <c r="D1022" s="16" t="str">
        <f>IFERROR(__xludf.DUMMYFUNCTION("""COMPUTED_VALUE"""),"fke*****@mail.edu.tw")</f>
        <v>fke*****@mail.edu.tw</v>
      </c>
      <c r="E1022" s="17" t="str">
        <f>IFERROR(__xludf.DUMMYFUNCTION("""COMPUTED_VALUE"""),"新竹縣立鳳岡國民中學")</f>
        <v>新竹縣立鳳岡國民中學</v>
      </c>
      <c r="F1022" s="14" t="str">
        <f>IFERROR(__xludf.DUMMYFUNCTION("""COMPUTED_VALUE"""),"九年級")</f>
        <v>九年級</v>
      </c>
      <c r="G1022" s="14" t="str">
        <f>IFERROR(__xludf.DUMMYFUNCTION("""COMPUTED_VALUE"""),"●小禮物")</f>
        <v>●小禮物</v>
      </c>
      <c r="H1022" s="8"/>
    </row>
    <row r="1023">
      <c r="A1023" s="18"/>
      <c r="B1023" s="14">
        <f>IFERROR(__xludf.DUMMYFUNCTION("""COMPUTED_VALUE"""),211604.0)</f>
        <v>211604</v>
      </c>
      <c r="C1023" s="14" t="str">
        <f>IFERROR(__xludf.DUMMYFUNCTION("""COMPUTED_VALUE"""),"陳衫羽")</f>
        <v>陳衫羽</v>
      </c>
      <c r="D1023" s="16" t="str">
        <f>IFERROR(__xludf.DUMMYFUNCTION("""COMPUTED_VALUE"""),"san*****33@gmail.com")</f>
        <v>san*****33@gmail.com</v>
      </c>
      <c r="E1023" s="17" t="str">
        <f>IFERROR(__xludf.DUMMYFUNCTION("""COMPUTED_VALUE"""),"新竹縣立竹北國民中學")</f>
        <v>新竹縣立竹北國民中學</v>
      </c>
      <c r="F1023" s="14" t="str">
        <f>IFERROR(__xludf.DUMMYFUNCTION("""COMPUTED_VALUE"""),"七年級")</f>
        <v>七年級</v>
      </c>
      <c r="G1023" s="14" t="str">
        <f>IFERROR(__xludf.DUMMYFUNCTION("""COMPUTED_VALUE"""),"獎狀")</f>
        <v>獎狀</v>
      </c>
      <c r="H1023" s="8"/>
    </row>
    <row r="1024">
      <c r="A1024" s="18"/>
      <c r="B1024" s="14">
        <f>IFERROR(__xludf.DUMMYFUNCTION("""COMPUTED_VALUE"""),1198707.0)</f>
        <v>1198707</v>
      </c>
      <c r="C1024" s="14" t="str">
        <f>IFERROR(__xludf.DUMMYFUNCTION("""COMPUTED_VALUE"""),"詹雨恬")</f>
        <v>詹雨恬</v>
      </c>
      <c r="D1024" s="16" t="str">
        <f>IFERROR(__xludf.DUMMYFUNCTION("""COMPUTED_VALUE"""),"111*****ymsh.hcc.edu.tw")</f>
        <v>111*****ymsh.hcc.edu.tw</v>
      </c>
      <c r="E1024" s="17" t="str">
        <f>IFERROR(__xludf.DUMMYFUNCTION("""COMPUTED_VALUE"""),"新竹縣私立義民高級中學附設國中部")</f>
        <v>新竹縣私立義民高級中學附設國中部</v>
      </c>
      <c r="F1024" s="14" t="str">
        <f>IFERROR(__xludf.DUMMYFUNCTION("""COMPUTED_VALUE"""),"七年級")</f>
        <v>七年級</v>
      </c>
      <c r="G1024" s="14" t="str">
        <f>IFERROR(__xludf.DUMMYFUNCTION("""COMPUTED_VALUE"""),"●小禮物")</f>
        <v>●小禮物</v>
      </c>
      <c r="H1024" s="8"/>
    </row>
    <row r="1025">
      <c r="A1025" s="18"/>
      <c r="B1025" s="14">
        <f>IFERROR(__xludf.DUMMYFUNCTION("""COMPUTED_VALUE"""),1199422.0)</f>
        <v>1199422</v>
      </c>
      <c r="C1025" s="14" t="str">
        <f>IFERROR(__xludf.DUMMYFUNCTION("""COMPUTED_VALUE"""),"許博硯")</f>
        <v>許博硯</v>
      </c>
      <c r="D1025" s="16" t="str">
        <f>IFERROR(__xludf.DUMMYFUNCTION("""COMPUTED_VALUE"""),"111*****ymsh.hcc.edu.tw")</f>
        <v>111*****ymsh.hcc.edu.tw</v>
      </c>
      <c r="E1025" s="17" t="str">
        <f>IFERROR(__xludf.DUMMYFUNCTION("""COMPUTED_VALUE"""),"新竹縣私立義民高級中學附設國中部")</f>
        <v>新竹縣私立義民高級中學附設國中部</v>
      </c>
      <c r="F1025" s="14" t="str">
        <f>IFERROR(__xludf.DUMMYFUNCTION("""COMPUTED_VALUE"""),"七年級")</f>
        <v>七年級</v>
      </c>
      <c r="G1025" s="14" t="str">
        <f>IFERROR(__xludf.DUMMYFUNCTION("""COMPUTED_VALUE"""),"獎狀")</f>
        <v>獎狀</v>
      </c>
      <c r="H1025" s="8"/>
    </row>
    <row r="1026">
      <c r="A1026" s="18"/>
      <c r="B1026" s="14">
        <f>IFERROR(__xludf.DUMMYFUNCTION("""COMPUTED_VALUE"""),1141079.0)</f>
        <v>1141079</v>
      </c>
      <c r="C1026" s="14" t="str">
        <f>IFERROR(__xludf.DUMMYFUNCTION("""COMPUTED_VALUE"""),"王盈博")</f>
        <v>王盈博</v>
      </c>
      <c r="D1026" s="16" t="str">
        <f>IFERROR(__xludf.DUMMYFUNCTION("""COMPUTED_VALUE"""),"cgj*****20@cgjh.hcc.edu.tw")</f>
        <v>cgj*****20@cgjh.hcc.edu.tw</v>
      </c>
      <c r="E1026" s="17" t="str">
        <f>IFERROR(__xludf.DUMMYFUNCTION("""COMPUTED_VALUE"""),"新竹縣立成功國民中學")</f>
        <v>新竹縣立成功國民中學</v>
      </c>
      <c r="F1026" s="14" t="str">
        <f>IFERROR(__xludf.DUMMYFUNCTION("""COMPUTED_VALUE"""),"七年級")</f>
        <v>七年級</v>
      </c>
      <c r="G1026" s="14" t="str">
        <f>IFERROR(__xludf.DUMMYFUNCTION("""COMPUTED_VALUE"""),"★禮券$500")</f>
        <v>★禮券$500</v>
      </c>
      <c r="H1026" s="8"/>
    </row>
    <row r="1027">
      <c r="A1027" s="18"/>
      <c r="B1027" s="14">
        <f>IFERROR(__xludf.DUMMYFUNCTION("""COMPUTED_VALUE"""),1124819.0)</f>
        <v>1124819</v>
      </c>
      <c r="C1027" s="14" t="str">
        <f>IFERROR(__xludf.DUMMYFUNCTION("""COMPUTED_VALUE"""),"邱筱薰")</f>
        <v>邱筱薰</v>
      </c>
      <c r="D1027" s="16" t="str">
        <f>IFERROR(__xludf.DUMMYFUNCTION("""COMPUTED_VALUE"""),"Bet*****3yyy@gmail.com")</f>
        <v>Bet*****3yyy@gmail.com</v>
      </c>
      <c r="E1027" s="17" t="str">
        <f>IFERROR(__xludf.DUMMYFUNCTION("""COMPUTED_VALUE"""),"新竹縣立成功國民中學")</f>
        <v>新竹縣立成功國民中學</v>
      </c>
      <c r="F1027" s="14" t="str">
        <f>IFERROR(__xludf.DUMMYFUNCTION("""COMPUTED_VALUE"""),"七年級")</f>
        <v>七年級</v>
      </c>
      <c r="G1027" s="14" t="str">
        <f>IFERROR(__xludf.DUMMYFUNCTION("""COMPUTED_VALUE"""),"●小禮物")</f>
        <v>●小禮物</v>
      </c>
      <c r="H1027" s="8"/>
    </row>
    <row r="1028">
      <c r="A1028" s="18"/>
      <c r="B1028" s="14">
        <f>IFERROR(__xludf.DUMMYFUNCTION("""COMPUTED_VALUE"""),1178023.0)</f>
        <v>1178023</v>
      </c>
      <c r="C1028" s="14" t="str">
        <f>IFERROR(__xludf.DUMMYFUNCTION("""COMPUTED_VALUE"""),"朱軒昊")</f>
        <v>朱軒昊</v>
      </c>
      <c r="D1028" s="16" t="str">
        <f>IFERROR(__xludf.DUMMYFUNCTION("""COMPUTED_VALUE"""),"slj*****93@sljh.hcc.edu.tw")</f>
        <v>slj*****93@sljh.hcc.edu.tw</v>
      </c>
      <c r="E1028" s="17" t="str">
        <f>IFERROR(__xludf.DUMMYFUNCTION("""COMPUTED_VALUE"""),"新竹縣立勝利國民中學")</f>
        <v>新竹縣立勝利國民中學</v>
      </c>
      <c r="F1028" s="14" t="str">
        <f>IFERROR(__xludf.DUMMYFUNCTION("""COMPUTED_VALUE"""),"七年級")</f>
        <v>七年級</v>
      </c>
      <c r="G1028" s="14" t="str">
        <f>IFERROR(__xludf.DUMMYFUNCTION("""COMPUTED_VALUE"""),"獎狀")</f>
        <v>獎狀</v>
      </c>
      <c r="H1028" s="8"/>
    </row>
    <row r="1029">
      <c r="A1029" s="18"/>
      <c r="B1029" s="14">
        <f>IFERROR(__xludf.DUMMYFUNCTION("""COMPUTED_VALUE"""),530243.0)</f>
        <v>530243</v>
      </c>
      <c r="C1029" s="14" t="str">
        <f>IFERROR(__xludf.DUMMYFUNCTION("""COMPUTED_VALUE"""),"李咨儀")</f>
        <v>李咨儀</v>
      </c>
      <c r="D1029" s="16" t="str">
        <f>IFERROR(__xludf.DUMMYFUNCTION("""COMPUTED_VALUE"""),"bet*****19@gmail.com")</f>
        <v>bet*****19@gmail.com</v>
      </c>
      <c r="E1029" s="17" t="str">
        <f>IFERROR(__xludf.DUMMYFUNCTION("""COMPUTED_VALUE"""),"新竹縣立博愛國民中學")</f>
        <v>新竹縣立博愛國民中學</v>
      </c>
      <c r="F1029" s="14" t="str">
        <f>IFERROR(__xludf.DUMMYFUNCTION("""COMPUTED_VALUE"""),"七年級")</f>
        <v>七年級</v>
      </c>
      <c r="G1029" s="14" t="str">
        <f>IFERROR(__xludf.DUMMYFUNCTION("""COMPUTED_VALUE"""),"●小禮物")</f>
        <v>●小禮物</v>
      </c>
      <c r="H1029" s="8"/>
    </row>
    <row r="1030">
      <c r="A1030" s="18"/>
      <c r="B1030" s="14">
        <f>IFERROR(__xludf.DUMMYFUNCTION("""COMPUTED_VALUE"""),1151048.0)</f>
        <v>1151048</v>
      </c>
      <c r="C1030" s="14" t="str">
        <f>IFERROR(__xludf.DUMMYFUNCTION("""COMPUTED_VALUE"""),"賴聿歆")</f>
        <v>賴聿歆</v>
      </c>
      <c r="D1030" s="16" t="str">
        <f>IFERROR(__xludf.DUMMYFUNCTION("""COMPUTED_VALUE"""),"paj*****72@pajh.hcc.edu.tw")</f>
        <v>paj*****72@pajh.hcc.edu.tw</v>
      </c>
      <c r="E1030" s="17" t="str">
        <f>IFERROR(__xludf.DUMMYFUNCTION("""COMPUTED_VALUE"""),"新竹縣立博愛國民中學")</f>
        <v>新竹縣立博愛國民中學</v>
      </c>
      <c r="F1030" s="14" t="str">
        <f>IFERROR(__xludf.DUMMYFUNCTION("""COMPUTED_VALUE"""),"七年級")</f>
        <v>七年級</v>
      </c>
      <c r="G1030" s="14" t="str">
        <f>IFERROR(__xludf.DUMMYFUNCTION("""COMPUTED_VALUE"""),"●小禮物")</f>
        <v>●小禮物</v>
      </c>
      <c r="H1030" s="8"/>
    </row>
    <row r="1031">
      <c r="A1031" s="18"/>
      <c r="B1031" s="14">
        <f>IFERROR(__xludf.DUMMYFUNCTION("""COMPUTED_VALUE"""),525730.0)</f>
        <v>525730</v>
      </c>
      <c r="C1031" s="14" t="str">
        <f>IFERROR(__xludf.DUMMYFUNCTION("""COMPUTED_VALUE"""),"黃紫涵")</f>
        <v>黃紫涵</v>
      </c>
      <c r="D1031" s="16" t="str">
        <f>IFERROR(__xludf.DUMMYFUNCTION("""COMPUTED_VALUE"""),"vic*****@hotmail.com")</f>
        <v>vic*****@hotmail.com</v>
      </c>
      <c r="E1031" s="17" t="str">
        <f>IFERROR(__xludf.DUMMYFUNCTION("""COMPUTED_VALUE"""),"新竹縣立博愛國民中學")</f>
        <v>新竹縣立博愛國民中學</v>
      </c>
      <c r="F1031" s="14" t="str">
        <f>IFERROR(__xludf.DUMMYFUNCTION("""COMPUTED_VALUE"""),"八年級")</f>
        <v>八年級</v>
      </c>
      <c r="G1031" s="14" t="str">
        <f>IFERROR(__xludf.DUMMYFUNCTION("""COMPUTED_VALUE"""),"●小禮物")</f>
        <v>●小禮物</v>
      </c>
      <c r="H1031" s="8"/>
    </row>
    <row r="1032">
      <c r="A1032" s="18"/>
      <c r="B1032" s="14">
        <f>IFERROR(__xludf.DUMMYFUNCTION("""COMPUTED_VALUE"""),931606.0)</f>
        <v>931606</v>
      </c>
      <c r="C1032" s="14" t="str">
        <f>IFERROR(__xludf.DUMMYFUNCTION("""COMPUTED_VALUE"""),"蔡羽晴")</f>
        <v>蔡羽晴</v>
      </c>
      <c r="D1032" s="16" t="str">
        <f>IFERROR(__xludf.DUMMYFUNCTION("""COMPUTED_VALUE"""),"sse*****25.hcc@mail.edu.tw")</f>
        <v>sse*****25.hcc@mail.edu.tw</v>
      </c>
      <c r="E1032" s="17" t="str">
        <f>IFERROR(__xludf.DUMMYFUNCTION("""COMPUTED_VALUE"""),"新竹縣立新湖國民中學")</f>
        <v>新竹縣立新湖國民中學</v>
      </c>
      <c r="F1032" s="14" t="str">
        <f>IFERROR(__xludf.DUMMYFUNCTION("""COMPUTED_VALUE"""),"九年級")</f>
        <v>九年級</v>
      </c>
      <c r="G1032" s="14" t="str">
        <f>IFERROR(__xludf.DUMMYFUNCTION("""COMPUTED_VALUE"""),"獎狀")</f>
        <v>獎狀</v>
      </c>
      <c r="H1032" s="8"/>
    </row>
    <row r="1033">
      <c r="A1033" s="18"/>
      <c r="B1033" s="14">
        <f>IFERROR(__xludf.DUMMYFUNCTION("""COMPUTED_VALUE"""),597945.0)</f>
        <v>597945</v>
      </c>
      <c r="C1033" s="14" t="str">
        <f>IFERROR(__xludf.DUMMYFUNCTION("""COMPUTED_VALUE"""),"羅盛煒")</f>
        <v>羅盛煒</v>
      </c>
      <c r="D1033" s="16" t="str">
        <f>IFERROR(__xludf.DUMMYFUNCTION("""COMPUTED_VALUE"""),"eri*****19@gmail.com")</f>
        <v>eri*****19@gmail.com</v>
      </c>
      <c r="E1033" s="17" t="str">
        <f>IFERROR(__xludf.DUMMYFUNCTION("""COMPUTED_VALUE"""),"新竹縣仰德高級中學附設國中部")</f>
        <v>新竹縣仰德高級中學附設國中部</v>
      </c>
      <c r="F1033" s="14" t="str">
        <f>IFERROR(__xludf.DUMMYFUNCTION("""COMPUTED_VALUE"""),"九年級")</f>
        <v>九年級</v>
      </c>
      <c r="G1033" s="14" t="str">
        <f>IFERROR(__xludf.DUMMYFUNCTION("""COMPUTED_VALUE"""),"●小禮物")</f>
        <v>●小禮物</v>
      </c>
      <c r="H1033" s="8"/>
    </row>
    <row r="1034">
      <c r="A1034" s="18"/>
      <c r="B1034" s="14">
        <f>IFERROR(__xludf.DUMMYFUNCTION("""COMPUTED_VALUE"""),1141179.0)</f>
        <v>1141179</v>
      </c>
      <c r="C1034" s="14" t="str">
        <f>IFERROR(__xludf.DUMMYFUNCTION("""COMPUTED_VALUE"""),"吳欣澄")</f>
        <v>吳欣澄</v>
      </c>
      <c r="D1034" s="16" t="str">
        <f>IFERROR(__xludf.DUMMYFUNCTION("""COMPUTED_VALUE"""),"sof*****24@gmail.com")</f>
        <v>sof*****24@gmail.com</v>
      </c>
      <c r="E1034" s="17" t="str">
        <f>IFERROR(__xludf.DUMMYFUNCTION("""COMPUTED_VALUE"""),"新竹縣立自強國民中學")</f>
        <v>新竹縣立自強國民中學</v>
      </c>
      <c r="F1034" s="14" t="str">
        <f>IFERROR(__xludf.DUMMYFUNCTION("""COMPUTED_VALUE"""),"七年級")</f>
        <v>七年級</v>
      </c>
      <c r="G1034" s="14" t="str">
        <f>IFERROR(__xludf.DUMMYFUNCTION("""COMPUTED_VALUE"""),"●小禮物")</f>
        <v>●小禮物</v>
      </c>
      <c r="H1034" s="8"/>
    </row>
    <row r="1035">
      <c r="A1035" s="18"/>
      <c r="B1035" s="14">
        <f>IFERROR(__xludf.DUMMYFUNCTION("""COMPUTED_VALUE"""),1199855.0)</f>
        <v>1199855</v>
      </c>
      <c r="C1035" s="14" t="str">
        <f>IFERROR(__xludf.DUMMYFUNCTION("""COMPUTED_VALUE"""),"蔡詠馨")</f>
        <v>蔡詠馨</v>
      </c>
      <c r="D1035" s="16" t="str">
        <f>IFERROR(__xludf.DUMMYFUNCTION("""COMPUTED_VALUE"""),"jcj*****05@jcjh.hcc.edu.tw")</f>
        <v>jcj*****05@jcjh.hcc.edu.tw</v>
      </c>
      <c r="E1035" s="17" t="str">
        <f>IFERROR(__xludf.DUMMYFUNCTION("""COMPUTED_VALUE"""),"新竹縣立自強國民中學")</f>
        <v>新竹縣立自強國民中學</v>
      </c>
      <c r="F1035" s="14" t="str">
        <f>IFERROR(__xludf.DUMMYFUNCTION("""COMPUTED_VALUE"""),"八年級")</f>
        <v>八年級</v>
      </c>
      <c r="G1035" s="14" t="str">
        <f>IFERROR(__xludf.DUMMYFUNCTION("""COMPUTED_VALUE"""),"獎狀")</f>
        <v>獎狀</v>
      </c>
      <c r="H1035" s="8"/>
    </row>
    <row r="1036">
      <c r="A1036" s="18"/>
      <c r="B1036" s="14">
        <f>IFERROR(__xludf.DUMMYFUNCTION("""COMPUTED_VALUE"""),1166112.0)</f>
        <v>1166112</v>
      </c>
      <c r="C1036" s="14" t="str">
        <f>IFERROR(__xludf.DUMMYFUNCTION("""COMPUTED_VALUE"""),"林威鏵")</f>
        <v>林威鏵</v>
      </c>
      <c r="D1036" s="16" t="str">
        <f>IFERROR(__xludf.DUMMYFUNCTION("""COMPUTED_VALUE"""),"jcj*****33@jcjh.hcc.edu.tw")</f>
        <v>jcj*****33@jcjh.hcc.edu.tw</v>
      </c>
      <c r="E1036" s="17" t="str">
        <f>IFERROR(__xludf.DUMMYFUNCTION("""COMPUTED_VALUE"""),"新竹縣立自強國民中學")</f>
        <v>新竹縣立自強國民中學</v>
      </c>
      <c r="F1036" s="14" t="str">
        <f>IFERROR(__xludf.DUMMYFUNCTION("""COMPUTED_VALUE"""),"八年級")</f>
        <v>八年級</v>
      </c>
      <c r="G1036" s="14" t="str">
        <f>IFERROR(__xludf.DUMMYFUNCTION("""COMPUTED_VALUE"""),"獎狀")</f>
        <v>獎狀</v>
      </c>
      <c r="H1036" s="8"/>
    </row>
    <row r="1037">
      <c r="A1037" s="18"/>
      <c r="B1037" s="14">
        <f>IFERROR(__xludf.DUMMYFUNCTION("""COMPUTED_VALUE"""),1177728.0)</f>
        <v>1177728</v>
      </c>
      <c r="C1037" s="14" t="str">
        <f>IFERROR(__xludf.DUMMYFUNCTION("""COMPUTED_VALUE"""),"余侑宣")</f>
        <v>余侑宣</v>
      </c>
      <c r="D1037" s="16" t="str">
        <f>IFERROR(__xludf.DUMMYFUNCTION("""COMPUTED_VALUE"""),"111*****ljh.tyc.edu.tw")</f>
        <v>111*****ljh.tyc.edu.tw</v>
      </c>
      <c r="E1037" s="17" t="str">
        <f>IFERROR(__xludf.DUMMYFUNCTION("""COMPUTED_VALUE"""),"桃園市立大崙國民中學")</f>
        <v>桃園市立大崙國民中學</v>
      </c>
      <c r="F1037" s="14" t="str">
        <f>IFERROR(__xludf.DUMMYFUNCTION("""COMPUTED_VALUE"""),"七年級")</f>
        <v>七年級</v>
      </c>
      <c r="G1037" s="14" t="str">
        <f>IFERROR(__xludf.DUMMYFUNCTION("""COMPUTED_VALUE"""),"●小禮物")</f>
        <v>●小禮物</v>
      </c>
      <c r="H1037" s="8"/>
    </row>
    <row r="1038">
      <c r="A1038" s="18"/>
      <c r="B1038" s="14">
        <f>IFERROR(__xludf.DUMMYFUNCTION("""COMPUTED_VALUE"""),1177723.0)</f>
        <v>1177723</v>
      </c>
      <c r="C1038" s="14" t="str">
        <f>IFERROR(__xludf.DUMMYFUNCTION("""COMPUTED_VALUE"""),"呂宥成")</f>
        <v>呂宥成</v>
      </c>
      <c r="D1038" s="16" t="str">
        <f>IFERROR(__xludf.DUMMYFUNCTION("""COMPUTED_VALUE"""),"111*****ljh.tyc.edu.tw")</f>
        <v>111*****ljh.tyc.edu.tw</v>
      </c>
      <c r="E1038" s="17" t="str">
        <f>IFERROR(__xludf.DUMMYFUNCTION("""COMPUTED_VALUE"""),"桃園市立大崙國民中學")</f>
        <v>桃園市立大崙國民中學</v>
      </c>
      <c r="F1038" s="14" t="str">
        <f>IFERROR(__xludf.DUMMYFUNCTION("""COMPUTED_VALUE"""),"七年級")</f>
        <v>七年級</v>
      </c>
      <c r="G1038" s="14" t="str">
        <f>IFERROR(__xludf.DUMMYFUNCTION("""COMPUTED_VALUE"""),"●小禮物")</f>
        <v>●小禮物</v>
      </c>
      <c r="H1038" s="8"/>
    </row>
    <row r="1039">
      <c r="A1039" s="18"/>
      <c r="B1039" s="14">
        <f>IFERROR(__xludf.DUMMYFUNCTION("""COMPUTED_VALUE"""),1177718.0)</f>
        <v>1177718</v>
      </c>
      <c r="C1039" s="14" t="str">
        <f>IFERROR(__xludf.DUMMYFUNCTION("""COMPUTED_VALUE"""),"徐湛崴")</f>
        <v>徐湛崴</v>
      </c>
      <c r="D1039" s="16" t="str">
        <f>IFERROR(__xludf.DUMMYFUNCTION("""COMPUTED_VALUE"""),"111*****ljh.tyc.edu.tw")</f>
        <v>111*****ljh.tyc.edu.tw</v>
      </c>
      <c r="E1039" s="17" t="str">
        <f>IFERROR(__xludf.DUMMYFUNCTION("""COMPUTED_VALUE"""),"桃園市立大崙國民中學")</f>
        <v>桃園市立大崙國民中學</v>
      </c>
      <c r="F1039" s="14" t="str">
        <f>IFERROR(__xludf.DUMMYFUNCTION("""COMPUTED_VALUE"""),"七年級")</f>
        <v>七年級</v>
      </c>
      <c r="G1039" s="14" t="str">
        <f>IFERROR(__xludf.DUMMYFUNCTION("""COMPUTED_VALUE"""),"●小禮物")</f>
        <v>●小禮物</v>
      </c>
      <c r="H1039" s="8"/>
    </row>
    <row r="1040">
      <c r="A1040" s="18"/>
      <c r="B1040" s="14">
        <f>IFERROR(__xludf.DUMMYFUNCTION("""COMPUTED_VALUE"""),1177730.0)</f>
        <v>1177730</v>
      </c>
      <c r="C1040" s="14" t="str">
        <f>IFERROR(__xludf.DUMMYFUNCTION("""COMPUTED_VALUE"""),"張芸溱")</f>
        <v>張芸溱</v>
      </c>
      <c r="D1040" s="16" t="str">
        <f>IFERROR(__xludf.DUMMYFUNCTION("""COMPUTED_VALUE"""),"111*****ljh.tyc.edu.tw")</f>
        <v>111*****ljh.tyc.edu.tw</v>
      </c>
      <c r="E1040" s="17" t="str">
        <f>IFERROR(__xludf.DUMMYFUNCTION("""COMPUTED_VALUE"""),"桃園市立大崙國民中學")</f>
        <v>桃園市立大崙國民中學</v>
      </c>
      <c r="F1040" s="14" t="str">
        <f>IFERROR(__xludf.DUMMYFUNCTION("""COMPUTED_VALUE"""),"七年級")</f>
        <v>七年級</v>
      </c>
      <c r="G1040" s="14" t="str">
        <f>IFERROR(__xludf.DUMMYFUNCTION("""COMPUTED_VALUE"""),"●小禮物")</f>
        <v>●小禮物</v>
      </c>
      <c r="H1040" s="8"/>
    </row>
    <row r="1041">
      <c r="A1041" s="18"/>
      <c r="B1041" s="14">
        <f>IFERROR(__xludf.DUMMYFUNCTION("""COMPUTED_VALUE"""),1177722.0)</f>
        <v>1177722</v>
      </c>
      <c r="C1041" s="14" t="str">
        <f>IFERROR(__xludf.DUMMYFUNCTION("""COMPUTED_VALUE"""),"陳睿禎")</f>
        <v>陳睿禎</v>
      </c>
      <c r="D1041" s="16" t="str">
        <f>IFERROR(__xludf.DUMMYFUNCTION("""COMPUTED_VALUE"""),"111*****ljh.tyc.edu.tw")</f>
        <v>111*****ljh.tyc.edu.tw</v>
      </c>
      <c r="E1041" s="17" t="str">
        <f>IFERROR(__xludf.DUMMYFUNCTION("""COMPUTED_VALUE"""),"桃園市立大崙國民中學")</f>
        <v>桃園市立大崙國民中學</v>
      </c>
      <c r="F1041" s="14" t="str">
        <f>IFERROR(__xludf.DUMMYFUNCTION("""COMPUTED_VALUE"""),"七年級")</f>
        <v>七年級</v>
      </c>
      <c r="G1041" s="14" t="str">
        <f>IFERROR(__xludf.DUMMYFUNCTION("""COMPUTED_VALUE"""),"●小禮物")</f>
        <v>●小禮物</v>
      </c>
      <c r="H1041" s="8"/>
    </row>
    <row r="1042">
      <c r="A1042" s="18"/>
      <c r="B1042" s="14">
        <f>IFERROR(__xludf.DUMMYFUNCTION("""COMPUTED_VALUE"""),1177716.0)</f>
        <v>1177716</v>
      </c>
      <c r="C1042" s="14" t="str">
        <f>IFERROR(__xludf.DUMMYFUNCTION("""COMPUTED_VALUE"""),"賴致銘")</f>
        <v>賴致銘</v>
      </c>
      <c r="D1042" s="16" t="str">
        <f>IFERROR(__xludf.DUMMYFUNCTION("""COMPUTED_VALUE"""),"111*****ljh.tyc.edu.tw")</f>
        <v>111*****ljh.tyc.edu.tw</v>
      </c>
      <c r="E1042" s="17" t="str">
        <f>IFERROR(__xludf.DUMMYFUNCTION("""COMPUTED_VALUE"""),"桃園市立大崙國民中學")</f>
        <v>桃園市立大崙國民中學</v>
      </c>
      <c r="F1042" s="14" t="str">
        <f>IFERROR(__xludf.DUMMYFUNCTION("""COMPUTED_VALUE"""),"七年級")</f>
        <v>七年級</v>
      </c>
      <c r="G1042" s="14" t="str">
        <f>IFERROR(__xludf.DUMMYFUNCTION("""COMPUTED_VALUE"""),"●小禮物")</f>
        <v>●小禮物</v>
      </c>
      <c r="H1042" s="8"/>
    </row>
    <row r="1043">
      <c r="A1043" s="18"/>
      <c r="B1043" s="14">
        <f>IFERROR(__xludf.DUMMYFUNCTION("""COMPUTED_VALUE"""),1177719.0)</f>
        <v>1177719</v>
      </c>
      <c r="C1043" s="14" t="str">
        <f>IFERROR(__xludf.DUMMYFUNCTION("""COMPUTED_VALUE"""),"鍾睿庭")</f>
        <v>鍾睿庭</v>
      </c>
      <c r="D1043" s="16" t="str">
        <f>IFERROR(__xludf.DUMMYFUNCTION("""COMPUTED_VALUE"""),"111*****ljh.tyc.edu.tw")</f>
        <v>111*****ljh.tyc.edu.tw</v>
      </c>
      <c r="E1043" s="17" t="str">
        <f>IFERROR(__xludf.DUMMYFUNCTION("""COMPUTED_VALUE"""),"桃園市立大崙國民中學")</f>
        <v>桃園市立大崙國民中學</v>
      </c>
      <c r="F1043" s="14" t="str">
        <f>IFERROR(__xludf.DUMMYFUNCTION("""COMPUTED_VALUE"""),"七年級")</f>
        <v>七年級</v>
      </c>
      <c r="G1043" s="14" t="str">
        <f>IFERROR(__xludf.DUMMYFUNCTION("""COMPUTED_VALUE"""),"●小禮物")</f>
        <v>●小禮物</v>
      </c>
      <c r="H1043" s="8"/>
    </row>
    <row r="1044">
      <c r="A1044" s="18"/>
      <c r="B1044" s="14">
        <f>IFERROR(__xludf.DUMMYFUNCTION("""COMPUTED_VALUE"""),1177729.0)</f>
        <v>1177729</v>
      </c>
      <c r="C1044" s="14" t="str">
        <f>IFERROR(__xludf.DUMMYFUNCTION("""COMPUTED_VALUE"""),"呂紫嫺")</f>
        <v>呂紫嫺</v>
      </c>
      <c r="D1044" s="16" t="str">
        <f>IFERROR(__xludf.DUMMYFUNCTION("""COMPUTED_VALUE"""),"111*****ljh.tyc.edu.tw")</f>
        <v>111*****ljh.tyc.edu.tw</v>
      </c>
      <c r="E1044" s="17" t="str">
        <f>IFERROR(__xludf.DUMMYFUNCTION("""COMPUTED_VALUE"""),"桃園市立大崙國民中學")</f>
        <v>桃園市立大崙國民中學</v>
      </c>
      <c r="F1044" s="14" t="str">
        <f>IFERROR(__xludf.DUMMYFUNCTION("""COMPUTED_VALUE"""),"七年級")</f>
        <v>七年級</v>
      </c>
      <c r="G1044" s="14" t="str">
        <f>IFERROR(__xludf.DUMMYFUNCTION("""COMPUTED_VALUE"""),"★禮券$500")</f>
        <v>★禮券$500</v>
      </c>
      <c r="H1044" s="8"/>
    </row>
    <row r="1045">
      <c r="A1045" s="18"/>
      <c r="B1045" s="14">
        <f>IFERROR(__xludf.DUMMYFUNCTION("""COMPUTED_VALUE"""),1177724.0)</f>
        <v>1177724</v>
      </c>
      <c r="C1045" s="14" t="str">
        <f>IFERROR(__xludf.DUMMYFUNCTION("""COMPUTED_VALUE"""),"余庭葳")</f>
        <v>余庭葳</v>
      </c>
      <c r="D1045" s="16" t="str">
        <f>IFERROR(__xludf.DUMMYFUNCTION("""COMPUTED_VALUE"""),"111*****ljh.tyc.edu.tw")</f>
        <v>111*****ljh.tyc.edu.tw</v>
      </c>
      <c r="E1045" s="17" t="str">
        <f>IFERROR(__xludf.DUMMYFUNCTION("""COMPUTED_VALUE"""),"桃園市立大崙國民中學")</f>
        <v>桃園市立大崙國民中學</v>
      </c>
      <c r="F1045" s="14" t="str">
        <f>IFERROR(__xludf.DUMMYFUNCTION("""COMPUTED_VALUE"""),"七年級")</f>
        <v>七年級</v>
      </c>
      <c r="G1045" s="14" t="str">
        <f>IFERROR(__xludf.DUMMYFUNCTION("""COMPUTED_VALUE"""),"獎狀")</f>
        <v>獎狀</v>
      </c>
      <c r="H1045" s="8"/>
    </row>
    <row r="1046">
      <c r="A1046" s="18"/>
      <c r="B1046" s="14">
        <f>IFERROR(__xludf.DUMMYFUNCTION("""COMPUTED_VALUE"""),1177715.0)</f>
        <v>1177715</v>
      </c>
      <c r="C1046" s="14" t="str">
        <f>IFERROR(__xludf.DUMMYFUNCTION("""COMPUTED_VALUE"""),"李東諺")</f>
        <v>李東諺</v>
      </c>
      <c r="D1046" s="16" t="str">
        <f>IFERROR(__xludf.DUMMYFUNCTION("""COMPUTED_VALUE"""),"111*****ljh.tyc.edu.tw")</f>
        <v>111*****ljh.tyc.edu.tw</v>
      </c>
      <c r="E1046" s="17" t="str">
        <f>IFERROR(__xludf.DUMMYFUNCTION("""COMPUTED_VALUE"""),"桃園市立大崙國民中學")</f>
        <v>桃園市立大崙國民中學</v>
      </c>
      <c r="F1046" s="14" t="str">
        <f>IFERROR(__xludf.DUMMYFUNCTION("""COMPUTED_VALUE"""),"七年級")</f>
        <v>七年級</v>
      </c>
      <c r="G1046" s="14" t="str">
        <f>IFERROR(__xludf.DUMMYFUNCTION("""COMPUTED_VALUE"""),"獎狀")</f>
        <v>獎狀</v>
      </c>
      <c r="H1046" s="8"/>
    </row>
    <row r="1047">
      <c r="A1047" s="18"/>
      <c r="B1047" s="14">
        <f>IFERROR(__xludf.DUMMYFUNCTION("""COMPUTED_VALUE"""),1177731.0)</f>
        <v>1177731</v>
      </c>
      <c r="C1047" s="14" t="str">
        <f>IFERROR(__xludf.DUMMYFUNCTION("""COMPUTED_VALUE"""),"卓訓寬")</f>
        <v>卓訓寬</v>
      </c>
      <c r="D1047" s="16" t="str">
        <f>IFERROR(__xludf.DUMMYFUNCTION("""COMPUTED_VALUE"""),"111*****ljh.tyc.edu.tw")</f>
        <v>111*****ljh.tyc.edu.tw</v>
      </c>
      <c r="E1047" s="17" t="str">
        <f>IFERROR(__xludf.DUMMYFUNCTION("""COMPUTED_VALUE"""),"桃園市立大崙國民中學")</f>
        <v>桃園市立大崙國民中學</v>
      </c>
      <c r="F1047" s="14" t="str">
        <f>IFERROR(__xludf.DUMMYFUNCTION("""COMPUTED_VALUE"""),"七年級")</f>
        <v>七年級</v>
      </c>
      <c r="G1047" s="14" t="str">
        <f>IFERROR(__xludf.DUMMYFUNCTION("""COMPUTED_VALUE"""),"獎狀")</f>
        <v>獎狀</v>
      </c>
      <c r="H1047" s="8"/>
    </row>
    <row r="1048">
      <c r="A1048" s="18"/>
      <c r="B1048" s="14">
        <f>IFERROR(__xludf.DUMMYFUNCTION("""COMPUTED_VALUE"""),1177725.0)</f>
        <v>1177725</v>
      </c>
      <c r="C1048" s="14" t="str">
        <f>IFERROR(__xludf.DUMMYFUNCTION("""COMPUTED_VALUE"""),"林妤霏")</f>
        <v>林妤霏</v>
      </c>
      <c r="D1048" s="16" t="str">
        <f>IFERROR(__xludf.DUMMYFUNCTION("""COMPUTED_VALUE"""),"111*****ljh.tyc.edu.tw")</f>
        <v>111*****ljh.tyc.edu.tw</v>
      </c>
      <c r="E1048" s="17" t="str">
        <f>IFERROR(__xludf.DUMMYFUNCTION("""COMPUTED_VALUE"""),"桃園市立大崙國民中學")</f>
        <v>桃園市立大崙國民中學</v>
      </c>
      <c r="F1048" s="14" t="str">
        <f>IFERROR(__xludf.DUMMYFUNCTION("""COMPUTED_VALUE"""),"七年級")</f>
        <v>七年級</v>
      </c>
      <c r="G1048" s="14" t="str">
        <f>IFERROR(__xludf.DUMMYFUNCTION("""COMPUTED_VALUE"""),"獎狀")</f>
        <v>獎狀</v>
      </c>
      <c r="H1048" s="8"/>
    </row>
    <row r="1049">
      <c r="A1049" s="18"/>
      <c r="B1049" s="14">
        <f>IFERROR(__xludf.DUMMYFUNCTION("""COMPUTED_VALUE"""),1177721.0)</f>
        <v>1177721</v>
      </c>
      <c r="C1049" s="14" t="str">
        <f>IFERROR(__xludf.DUMMYFUNCTION("""COMPUTED_VALUE"""),"邱婷芸")</f>
        <v>邱婷芸</v>
      </c>
      <c r="D1049" s="16" t="str">
        <f>IFERROR(__xludf.DUMMYFUNCTION("""COMPUTED_VALUE"""),"111*****ljh.tyc.edu.tw")</f>
        <v>111*****ljh.tyc.edu.tw</v>
      </c>
      <c r="E1049" s="17" t="str">
        <f>IFERROR(__xludf.DUMMYFUNCTION("""COMPUTED_VALUE"""),"桃園市立大崙國民中學")</f>
        <v>桃園市立大崙國民中學</v>
      </c>
      <c r="F1049" s="14" t="str">
        <f>IFERROR(__xludf.DUMMYFUNCTION("""COMPUTED_VALUE"""),"七年級")</f>
        <v>七年級</v>
      </c>
      <c r="G1049" s="14" t="str">
        <f>IFERROR(__xludf.DUMMYFUNCTION("""COMPUTED_VALUE"""),"獎狀")</f>
        <v>獎狀</v>
      </c>
      <c r="H1049" s="8"/>
    </row>
    <row r="1050">
      <c r="A1050" s="18"/>
      <c r="B1050" s="14">
        <f>IFERROR(__xludf.DUMMYFUNCTION("""COMPUTED_VALUE"""),1177734.0)</f>
        <v>1177734</v>
      </c>
      <c r="C1050" s="14" t="str">
        <f>IFERROR(__xludf.DUMMYFUNCTION("""COMPUTED_VALUE"""),"梁宇杰")</f>
        <v>梁宇杰</v>
      </c>
      <c r="D1050" s="16" t="str">
        <f>IFERROR(__xludf.DUMMYFUNCTION("""COMPUTED_VALUE"""),"111*****ljh.tyc.edu.tw")</f>
        <v>111*****ljh.tyc.edu.tw</v>
      </c>
      <c r="E1050" s="17" t="str">
        <f>IFERROR(__xludf.DUMMYFUNCTION("""COMPUTED_VALUE"""),"桃園市立大崙國民中學")</f>
        <v>桃園市立大崙國民中學</v>
      </c>
      <c r="F1050" s="14" t="str">
        <f>IFERROR(__xludf.DUMMYFUNCTION("""COMPUTED_VALUE"""),"七年級")</f>
        <v>七年級</v>
      </c>
      <c r="G1050" s="14" t="str">
        <f>IFERROR(__xludf.DUMMYFUNCTION("""COMPUTED_VALUE"""),"獎狀")</f>
        <v>獎狀</v>
      </c>
      <c r="H1050" s="8"/>
    </row>
    <row r="1051">
      <c r="A1051" s="18"/>
      <c r="B1051" s="14">
        <f>IFERROR(__xludf.DUMMYFUNCTION("""COMPUTED_VALUE"""),1177717.0)</f>
        <v>1177717</v>
      </c>
      <c r="C1051" s="14" t="str">
        <f>IFERROR(__xludf.DUMMYFUNCTION("""COMPUTED_VALUE"""),"許乃千")</f>
        <v>許乃千</v>
      </c>
      <c r="D1051" s="16" t="str">
        <f>IFERROR(__xludf.DUMMYFUNCTION("""COMPUTED_VALUE"""),"111*****ljh.tyc.edu.tw")</f>
        <v>111*****ljh.tyc.edu.tw</v>
      </c>
      <c r="E1051" s="17" t="str">
        <f>IFERROR(__xludf.DUMMYFUNCTION("""COMPUTED_VALUE"""),"桃園市立大崙國民中學")</f>
        <v>桃園市立大崙國民中學</v>
      </c>
      <c r="F1051" s="14" t="str">
        <f>IFERROR(__xludf.DUMMYFUNCTION("""COMPUTED_VALUE"""),"七年級")</f>
        <v>七年級</v>
      </c>
      <c r="G1051" s="14" t="str">
        <f>IFERROR(__xludf.DUMMYFUNCTION("""COMPUTED_VALUE"""),"獎狀")</f>
        <v>獎狀</v>
      </c>
      <c r="H1051" s="8"/>
    </row>
    <row r="1052">
      <c r="A1052" s="18"/>
      <c r="B1052" s="14">
        <f>IFERROR(__xludf.DUMMYFUNCTION("""COMPUTED_VALUE"""),1177714.0)</f>
        <v>1177714</v>
      </c>
      <c r="C1052" s="14" t="str">
        <f>IFERROR(__xludf.DUMMYFUNCTION("""COMPUTED_VALUE"""),"郭芯瑜")</f>
        <v>郭芯瑜</v>
      </c>
      <c r="D1052" s="16" t="str">
        <f>IFERROR(__xludf.DUMMYFUNCTION("""COMPUTED_VALUE"""),"111*****ljh.tyc.edu.tw")</f>
        <v>111*****ljh.tyc.edu.tw</v>
      </c>
      <c r="E1052" s="17" t="str">
        <f>IFERROR(__xludf.DUMMYFUNCTION("""COMPUTED_VALUE"""),"桃園市立大崙國民中學")</f>
        <v>桃園市立大崙國民中學</v>
      </c>
      <c r="F1052" s="14" t="str">
        <f>IFERROR(__xludf.DUMMYFUNCTION("""COMPUTED_VALUE"""),"七年級")</f>
        <v>七年級</v>
      </c>
      <c r="G1052" s="14" t="str">
        <f>IFERROR(__xludf.DUMMYFUNCTION("""COMPUTED_VALUE"""),"獎狀")</f>
        <v>獎狀</v>
      </c>
      <c r="H1052" s="8"/>
    </row>
    <row r="1053">
      <c r="A1053" s="18"/>
      <c r="B1053" s="14">
        <f>IFERROR(__xludf.DUMMYFUNCTION("""COMPUTED_VALUE"""),1177727.0)</f>
        <v>1177727</v>
      </c>
      <c r="C1053" s="14" t="str">
        <f>IFERROR(__xludf.DUMMYFUNCTION("""COMPUTED_VALUE"""),"葉竣喆")</f>
        <v>葉竣喆</v>
      </c>
      <c r="D1053" s="16" t="str">
        <f>IFERROR(__xludf.DUMMYFUNCTION("""COMPUTED_VALUE"""),"111*****ljh.tyc.edu.tw")</f>
        <v>111*****ljh.tyc.edu.tw</v>
      </c>
      <c r="E1053" s="17" t="str">
        <f>IFERROR(__xludf.DUMMYFUNCTION("""COMPUTED_VALUE"""),"桃園市立大崙國民中學")</f>
        <v>桃園市立大崙國民中學</v>
      </c>
      <c r="F1053" s="14" t="str">
        <f>IFERROR(__xludf.DUMMYFUNCTION("""COMPUTED_VALUE"""),"七年級")</f>
        <v>七年級</v>
      </c>
      <c r="G1053" s="14" t="str">
        <f>IFERROR(__xludf.DUMMYFUNCTION("""COMPUTED_VALUE"""),"獎狀")</f>
        <v>獎狀</v>
      </c>
      <c r="H1053" s="8"/>
    </row>
    <row r="1054">
      <c r="A1054" s="18"/>
      <c r="B1054" s="14">
        <f>IFERROR(__xludf.DUMMYFUNCTION("""COMPUTED_VALUE"""),1177726.0)</f>
        <v>1177726</v>
      </c>
      <c r="C1054" s="14" t="str">
        <f>IFERROR(__xludf.DUMMYFUNCTION("""COMPUTED_VALUE"""),"劉宇凡")</f>
        <v>劉宇凡</v>
      </c>
      <c r="D1054" s="16" t="str">
        <f>IFERROR(__xludf.DUMMYFUNCTION("""COMPUTED_VALUE"""),"111*****ljh.tyc.edu.tw")</f>
        <v>111*****ljh.tyc.edu.tw</v>
      </c>
      <c r="E1054" s="17" t="str">
        <f>IFERROR(__xludf.DUMMYFUNCTION("""COMPUTED_VALUE"""),"桃園市立大崙國民中學")</f>
        <v>桃園市立大崙國民中學</v>
      </c>
      <c r="F1054" s="14" t="str">
        <f>IFERROR(__xludf.DUMMYFUNCTION("""COMPUTED_VALUE"""),"七年級")</f>
        <v>七年級</v>
      </c>
      <c r="G1054" s="14" t="str">
        <f>IFERROR(__xludf.DUMMYFUNCTION("""COMPUTED_VALUE"""),"獎狀")</f>
        <v>獎狀</v>
      </c>
      <c r="H1054" s="8"/>
    </row>
    <row r="1055">
      <c r="A1055" s="18"/>
      <c r="B1055" s="14">
        <f>IFERROR(__xludf.DUMMYFUNCTION("""COMPUTED_VALUE"""),1177732.0)</f>
        <v>1177732</v>
      </c>
      <c r="C1055" s="14" t="str">
        <f>IFERROR(__xludf.DUMMYFUNCTION("""COMPUTED_VALUE"""),"賴冠綸")</f>
        <v>賴冠綸</v>
      </c>
      <c r="D1055" s="16" t="str">
        <f>IFERROR(__xludf.DUMMYFUNCTION("""COMPUTED_VALUE"""),"111*****ljh.tyc.edu.tw")</f>
        <v>111*****ljh.tyc.edu.tw</v>
      </c>
      <c r="E1055" s="17" t="str">
        <f>IFERROR(__xludf.DUMMYFUNCTION("""COMPUTED_VALUE"""),"桃園市立大崙國民中學")</f>
        <v>桃園市立大崙國民中學</v>
      </c>
      <c r="F1055" s="14" t="str">
        <f>IFERROR(__xludf.DUMMYFUNCTION("""COMPUTED_VALUE"""),"七年級")</f>
        <v>七年級</v>
      </c>
      <c r="G1055" s="14" t="str">
        <f>IFERROR(__xludf.DUMMYFUNCTION("""COMPUTED_VALUE"""),"獎狀")</f>
        <v>獎狀</v>
      </c>
      <c r="H1055" s="8"/>
    </row>
    <row r="1056">
      <c r="A1056" s="18"/>
      <c r="B1056" s="14">
        <f>IFERROR(__xludf.DUMMYFUNCTION("""COMPUTED_VALUE"""),1184443.0)</f>
        <v>1184443</v>
      </c>
      <c r="C1056" s="14" t="str">
        <f>IFERROR(__xludf.DUMMYFUNCTION("""COMPUTED_VALUE"""),"王裕橙")</f>
        <v>王裕橙</v>
      </c>
      <c r="D1056" s="16" t="str">
        <f>IFERROR(__xludf.DUMMYFUNCTION("""COMPUTED_VALUE"""),"111*****ljh.tyc.edu.tw")</f>
        <v>111*****ljh.tyc.edu.tw</v>
      </c>
      <c r="E1056" s="17" t="str">
        <f>IFERROR(__xludf.DUMMYFUNCTION("""COMPUTED_VALUE"""),"桃園市立大崙國民中學")</f>
        <v>桃園市立大崙國民中學</v>
      </c>
      <c r="F1056" s="14" t="str">
        <f>IFERROR(__xludf.DUMMYFUNCTION("""COMPUTED_VALUE"""),"七年級")</f>
        <v>七年級</v>
      </c>
      <c r="G1056" s="14" t="str">
        <f>IFERROR(__xludf.DUMMYFUNCTION("""COMPUTED_VALUE"""),"●小禮物")</f>
        <v>●小禮物</v>
      </c>
      <c r="H1056" s="8"/>
    </row>
    <row r="1057">
      <c r="A1057" s="18"/>
      <c r="B1057" s="14">
        <f>IFERROR(__xludf.DUMMYFUNCTION("""COMPUTED_VALUE"""),1184424.0)</f>
        <v>1184424</v>
      </c>
      <c r="C1057" s="14" t="str">
        <f>IFERROR(__xludf.DUMMYFUNCTION("""COMPUTED_VALUE"""),"田昀鑫")</f>
        <v>田昀鑫</v>
      </c>
      <c r="D1057" s="16" t="str">
        <f>IFERROR(__xludf.DUMMYFUNCTION("""COMPUTED_VALUE"""),"111*****ljh.tyc.edu.tw")</f>
        <v>111*****ljh.tyc.edu.tw</v>
      </c>
      <c r="E1057" s="17" t="str">
        <f>IFERROR(__xludf.DUMMYFUNCTION("""COMPUTED_VALUE"""),"桃園市立大崙國民中學")</f>
        <v>桃園市立大崙國民中學</v>
      </c>
      <c r="F1057" s="14" t="str">
        <f>IFERROR(__xludf.DUMMYFUNCTION("""COMPUTED_VALUE"""),"七年級")</f>
        <v>七年級</v>
      </c>
      <c r="G1057" s="14" t="str">
        <f>IFERROR(__xludf.DUMMYFUNCTION("""COMPUTED_VALUE"""),"●小禮物")</f>
        <v>●小禮物</v>
      </c>
      <c r="H1057" s="8"/>
    </row>
    <row r="1058">
      <c r="A1058" s="18"/>
      <c r="B1058" s="14">
        <f>IFERROR(__xludf.DUMMYFUNCTION("""COMPUTED_VALUE"""),1184426.0)</f>
        <v>1184426</v>
      </c>
      <c r="C1058" s="14" t="str">
        <f>IFERROR(__xludf.DUMMYFUNCTION("""COMPUTED_VALUE"""),"石芷沂")</f>
        <v>石芷沂</v>
      </c>
      <c r="D1058" s="16" t="str">
        <f>IFERROR(__xludf.DUMMYFUNCTION("""COMPUTED_VALUE"""),"111*****ljh.tyc.edu.tw")</f>
        <v>111*****ljh.tyc.edu.tw</v>
      </c>
      <c r="E1058" s="17" t="str">
        <f>IFERROR(__xludf.DUMMYFUNCTION("""COMPUTED_VALUE"""),"桃園市立大崙國民中學")</f>
        <v>桃園市立大崙國民中學</v>
      </c>
      <c r="F1058" s="14" t="str">
        <f>IFERROR(__xludf.DUMMYFUNCTION("""COMPUTED_VALUE"""),"七年級")</f>
        <v>七年級</v>
      </c>
      <c r="G1058" s="14" t="str">
        <f>IFERROR(__xludf.DUMMYFUNCTION("""COMPUTED_VALUE"""),"●小禮物")</f>
        <v>●小禮物</v>
      </c>
      <c r="H1058" s="8"/>
    </row>
    <row r="1059">
      <c r="A1059" s="18"/>
      <c r="B1059" s="14">
        <f>IFERROR(__xludf.DUMMYFUNCTION("""COMPUTED_VALUE"""),1184440.0)</f>
        <v>1184440</v>
      </c>
      <c r="C1059" s="14" t="str">
        <f>IFERROR(__xludf.DUMMYFUNCTION("""COMPUTED_VALUE"""),"吳聲佑")</f>
        <v>吳聲佑</v>
      </c>
      <c r="D1059" s="16" t="str">
        <f>IFERROR(__xludf.DUMMYFUNCTION("""COMPUTED_VALUE"""),"111*****ljh.tyc.edu.tw")</f>
        <v>111*****ljh.tyc.edu.tw</v>
      </c>
      <c r="E1059" s="17" t="str">
        <f>IFERROR(__xludf.DUMMYFUNCTION("""COMPUTED_VALUE"""),"桃園市立大崙國民中學")</f>
        <v>桃園市立大崙國民中學</v>
      </c>
      <c r="F1059" s="14" t="str">
        <f>IFERROR(__xludf.DUMMYFUNCTION("""COMPUTED_VALUE"""),"七年級")</f>
        <v>七年級</v>
      </c>
      <c r="G1059" s="14" t="str">
        <f>IFERROR(__xludf.DUMMYFUNCTION("""COMPUTED_VALUE"""),"●小禮物")</f>
        <v>●小禮物</v>
      </c>
      <c r="H1059" s="8"/>
    </row>
    <row r="1060">
      <c r="A1060" s="18"/>
      <c r="B1060" s="14">
        <f>IFERROR(__xludf.DUMMYFUNCTION("""COMPUTED_VALUE"""),1184416.0)</f>
        <v>1184416</v>
      </c>
      <c r="C1060" s="14" t="str">
        <f>IFERROR(__xludf.DUMMYFUNCTION("""COMPUTED_VALUE"""),"呂雅琦")</f>
        <v>呂雅琦</v>
      </c>
      <c r="D1060" s="16" t="str">
        <f>IFERROR(__xludf.DUMMYFUNCTION("""COMPUTED_VALUE"""),"111*****ljh.tyc.edu.tw")</f>
        <v>111*****ljh.tyc.edu.tw</v>
      </c>
      <c r="E1060" s="17" t="str">
        <f>IFERROR(__xludf.DUMMYFUNCTION("""COMPUTED_VALUE"""),"桃園市立大崙國民中學")</f>
        <v>桃園市立大崙國民中學</v>
      </c>
      <c r="F1060" s="14" t="str">
        <f>IFERROR(__xludf.DUMMYFUNCTION("""COMPUTED_VALUE"""),"七年級")</f>
        <v>七年級</v>
      </c>
      <c r="G1060" s="14" t="str">
        <f>IFERROR(__xludf.DUMMYFUNCTION("""COMPUTED_VALUE"""),"●小禮物")</f>
        <v>●小禮物</v>
      </c>
      <c r="H1060" s="8"/>
    </row>
    <row r="1061">
      <c r="A1061" s="18"/>
      <c r="B1061" s="14">
        <f>IFERROR(__xludf.DUMMYFUNCTION("""COMPUTED_VALUE"""),1184419.0)</f>
        <v>1184419</v>
      </c>
      <c r="C1061" s="14" t="str">
        <f>IFERROR(__xludf.DUMMYFUNCTION("""COMPUTED_VALUE"""),"高以愛")</f>
        <v>高以愛</v>
      </c>
      <c r="D1061" s="16" t="str">
        <f>IFERROR(__xludf.DUMMYFUNCTION("""COMPUTED_VALUE"""),"111*****ljh.tyc.edu.tw")</f>
        <v>111*****ljh.tyc.edu.tw</v>
      </c>
      <c r="E1061" s="17" t="str">
        <f>IFERROR(__xludf.DUMMYFUNCTION("""COMPUTED_VALUE"""),"桃園市立大崙國民中學")</f>
        <v>桃園市立大崙國民中學</v>
      </c>
      <c r="F1061" s="14" t="str">
        <f>IFERROR(__xludf.DUMMYFUNCTION("""COMPUTED_VALUE"""),"七年級")</f>
        <v>七年級</v>
      </c>
      <c r="G1061" s="14" t="str">
        <f>IFERROR(__xludf.DUMMYFUNCTION("""COMPUTED_VALUE"""),"●小禮物")</f>
        <v>●小禮物</v>
      </c>
      <c r="H1061" s="8"/>
    </row>
    <row r="1062">
      <c r="A1062" s="18"/>
      <c r="B1062" s="14">
        <f>IFERROR(__xludf.DUMMYFUNCTION("""COMPUTED_VALUE"""),1184418.0)</f>
        <v>1184418</v>
      </c>
      <c r="C1062" s="14" t="str">
        <f>IFERROR(__xludf.DUMMYFUNCTION("""COMPUTED_VALUE"""),"梁晉睿")</f>
        <v>梁晉睿</v>
      </c>
      <c r="D1062" s="16" t="str">
        <f>IFERROR(__xludf.DUMMYFUNCTION("""COMPUTED_VALUE"""),"111*****ljh.tyc.edu.tw")</f>
        <v>111*****ljh.tyc.edu.tw</v>
      </c>
      <c r="E1062" s="17" t="str">
        <f>IFERROR(__xludf.DUMMYFUNCTION("""COMPUTED_VALUE"""),"桃園市立大崙國民中學")</f>
        <v>桃園市立大崙國民中學</v>
      </c>
      <c r="F1062" s="14" t="str">
        <f>IFERROR(__xludf.DUMMYFUNCTION("""COMPUTED_VALUE"""),"七年級")</f>
        <v>七年級</v>
      </c>
      <c r="G1062" s="14" t="str">
        <f>IFERROR(__xludf.DUMMYFUNCTION("""COMPUTED_VALUE"""),"●小禮物")</f>
        <v>●小禮物</v>
      </c>
      <c r="H1062" s="8"/>
    </row>
    <row r="1063">
      <c r="A1063" s="18"/>
      <c r="B1063" s="14">
        <f>IFERROR(__xludf.DUMMYFUNCTION("""COMPUTED_VALUE"""),1184438.0)</f>
        <v>1184438</v>
      </c>
      <c r="C1063" s="14" t="str">
        <f>IFERROR(__xludf.DUMMYFUNCTION("""COMPUTED_VALUE"""),"詹子妍")</f>
        <v>詹子妍</v>
      </c>
      <c r="D1063" s="16" t="str">
        <f>IFERROR(__xludf.DUMMYFUNCTION("""COMPUTED_VALUE"""),"111*****ljh.tyc.edu.tw")</f>
        <v>111*****ljh.tyc.edu.tw</v>
      </c>
      <c r="E1063" s="17" t="str">
        <f>IFERROR(__xludf.DUMMYFUNCTION("""COMPUTED_VALUE"""),"桃園市立大崙國民中學")</f>
        <v>桃園市立大崙國民中學</v>
      </c>
      <c r="F1063" s="14" t="str">
        <f>IFERROR(__xludf.DUMMYFUNCTION("""COMPUTED_VALUE"""),"七年級")</f>
        <v>七年級</v>
      </c>
      <c r="G1063" s="14" t="str">
        <f>IFERROR(__xludf.DUMMYFUNCTION("""COMPUTED_VALUE"""),"●小禮物")</f>
        <v>●小禮物</v>
      </c>
      <c r="H1063" s="8"/>
    </row>
    <row r="1064">
      <c r="A1064" s="18"/>
      <c r="B1064" s="14">
        <f>IFERROR(__xludf.DUMMYFUNCTION("""COMPUTED_VALUE"""),1184427.0)</f>
        <v>1184427</v>
      </c>
      <c r="C1064" s="14" t="str">
        <f>IFERROR(__xludf.DUMMYFUNCTION("""COMPUTED_VALUE"""),"詹朝丞")</f>
        <v>詹朝丞</v>
      </c>
      <c r="D1064" s="16" t="str">
        <f>IFERROR(__xludf.DUMMYFUNCTION("""COMPUTED_VALUE"""),"111*****ljh.tyc.edu.tw")</f>
        <v>111*****ljh.tyc.edu.tw</v>
      </c>
      <c r="E1064" s="17" t="str">
        <f>IFERROR(__xludf.DUMMYFUNCTION("""COMPUTED_VALUE"""),"桃園市立大崙國民中學")</f>
        <v>桃園市立大崙國民中學</v>
      </c>
      <c r="F1064" s="14" t="str">
        <f>IFERROR(__xludf.DUMMYFUNCTION("""COMPUTED_VALUE"""),"七年級")</f>
        <v>七年級</v>
      </c>
      <c r="G1064" s="14" t="str">
        <f>IFERROR(__xludf.DUMMYFUNCTION("""COMPUTED_VALUE"""),"●小禮物")</f>
        <v>●小禮物</v>
      </c>
      <c r="H1064" s="8"/>
    </row>
    <row r="1065">
      <c r="A1065" s="18"/>
      <c r="B1065" s="14">
        <f>IFERROR(__xludf.DUMMYFUNCTION("""COMPUTED_VALUE"""),1184431.0)</f>
        <v>1184431</v>
      </c>
      <c r="C1065" s="14" t="str">
        <f>IFERROR(__xludf.DUMMYFUNCTION("""COMPUTED_VALUE"""),"詹睿靖")</f>
        <v>詹睿靖</v>
      </c>
      <c r="D1065" s="16" t="str">
        <f>IFERROR(__xludf.DUMMYFUNCTION("""COMPUTED_VALUE"""),"111*****ljh.tyc.edu.tw")</f>
        <v>111*****ljh.tyc.edu.tw</v>
      </c>
      <c r="E1065" s="17" t="str">
        <f>IFERROR(__xludf.DUMMYFUNCTION("""COMPUTED_VALUE"""),"桃園市立大崙國民中學")</f>
        <v>桃園市立大崙國民中學</v>
      </c>
      <c r="F1065" s="14" t="str">
        <f>IFERROR(__xludf.DUMMYFUNCTION("""COMPUTED_VALUE"""),"七年級")</f>
        <v>七年級</v>
      </c>
      <c r="G1065" s="14" t="str">
        <f>IFERROR(__xludf.DUMMYFUNCTION("""COMPUTED_VALUE"""),"●小禮物")</f>
        <v>●小禮物</v>
      </c>
      <c r="H1065" s="8"/>
    </row>
    <row r="1066">
      <c r="A1066" s="18"/>
      <c r="B1066" s="14">
        <f>IFERROR(__xludf.DUMMYFUNCTION("""COMPUTED_VALUE"""),1184421.0)</f>
        <v>1184421</v>
      </c>
      <c r="C1066" s="14" t="str">
        <f>IFERROR(__xludf.DUMMYFUNCTION("""COMPUTED_VALUE"""),"謝昀靜")</f>
        <v>謝昀靜</v>
      </c>
      <c r="D1066" s="16" t="str">
        <f>IFERROR(__xludf.DUMMYFUNCTION("""COMPUTED_VALUE"""),"111*****ljh.tyc.edu.tw")</f>
        <v>111*****ljh.tyc.edu.tw</v>
      </c>
      <c r="E1066" s="17" t="str">
        <f>IFERROR(__xludf.DUMMYFUNCTION("""COMPUTED_VALUE"""),"桃園市立大崙國民中學")</f>
        <v>桃園市立大崙國民中學</v>
      </c>
      <c r="F1066" s="14" t="str">
        <f>IFERROR(__xludf.DUMMYFUNCTION("""COMPUTED_VALUE"""),"七年級")</f>
        <v>七年級</v>
      </c>
      <c r="G1066" s="14" t="str">
        <f>IFERROR(__xludf.DUMMYFUNCTION("""COMPUTED_VALUE"""),"●小禮物")</f>
        <v>●小禮物</v>
      </c>
      <c r="H1066" s="8"/>
    </row>
    <row r="1067">
      <c r="A1067" s="18"/>
      <c r="B1067" s="14">
        <f>IFERROR(__xludf.DUMMYFUNCTION("""COMPUTED_VALUE"""),1184420.0)</f>
        <v>1184420</v>
      </c>
      <c r="C1067" s="14" t="str">
        <f>IFERROR(__xludf.DUMMYFUNCTION("""COMPUTED_VALUE"""),"吳彥霆")</f>
        <v>吳彥霆</v>
      </c>
      <c r="D1067" s="16" t="str">
        <f>IFERROR(__xludf.DUMMYFUNCTION("""COMPUTED_VALUE"""),"111*****ljh.tyc.edu.tw")</f>
        <v>111*****ljh.tyc.edu.tw</v>
      </c>
      <c r="E1067" s="17" t="str">
        <f>IFERROR(__xludf.DUMMYFUNCTION("""COMPUTED_VALUE"""),"桃園市立大崙國民中學")</f>
        <v>桃園市立大崙國民中學</v>
      </c>
      <c r="F1067" s="14" t="str">
        <f>IFERROR(__xludf.DUMMYFUNCTION("""COMPUTED_VALUE"""),"七年級")</f>
        <v>七年級</v>
      </c>
      <c r="G1067" s="14" t="str">
        <f>IFERROR(__xludf.DUMMYFUNCTION("""COMPUTED_VALUE"""),"獎狀")</f>
        <v>獎狀</v>
      </c>
      <c r="H1067" s="8"/>
    </row>
    <row r="1068">
      <c r="A1068" s="18"/>
      <c r="B1068" s="14">
        <f>IFERROR(__xludf.DUMMYFUNCTION("""COMPUTED_VALUE"""),1184448.0)</f>
        <v>1184448</v>
      </c>
      <c r="C1068" s="14" t="str">
        <f>IFERROR(__xludf.DUMMYFUNCTION("""COMPUTED_VALUE"""),"吳若彤")</f>
        <v>吳若彤</v>
      </c>
      <c r="D1068" s="16" t="str">
        <f>IFERROR(__xludf.DUMMYFUNCTION("""COMPUTED_VALUE"""),"111*****ljh.tyc.edu.tw")</f>
        <v>111*****ljh.tyc.edu.tw</v>
      </c>
      <c r="E1068" s="17" t="str">
        <f>IFERROR(__xludf.DUMMYFUNCTION("""COMPUTED_VALUE"""),"桃園市立大崙國民中學")</f>
        <v>桃園市立大崙國民中學</v>
      </c>
      <c r="F1068" s="14" t="str">
        <f>IFERROR(__xludf.DUMMYFUNCTION("""COMPUTED_VALUE"""),"七年級")</f>
        <v>七年級</v>
      </c>
      <c r="G1068" s="14" t="str">
        <f>IFERROR(__xludf.DUMMYFUNCTION("""COMPUTED_VALUE"""),"獎狀")</f>
        <v>獎狀</v>
      </c>
      <c r="H1068" s="8"/>
    </row>
    <row r="1069">
      <c r="A1069" s="18"/>
      <c r="B1069" s="14">
        <f>IFERROR(__xludf.DUMMYFUNCTION("""COMPUTED_VALUE"""),1184432.0)</f>
        <v>1184432</v>
      </c>
      <c r="C1069" s="14" t="str">
        <f>IFERROR(__xludf.DUMMYFUNCTION("""COMPUTED_VALUE"""),"張庭溱")</f>
        <v>張庭溱</v>
      </c>
      <c r="D1069" s="16" t="str">
        <f>IFERROR(__xludf.DUMMYFUNCTION("""COMPUTED_VALUE"""),"111*****ljh.tyc.edu.tw")</f>
        <v>111*****ljh.tyc.edu.tw</v>
      </c>
      <c r="E1069" s="17" t="str">
        <f>IFERROR(__xludf.DUMMYFUNCTION("""COMPUTED_VALUE"""),"桃園市立大崙國民中學")</f>
        <v>桃園市立大崙國民中學</v>
      </c>
      <c r="F1069" s="14" t="str">
        <f>IFERROR(__xludf.DUMMYFUNCTION("""COMPUTED_VALUE"""),"七年級")</f>
        <v>七年級</v>
      </c>
      <c r="G1069" s="14" t="str">
        <f>IFERROR(__xludf.DUMMYFUNCTION("""COMPUTED_VALUE"""),"獎狀")</f>
        <v>獎狀</v>
      </c>
      <c r="H1069" s="8"/>
    </row>
    <row r="1070">
      <c r="A1070" s="18"/>
      <c r="B1070" s="14">
        <f>IFERROR(__xludf.DUMMYFUNCTION("""COMPUTED_VALUE"""),1184435.0)</f>
        <v>1184435</v>
      </c>
      <c r="C1070" s="14" t="str">
        <f>IFERROR(__xludf.DUMMYFUNCTION("""COMPUTED_VALUE"""),"張語珈")</f>
        <v>張語珈</v>
      </c>
      <c r="D1070" s="16" t="str">
        <f>IFERROR(__xludf.DUMMYFUNCTION("""COMPUTED_VALUE"""),"111*****ljh.tyc.edu.tw")</f>
        <v>111*****ljh.tyc.edu.tw</v>
      </c>
      <c r="E1070" s="17" t="str">
        <f>IFERROR(__xludf.DUMMYFUNCTION("""COMPUTED_VALUE"""),"桃園市立大崙國民中學")</f>
        <v>桃園市立大崙國民中學</v>
      </c>
      <c r="F1070" s="14" t="str">
        <f>IFERROR(__xludf.DUMMYFUNCTION("""COMPUTED_VALUE"""),"七年級")</f>
        <v>七年級</v>
      </c>
      <c r="G1070" s="14" t="str">
        <f>IFERROR(__xludf.DUMMYFUNCTION("""COMPUTED_VALUE"""),"獎狀")</f>
        <v>獎狀</v>
      </c>
      <c r="H1070" s="8"/>
    </row>
    <row r="1071">
      <c r="A1071" s="18"/>
      <c r="B1071" s="14">
        <f>IFERROR(__xludf.DUMMYFUNCTION("""COMPUTED_VALUE"""),1184437.0)</f>
        <v>1184437</v>
      </c>
      <c r="C1071" s="14" t="str">
        <f>IFERROR(__xludf.DUMMYFUNCTION("""COMPUTED_VALUE"""),"莊柔敏")</f>
        <v>莊柔敏</v>
      </c>
      <c r="D1071" s="16" t="str">
        <f>IFERROR(__xludf.DUMMYFUNCTION("""COMPUTED_VALUE"""),"111*****ljh.tyc.edu.tw")</f>
        <v>111*****ljh.tyc.edu.tw</v>
      </c>
      <c r="E1071" s="17" t="str">
        <f>IFERROR(__xludf.DUMMYFUNCTION("""COMPUTED_VALUE"""),"桃園市立大崙國民中學")</f>
        <v>桃園市立大崙國民中學</v>
      </c>
      <c r="F1071" s="14" t="str">
        <f>IFERROR(__xludf.DUMMYFUNCTION("""COMPUTED_VALUE"""),"七年級")</f>
        <v>七年級</v>
      </c>
      <c r="G1071" s="14" t="str">
        <f>IFERROR(__xludf.DUMMYFUNCTION("""COMPUTED_VALUE"""),"獎狀")</f>
        <v>獎狀</v>
      </c>
      <c r="H1071" s="8"/>
    </row>
    <row r="1072">
      <c r="A1072" s="18"/>
      <c r="B1072" s="14">
        <f>IFERROR(__xludf.DUMMYFUNCTION("""COMPUTED_VALUE"""),1184417.0)</f>
        <v>1184417</v>
      </c>
      <c r="C1072" s="14" t="str">
        <f>IFERROR(__xludf.DUMMYFUNCTION("""COMPUTED_VALUE"""),"黃瀅潔")</f>
        <v>黃瀅潔</v>
      </c>
      <c r="D1072" s="16" t="str">
        <f>IFERROR(__xludf.DUMMYFUNCTION("""COMPUTED_VALUE"""),"111*****ljh.tyc.edu.tw")</f>
        <v>111*****ljh.tyc.edu.tw</v>
      </c>
      <c r="E1072" s="17" t="str">
        <f>IFERROR(__xludf.DUMMYFUNCTION("""COMPUTED_VALUE"""),"桃園市立大崙國民中學")</f>
        <v>桃園市立大崙國民中學</v>
      </c>
      <c r="F1072" s="14" t="str">
        <f>IFERROR(__xludf.DUMMYFUNCTION("""COMPUTED_VALUE"""),"七年級")</f>
        <v>七年級</v>
      </c>
      <c r="G1072" s="14" t="str">
        <f>IFERROR(__xludf.DUMMYFUNCTION("""COMPUTED_VALUE"""),"獎狀")</f>
        <v>獎狀</v>
      </c>
      <c r="H1072" s="8"/>
    </row>
    <row r="1073">
      <c r="A1073" s="18"/>
      <c r="B1073" s="14">
        <f>IFERROR(__xludf.DUMMYFUNCTION("""COMPUTED_VALUE"""),1197049.0)</f>
        <v>1197049</v>
      </c>
      <c r="C1073" s="14" t="str">
        <f>IFERROR(__xludf.DUMMYFUNCTION("""COMPUTED_VALUE"""),"詹鎧御")</f>
        <v>詹鎧御</v>
      </c>
      <c r="D1073" s="16" t="str">
        <f>IFERROR(__xludf.DUMMYFUNCTION("""COMPUTED_VALUE"""),"111*****ljh.tyc.edu.tw")</f>
        <v>111*****ljh.tyc.edu.tw</v>
      </c>
      <c r="E1073" s="17" t="str">
        <f>IFERROR(__xludf.DUMMYFUNCTION("""COMPUTED_VALUE"""),"桃園市立大崙國民中學")</f>
        <v>桃園市立大崙國民中學</v>
      </c>
      <c r="F1073" s="14" t="str">
        <f>IFERROR(__xludf.DUMMYFUNCTION("""COMPUTED_VALUE"""),"七年級")</f>
        <v>七年級</v>
      </c>
      <c r="G1073" s="14" t="str">
        <f>IFERROR(__xludf.DUMMYFUNCTION("""COMPUTED_VALUE"""),"獎狀")</f>
        <v>獎狀</v>
      </c>
      <c r="H1073" s="8"/>
    </row>
    <row r="1074">
      <c r="A1074" s="18"/>
      <c r="B1074" s="14">
        <f>IFERROR(__xludf.DUMMYFUNCTION("""COMPUTED_VALUE"""),822298.0)</f>
        <v>822298</v>
      </c>
      <c r="C1074" s="14" t="str">
        <f>IFERROR(__xludf.DUMMYFUNCTION("""COMPUTED_VALUE"""),"邱奕勛")</f>
        <v>邱奕勛</v>
      </c>
      <c r="D1074" s="16" t="str">
        <f>IFERROR(__xludf.DUMMYFUNCTION("""COMPUTED_VALUE"""),"110*****ljh.tyc.edu.tw")</f>
        <v>110*****ljh.tyc.edu.tw</v>
      </c>
      <c r="E1074" s="17" t="str">
        <f>IFERROR(__xludf.DUMMYFUNCTION("""COMPUTED_VALUE"""),"桃園市立大崙國民中學")</f>
        <v>桃園市立大崙國民中學</v>
      </c>
      <c r="F1074" s="14" t="str">
        <f>IFERROR(__xludf.DUMMYFUNCTION("""COMPUTED_VALUE"""),"七年級")</f>
        <v>七年級</v>
      </c>
      <c r="G1074" s="14" t="str">
        <f>IFERROR(__xludf.DUMMYFUNCTION("""COMPUTED_VALUE"""),"獎狀")</f>
        <v>獎狀</v>
      </c>
      <c r="H1074" s="8"/>
    </row>
    <row r="1075">
      <c r="A1075" s="18"/>
      <c r="B1075" s="14">
        <f>IFERROR(__xludf.DUMMYFUNCTION("""COMPUTED_VALUE"""),1194883.0)</f>
        <v>1194883</v>
      </c>
      <c r="C1075" s="14" t="str">
        <f>IFERROR(__xludf.DUMMYFUNCTION("""COMPUTED_VALUE"""),"莊智文")</f>
        <v>莊智文</v>
      </c>
      <c r="D1075" s="16" t="str">
        <f>IFERROR(__xludf.DUMMYFUNCTION("""COMPUTED_VALUE"""),"111*****ljh.tyc.edu.tw")</f>
        <v>111*****ljh.tyc.edu.tw</v>
      </c>
      <c r="E1075" s="17" t="str">
        <f>IFERROR(__xludf.DUMMYFUNCTION("""COMPUTED_VALUE"""),"桃園市立大崙國民中學")</f>
        <v>桃園市立大崙國民中學</v>
      </c>
      <c r="F1075" s="14" t="str">
        <f>IFERROR(__xludf.DUMMYFUNCTION("""COMPUTED_VALUE"""),"七年級")</f>
        <v>七年級</v>
      </c>
      <c r="G1075" s="14" t="str">
        <f>IFERROR(__xludf.DUMMYFUNCTION("""COMPUTED_VALUE"""),"獎狀")</f>
        <v>獎狀</v>
      </c>
      <c r="H1075" s="8"/>
    </row>
    <row r="1076">
      <c r="A1076" s="18"/>
      <c r="B1076" s="14">
        <f>IFERROR(__xludf.DUMMYFUNCTION("""COMPUTED_VALUE"""),818976.0)</f>
        <v>818976</v>
      </c>
      <c r="C1076" s="14" t="str">
        <f>IFERROR(__xludf.DUMMYFUNCTION("""COMPUTED_VALUE"""),"葉馨華")</f>
        <v>葉馨華</v>
      </c>
      <c r="D1076" s="16" t="str">
        <f>IFERROR(__xludf.DUMMYFUNCTION("""COMPUTED_VALUE"""),"t01*****h.tyc.edu.tw")</f>
        <v>t01*****h.tyc.edu.tw</v>
      </c>
      <c r="E1076" s="17" t="str">
        <f>IFERROR(__xludf.DUMMYFUNCTION("""COMPUTED_VALUE"""),"桃園市立大崙國民中學")</f>
        <v>桃園市立大崙國民中學</v>
      </c>
      <c r="F1076" s="14" t="str">
        <f>IFERROR(__xludf.DUMMYFUNCTION("""COMPUTED_VALUE"""),"七年級")</f>
        <v>七年級</v>
      </c>
      <c r="G1076" s="14" t="str">
        <f>IFERROR(__xludf.DUMMYFUNCTION("""COMPUTED_VALUE"""),"獎狀")</f>
        <v>獎狀</v>
      </c>
      <c r="H1076" s="8"/>
    </row>
    <row r="1077">
      <c r="A1077" s="18"/>
      <c r="B1077" s="14">
        <f>IFERROR(__xludf.DUMMYFUNCTION("""COMPUTED_VALUE"""),1180047.0)</f>
        <v>1180047</v>
      </c>
      <c r="C1077" s="14" t="str">
        <f>IFERROR(__xludf.DUMMYFUNCTION("""COMPUTED_VALUE"""),"翁楚茜")</f>
        <v>翁楚茜</v>
      </c>
      <c r="D1077" s="16" t="str">
        <f>IFERROR(__xludf.DUMMYFUNCTION("""COMPUTED_VALUE"""),"111*****ljh.tyc.edu.tw")</f>
        <v>111*****ljh.tyc.edu.tw</v>
      </c>
      <c r="E1077" s="17" t="str">
        <f>IFERROR(__xludf.DUMMYFUNCTION("""COMPUTED_VALUE"""),"桃園市立大崙國民中學")</f>
        <v>桃園市立大崙國民中學</v>
      </c>
      <c r="F1077" s="14" t="str">
        <f>IFERROR(__xludf.DUMMYFUNCTION("""COMPUTED_VALUE"""),"七年級")</f>
        <v>七年級</v>
      </c>
      <c r="G1077" s="14" t="str">
        <f>IFERROR(__xludf.DUMMYFUNCTION("""COMPUTED_VALUE"""),"●小禮物")</f>
        <v>●小禮物</v>
      </c>
      <c r="H1077" s="8"/>
    </row>
    <row r="1078">
      <c r="A1078" s="18"/>
      <c r="B1078" s="14">
        <f>IFERROR(__xludf.DUMMYFUNCTION("""COMPUTED_VALUE"""),1180061.0)</f>
        <v>1180061</v>
      </c>
      <c r="C1078" s="14" t="str">
        <f>IFERROR(__xludf.DUMMYFUNCTION("""COMPUTED_VALUE"""),"張姿珊")</f>
        <v>張姿珊</v>
      </c>
      <c r="D1078" s="16" t="str">
        <f>IFERROR(__xludf.DUMMYFUNCTION("""COMPUTED_VALUE"""),"111*****ljh.tyc.edu.tw")</f>
        <v>111*****ljh.tyc.edu.tw</v>
      </c>
      <c r="E1078" s="17" t="str">
        <f>IFERROR(__xludf.DUMMYFUNCTION("""COMPUTED_VALUE"""),"桃園市立大崙國民中學")</f>
        <v>桃園市立大崙國民中學</v>
      </c>
      <c r="F1078" s="14" t="str">
        <f>IFERROR(__xludf.DUMMYFUNCTION("""COMPUTED_VALUE"""),"七年級")</f>
        <v>七年級</v>
      </c>
      <c r="G1078" s="14" t="str">
        <f>IFERROR(__xludf.DUMMYFUNCTION("""COMPUTED_VALUE"""),"●小禮物")</f>
        <v>●小禮物</v>
      </c>
      <c r="H1078" s="8"/>
    </row>
    <row r="1079">
      <c r="A1079" s="18"/>
      <c r="B1079" s="14">
        <f>IFERROR(__xludf.DUMMYFUNCTION("""COMPUTED_VALUE"""),1180050.0)</f>
        <v>1180050</v>
      </c>
      <c r="C1079" s="14" t="str">
        <f>IFERROR(__xludf.DUMMYFUNCTION("""COMPUTED_VALUE"""),"張盛凱")</f>
        <v>張盛凱</v>
      </c>
      <c r="D1079" s="16" t="str">
        <f>IFERROR(__xludf.DUMMYFUNCTION("""COMPUTED_VALUE"""),"111*****ljh.tyc.edu.tw")</f>
        <v>111*****ljh.tyc.edu.tw</v>
      </c>
      <c r="E1079" s="17" t="str">
        <f>IFERROR(__xludf.DUMMYFUNCTION("""COMPUTED_VALUE"""),"桃園市立大崙國民中學")</f>
        <v>桃園市立大崙國民中學</v>
      </c>
      <c r="F1079" s="14" t="str">
        <f>IFERROR(__xludf.DUMMYFUNCTION("""COMPUTED_VALUE"""),"七年級")</f>
        <v>七年級</v>
      </c>
      <c r="G1079" s="14" t="str">
        <f>IFERROR(__xludf.DUMMYFUNCTION("""COMPUTED_VALUE"""),"●小禮物")</f>
        <v>●小禮物</v>
      </c>
      <c r="H1079" s="8"/>
    </row>
    <row r="1080">
      <c r="A1080" s="18"/>
      <c r="B1080" s="14">
        <f>IFERROR(__xludf.DUMMYFUNCTION("""COMPUTED_VALUE"""),1180051.0)</f>
        <v>1180051</v>
      </c>
      <c r="C1080" s="14" t="str">
        <f>IFERROR(__xludf.DUMMYFUNCTION("""COMPUTED_VALUE"""),"陳謙睿")</f>
        <v>陳謙睿</v>
      </c>
      <c r="D1080" s="16" t="str">
        <f>IFERROR(__xludf.DUMMYFUNCTION("""COMPUTED_VALUE"""),"111*****ljh.tyc.edu.tw")</f>
        <v>111*****ljh.tyc.edu.tw</v>
      </c>
      <c r="E1080" s="17" t="str">
        <f>IFERROR(__xludf.DUMMYFUNCTION("""COMPUTED_VALUE"""),"桃園市立大崙國民中學")</f>
        <v>桃園市立大崙國民中學</v>
      </c>
      <c r="F1080" s="14" t="str">
        <f>IFERROR(__xludf.DUMMYFUNCTION("""COMPUTED_VALUE"""),"七年級")</f>
        <v>七年級</v>
      </c>
      <c r="G1080" s="14" t="str">
        <f>IFERROR(__xludf.DUMMYFUNCTION("""COMPUTED_VALUE"""),"●小禮物")</f>
        <v>●小禮物</v>
      </c>
      <c r="H1080" s="8"/>
    </row>
    <row r="1081">
      <c r="A1081" s="18"/>
      <c r="B1081" s="14">
        <f>IFERROR(__xludf.DUMMYFUNCTION("""COMPUTED_VALUE"""),1180052.0)</f>
        <v>1180052</v>
      </c>
      <c r="C1081" s="14" t="str">
        <f>IFERROR(__xludf.DUMMYFUNCTION("""COMPUTED_VALUE"""),"曾語瑄")</f>
        <v>曾語瑄</v>
      </c>
      <c r="D1081" s="16" t="str">
        <f>IFERROR(__xludf.DUMMYFUNCTION("""COMPUTED_VALUE"""),"111*****ljh.tyc.edu.tw")</f>
        <v>111*****ljh.tyc.edu.tw</v>
      </c>
      <c r="E1081" s="17" t="str">
        <f>IFERROR(__xludf.DUMMYFUNCTION("""COMPUTED_VALUE"""),"桃園市立大崙國民中學")</f>
        <v>桃園市立大崙國民中學</v>
      </c>
      <c r="F1081" s="14" t="str">
        <f>IFERROR(__xludf.DUMMYFUNCTION("""COMPUTED_VALUE"""),"七年級")</f>
        <v>七年級</v>
      </c>
      <c r="G1081" s="14" t="str">
        <f>IFERROR(__xludf.DUMMYFUNCTION("""COMPUTED_VALUE"""),"●小禮物")</f>
        <v>●小禮物</v>
      </c>
      <c r="H1081" s="8"/>
    </row>
    <row r="1082">
      <c r="A1082" s="18"/>
      <c r="B1082" s="14">
        <f>IFERROR(__xludf.DUMMYFUNCTION("""COMPUTED_VALUE"""),1180063.0)</f>
        <v>1180063</v>
      </c>
      <c r="C1082" s="14" t="str">
        <f>IFERROR(__xludf.DUMMYFUNCTION("""COMPUTED_VALUE"""),"黃心妤")</f>
        <v>黃心妤</v>
      </c>
      <c r="D1082" s="16" t="str">
        <f>IFERROR(__xludf.DUMMYFUNCTION("""COMPUTED_VALUE"""),"111*****ljh.tyc.edu.tw")</f>
        <v>111*****ljh.tyc.edu.tw</v>
      </c>
      <c r="E1082" s="17" t="str">
        <f>IFERROR(__xludf.DUMMYFUNCTION("""COMPUTED_VALUE"""),"桃園市立大崙國民中學")</f>
        <v>桃園市立大崙國民中學</v>
      </c>
      <c r="F1082" s="14" t="str">
        <f>IFERROR(__xludf.DUMMYFUNCTION("""COMPUTED_VALUE"""),"七年級")</f>
        <v>七年級</v>
      </c>
      <c r="G1082" s="14" t="str">
        <f>IFERROR(__xludf.DUMMYFUNCTION("""COMPUTED_VALUE"""),"●小禮物")</f>
        <v>●小禮物</v>
      </c>
      <c r="H1082" s="8"/>
    </row>
    <row r="1083">
      <c r="A1083" s="18"/>
      <c r="B1083" s="14">
        <f>IFERROR(__xludf.DUMMYFUNCTION("""COMPUTED_VALUE"""),1180045.0)</f>
        <v>1180045</v>
      </c>
      <c r="C1083" s="14" t="str">
        <f>IFERROR(__xludf.DUMMYFUNCTION("""COMPUTED_VALUE"""),"鄭宇澤")</f>
        <v>鄭宇澤</v>
      </c>
      <c r="D1083" s="16" t="str">
        <f>IFERROR(__xludf.DUMMYFUNCTION("""COMPUTED_VALUE"""),"111*****ljh.tyc.edu.tw")</f>
        <v>111*****ljh.tyc.edu.tw</v>
      </c>
      <c r="E1083" s="17" t="str">
        <f>IFERROR(__xludf.DUMMYFUNCTION("""COMPUTED_VALUE"""),"桃園市立大崙國民中學")</f>
        <v>桃園市立大崙國民中學</v>
      </c>
      <c r="F1083" s="14" t="str">
        <f>IFERROR(__xludf.DUMMYFUNCTION("""COMPUTED_VALUE"""),"七年級")</f>
        <v>七年級</v>
      </c>
      <c r="G1083" s="14" t="str">
        <f>IFERROR(__xludf.DUMMYFUNCTION("""COMPUTED_VALUE"""),"●小禮物")</f>
        <v>●小禮物</v>
      </c>
      <c r="H1083" s="8"/>
    </row>
    <row r="1084">
      <c r="A1084" s="18"/>
      <c r="B1084" s="14">
        <f>IFERROR(__xludf.DUMMYFUNCTION("""COMPUTED_VALUE"""),1180064.0)</f>
        <v>1180064</v>
      </c>
      <c r="C1084" s="14" t="str">
        <f>IFERROR(__xludf.DUMMYFUNCTION("""COMPUTED_VALUE"""),"羅羽峻")</f>
        <v>羅羽峻</v>
      </c>
      <c r="D1084" s="16" t="str">
        <f>IFERROR(__xludf.DUMMYFUNCTION("""COMPUTED_VALUE"""),"111*****ljh.tyc.edu.tw")</f>
        <v>111*****ljh.tyc.edu.tw</v>
      </c>
      <c r="E1084" s="17" t="str">
        <f>IFERROR(__xludf.DUMMYFUNCTION("""COMPUTED_VALUE"""),"桃園市立大崙國民中學")</f>
        <v>桃園市立大崙國民中學</v>
      </c>
      <c r="F1084" s="14" t="str">
        <f>IFERROR(__xludf.DUMMYFUNCTION("""COMPUTED_VALUE"""),"七年級")</f>
        <v>七年級</v>
      </c>
      <c r="G1084" s="14" t="str">
        <f>IFERROR(__xludf.DUMMYFUNCTION("""COMPUTED_VALUE"""),"●小禮物")</f>
        <v>●小禮物</v>
      </c>
      <c r="H1084" s="8"/>
    </row>
    <row r="1085">
      <c r="A1085" s="18"/>
      <c r="B1085" s="14">
        <f>IFERROR(__xludf.DUMMYFUNCTION("""COMPUTED_VALUE"""),1180046.0)</f>
        <v>1180046</v>
      </c>
      <c r="C1085" s="14" t="str">
        <f>IFERROR(__xludf.DUMMYFUNCTION("""COMPUTED_VALUE"""),"羅欣妍")</f>
        <v>羅欣妍</v>
      </c>
      <c r="D1085" s="16" t="str">
        <f>IFERROR(__xludf.DUMMYFUNCTION("""COMPUTED_VALUE"""),"111*****ljh.tyc.edu.tw")</f>
        <v>111*****ljh.tyc.edu.tw</v>
      </c>
      <c r="E1085" s="17" t="str">
        <f>IFERROR(__xludf.DUMMYFUNCTION("""COMPUTED_VALUE"""),"桃園市立大崙國民中學")</f>
        <v>桃園市立大崙國民中學</v>
      </c>
      <c r="F1085" s="14" t="str">
        <f>IFERROR(__xludf.DUMMYFUNCTION("""COMPUTED_VALUE"""),"七年級")</f>
        <v>七年級</v>
      </c>
      <c r="G1085" s="14" t="str">
        <f>IFERROR(__xludf.DUMMYFUNCTION("""COMPUTED_VALUE"""),"●小禮物")</f>
        <v>●小禮物</v>
      </c>
      <c r="H1085" s="8"/>
    </row>
    <row r="1086">
      <c r="A1086" s="18"/>
      <c r="B1086" s="14">
        <f>IFERROR(__xludf.DUMMYFUNCTION("""COMPUTED_VALUE"""),1180053.0)</f>
        <v>1180053</v>
      </c>
      <c r="C1086" s="14" t="str">
        <f>IFERROR(__xludf.DUMMYFUNCTION("""COMPUTED_VALUE"""),"詹宗祐")</f>
        <v>詹宗祐</v>
      </c>
      <c r="D1086" s="16" t="str">
        <f>IFERROR(__xludf.DUMMYFUNCTION("""COMPUTED_VALUE"""),"111*****ljh.tyc.edu.tw")</f>
        <v>111*****ljh.tyc.edu.tw</v>
      </c>
      <c r="E1086" s="17" t="str">
        <f>IFERROR(__xludf.DUMMYFUNCTION("""COMPUTED_VALUE"""),"桃園市立大崙國民中學")</f>
        <v>桃園市立大崙國民中學</v>
      </c>
      <c r="F1086" s="14" t="str">
        <f>IFERROR(__xludf.DUMMYFUNCTION("""COMPUTED_VALUE"""),"七年級")</f>
        <v>七年級</v>
      </c>
      <c r="G1086" s="14" t="str">
        <f>IFERROR(__xludf.DUMMYFUNCTION("""COMPUTED_VALUE"""),"★禮券$200")</f>
        <v>★禮券$200</v>
      </c>
      <c r="H1086" s="8"/>
    </row>
    <row r="1087">
      <c r="A1087" s="18"/>
      <c r="B1087" s="14">
        <f>IFERROR(__xludf.DUMMYFUNCTION("""COMPUTED_VALUE"""),1180055.0)</f>
        <v>1180055</v>
      </c>
      <c r="C1087" s="14" t="str">
        <f>IFERROR(__xludf.DUMMYFUNCTION("""COMPUTED_VALUE"""),"陳盈安")</f>
        <v>陳盈安</v>
      </c>
      <c r="D1087" s="16" t="str">
        <f>IFERROR(__xludf.DUMMYFUNCTION("""COMPUTED_VALUE"""),"111*****ljh.tyc.edu.tw")</f>
        <v>111*****ljh.tyc.edu.tw</v>
      </c>
      <c r="E1087" s="17" t="str">
        <f>IFERROR(__xludf.DUMMYFUNCTION("""COMPUTED_VALUE"""),"桃園市立大崙國民中學")</f>
        <v>桃園市立大崙國民中學</v>
      </c>
      <c r="F1087" s="14" t="str">
        <f>IFERROR(__xludf.DUMMYFUNCTION("""COMPUTED_VALUE"""),"七年級")</f>
        <v>七年級</v>
      </c>
      <c r="G1087" s="14" t="str">
        <f>IFERROR(__xludf.DUMMYFUNCTION("""COMPUTED_VALUE"""),"獎狀")</f>
        <v>獎狀</v>
      </c>
      <c r="H1087" s="8"/>
    </row>
    <row r="1088">
      <c r="A1088" s="18"/>
      <c r="B1088" s="14">
        <f>IFERROR(__xludf.DUMMYFUNCTION("""COMPUTED_VALUE"""),1175373.0)</f>
        <v>1175373</v>
      </c>
      <c r="C1088" s="14" t="str">
        <f>IFERROR(__xludf.DUMMYFUNCTION("""COMPUTED_VALUE"""),"陳凌靖")</f>
        <v>陳凌靖</v>
      </c>
      <c r="D1088" s="16" t="str">
        <f>IFERROR(__xludf.DUMMYFUNCTION("""COMPUTED_VALUE"""),"111*****ljh.tyc.edu.tw")</f>
        <v>111*****ljh.tyc.edu.tw</v>
      </c>
      <c r="E1088" s="17" t="str">
        <f>IFERROR(__xludf.DUMMYFUNCTION("""COMPUTED_VALUE"""),"桃園市立大崙國民中學")</f>
        <v>桃園市立大崙國民中學</v>
      </c>
      <c r="F1088" s="14" t="str">
        <f>IFERROR(__xludf.DUMMYFUNCTION("""COMPUTED_VALUE"""),"七年級")</f>
        <v>七年級</v>
      </c>
      <c r="G1088" s="14" t="str">
        <f>IFERROR(__xludf.DUMMYFUNCTION("""COMPUTED_VALUE"""),"獎狀")</f>
        <v>獎狀</v>
      </c>
      <c r="H1088" s="8"/>
    </row>
    <row r="1089">
      <c r="A1089" s="18"/>
      <c r="B1089" s="14">
        <f>IFERROR(__xludf.DUMMYFUNCTION("""COMPUTED_VALUE"""),1180048.0)</f>
        <v>1180048</v>
      </c>
      <c r="C1089" s="14" t="str">
        <f>IFERROR(__xludf.DUMMYFUNCTION("""COMPUTED_VALUE"""),"曾薇靜")</f>
        <v>曾薇靜</v>
      </c>
      <c r="D1089" s="16" t="str">
        <f>IFERROR(__xludf.DUMMYFUNCTION("""COMPUTED_VALUE"""),"111*****ljh.tyc.edu.tw")</f>
        <v>111*****ljh.tyc.edu.tw</v>
      </c>
      <c r="E1089" s="17" t="str">
        <f>IFERROR(__xludf.DUMMYFUNCTION("""COMPUTED_VALUE"""),"桃園市立大崙國民中學")</f>
        <v>桃園市立大崙國民中學</v>
      </c>
      <c r="F1089" s="14" t="str">
        <f>IFERROR(__xludf.DUMMYFUNCTION("""COMPUTED_VALUE"""),"七年級")</f>
        <v>七年級</v>
      </c>
      <c r="G1089" s="14" t="str">
        <f>IFERROR(__xludf.DUMMYFUNCTION("""COMPUTED_VALUE"""),"獎狀")</f>
        <v>獎狀</v>
      </c>
      <c r="H1089" s="8"/>
    </row>
    <row r="1090">
      <c r="A1090" s="18"/>
      <c r="B1090" s="14">
        <f>IFERROR(__xludf.DUMMYFUNCTION("""COMPUTED_VALUE"""),1180060.0)</f>
        <v>1180060</v>
      </c>
      <c r="C1090" s="14" t="str">
        <f>IFERROR(__xludf.DUMMYFUNCTION("""COMPUTED_VALUE"""),"黃久恩")</f>
        <v>黃久恩</v>
      </c>
      <c r="D1090" s="16" t="str">
        <f>IFERROR(__xludf.DUMMYFUNCTION("""COMPUTED_VALUE"""),"111*****ljh.tyc.edu.tw")</f>
        <v>111*****ljh.tyc.edu.tw</v>
      </c>
      <c r="E1090" s="17" t="str">
        <f>IFERROR(__xludf.DUMMYFUNCTION("""COMPUTED_VALUE"""),"桃園市立大崙國民中學")</f>
        <v>桃園市立大崙國民中學</v>
      </c>
      <c r="F1090" s="14" t="str">
        <f>IFERROR(__xludf.DUMMYFUNCTION("""COMPUTED_VALUE"""),"七年級")</f>
        <v>七年級</v>
      </c>
      <c r="G1090" s="14" t="str">
        <f>IFERROR(__xludf.DUMMYFUNCTION("""COMPUTED_VALUE"""),"獎狀")</f>
        <v>獎狀</v>
      </c>
      <c r="H1090" s="8"/>
    </row>
    <row r="1091">
      <c r="A1091" s="18"/>
      <c r="B1091" s="14">
        <f>IFERROR(__xludf.DUMMYFUNCTION("""COMPUTED_VALUE"""),1180077.0)</f>
        <v>1180077</v>
      </c>
      <c r="C1091" s="14" t="str">
        <f>IFERROR(__xludf.DUMMYFUNCTION("""COMPUTED_VALUE"""),"溫慶恩")</f>
        <v>溫慶恩</v>
      </c>
      <c r="D1091" s="16" t="str">
        <f>IFERROR(__xludf.DUMMYFUNCTION("""COMPUTED_VALUE"""),"111*****ljh.tyc.edu.tw")</f>
        <v>111*****ljh.tyc.edu.tw</v>
      </c>
      <c r="E1091" s="17" t="str">
        <f>IFERROR(__xludf.DUMMYFUNCTION("""COMPUTED_VALUE"""),"桃園市立大崙國民中學")</f>
        <v>桃園市立大崙國民中學</v>
      </c>
      <c r="F1091" s="14" t="str">
        <f>IFERROR(__xludf.DUMMYFUNCTION("""COMPUTED_VALUE"""),"七年級")</f>
        <v>七年級</v>
      </c>
      <c r="G1091" s="14" t="str">
        <f>IFERROR(__xludf.DUMMYFUNCTION("""COMPUTED_VALUE"""),"獎狀")</f>
        <v>獎狀</v>
      </c>
      <c r="H1091" s="8"/>
    </row>
    <row r="1092">
      <c r="A1092" s="18"/>
      <c r="B1092" s="14">
        <f>IFERROR(__xludf.DUMMYFUNCTION("""COMPUTED_VALUE"""),1177479.0)</f>
        <v>1177479</v>
      </c>
      <c r="C1092" s="14" t="str">
        <f>IFERROR(__xludf.DUMMYFUNCTION("""COMPUTED_VALUE"""),"羅浚益")</f>
        <v>羅浚益</v>
      </c>
      <c r="D1092" s="16" t="str">
        <f>IFERROR(__xludf.DUMMYFUNCTION("""COMPUTED_VALUE"""),"111*****ljh.tyc.edu.tw")</f>
        <v>111*****ljh.tyc.edu.tw</v>
      </c>
      <c r="E1092" s="17" t="str">
        <f>IFERROR(__xludf.DUMMYFUNCTION("""COMPUTED_VALUE"""),"桃園市立大崙國民中學")</f>
        <v>桃園市立大崙國民中學</v>
      </c>
      <c r="F1092" s="14" t="str">
        <f>IFERROR(__xludf.DUMMYFUNCTION("""COMPUTED_VALUE"""),"七年級")</f>
        <v>七年級</v>
      </c>
      <c r="G1092" s="14" t="str">
        <f>IFERROR(__xludf.DUMMYFUNCTION("""COMPUTED_VALUE"""),"獎狀")</f>
        <v>獎狀</v>
      </c>
      <c r="H1092" s="8"/>
    </row>
    <row r="1093">
      <c r="A1093" s="18"/>
      <c r="B1093" s="14">
        <f>IFERROR(__xludf.DUMMYFUNCTION("""COMPUTED_VALUE"""),822301.0)</f>
        <v>822301</v>
      </c>
      <c r="C1093" s="14" t="str">
        <f>IFERROR(__xludf.DUMMYFUNCTION("""COMPUTED_VALUE"""),"張奕嘉")</f>
        <v>張奕嘉</v>
      </c>
      <c r="D1093" s="16" t="str">
        <f>IFERROR(__xludf.DUMMYFUNCTION("""COMPUTED_VALUE"""),"110*****ljh.tyc.edu.tw")</f>
        <v>110*****ljh.tyc.edu.tw</v>
      </c>
      <c r="E1093" s="17" t="str">
        <f>IFERROR(__xludf.DUMMYFUNCTION("""COMPUTED_VALUE"""),"桃園市立大崙國民中學")</f>
        <v>桃園市立大崙國民中學</v>
      </c>
      <c r="F1093" s="14" t="str">
        <f>IFERROR(__xludf.DUMMYFUNCTION("""COMPUTED_VALUE"""),"八年級")</f>
        <v>八年級</v>
      </c>
      <c r="G1093" s="14" t="str">
        <f>IFERROR(__xludf.DUMMYFUNCTION("""COMPUTED_VALUE"""),"●小禮物")</f>
        <v>●小禮物</v>
      </c>
      <c r="H1093" s="8"/>
    </row>
    <row r="1094">
      <c r="A1094" s="18"/>
      <c r="B1094" s="14">
        <f>IFERROR(__xludf.DUMMYFUNCTION("""COMPUTED_VALUE"""),822305.0)</f>
        <v>822305</v>
      </c>
      <c r="C1094" s="14" t="str">
        <f>IFERROR(__xludf.DUMMYFUNCTION("""COMPUTED_VALUE"""),"彭宇辰")</f>
        <v>彭宇辰</v>
      </c>
      <c r="D1094" s="16" t="str">
        <f>IFERROR(__xludf.DUMMYFUNCTION("""COMPUTED_VALUE"""),"110*****ljh.tyc.edu.tw")</f>
        <v>110*****ljh.tyc.edu.tw</v>
      </c>
      <c r="E1094" s="17" t="str">
        <f>IFERROR(__xludf.DUMMYFUNCTION("""COMPUTED_VALUE"""),"桃園市立大崙國民中學")</f>
        <v>桃園市立大崙國民中學</v>
      </c>
      <c r="F1094" s="14" t="str">
        <f>IFERROR(__xludf.DUMMYFUNCTION("""COMPUTED_VALUE"""),"八年級")</f>
        <v>八年級</v>
      </c>
      <c r="G1094" s="14" t="str">
        <f>IFERROR(__xludf.DUMMYFUNCTION("""COMPUTED_VALUE"""),"獎狀")</f>
        <v>獎狀</v>
      </c>
      <c r="H1094" s="8"/>
    </row>
    <row r="1095">
      <c r="A1095" s="18"/>
      <c r="B1095" s="14">
        <f>IFERROR(__xludf.DUMMYFUNCTION("""COMPUTED_VALUE"""),822246.0)</f>
        <v>822246</v>
      </c>
      <c r="C1095" s="14" t="str">
        <f>IFERROR(__xludf.DUMMYFUNCTION("""COMPUTED_VALUE"""),"吳秉謙")</f>
        <v>吳秉謙</v>
      </c>
      <c r="D1095" s="16" t="str">
        <f>IFERROR(__xludf.DUMMYFUNCTION("""COMPUTED_VALUE"""),"110*****ljh.tyc.edu.tw")</f>
        <v>110*****ljh.tyc.edu.tw</v>
      </c>
      <c r="E1095" s="17" t="str">
        <f>IFERROR(__xludf.DUMMYFUNCTION("""COMPUTED_VALUE"""),"桃園市立大崙國民中學")</f>
        <v>桃園市立大崙國民中學</v>
      </c>
      <c r="F1095" s="14" t="str">
        <f>IFERROR(__xludf.DUMMYFUNCTION("""COMPUTED_VALUE"""),"八年級")</f>
        <v>八年級</v>
      </c>
      <c r="G1095" s="14" t="str">
        <f>IFERROR(__xludf.DUMMYFUNCTION("""COMPUTED_VALUE"""),"●小禮物")</f>
        <v>●小禮物</v>
      </c>
      <c r="H1095" s="8"/>
    </row>
    <row r="1096">
      <c r="A1096" s="18"/>
      <c r="B1096" s="14">
        <f>IFERROR(__xludf.DUMMYFUNCTION("""COMPUTED_VALUE"""),822261.0)</f>
        <v>822261</v>
      </c>
      <c r="C1096" s="14" t="str">
        <f>IFERROR(__xludf.DUMMYFUNCTION("""COMPUTED_VALUE"""),"李雅婷")</f>
        <v>李雅婷</v>
      </c>
      <c r="D1096" s="16" t="str">
        <f>IFERROR(__xludf.DUMMYFUNCTION("""COMPUTED_VALUE"""),"110*****ljh.tyc.edu.tw")</f>
        <v>110*****ljh.tyc.edu.tw</v>
      </c>
      <c r="E1096" s="17" t="str">
        <f>IFERROR(__xludf.DUMMYFUNCTION("""COMPUTED_VALUE"""),"桃園市立大崙國民中學")</f>
        <v>桃園市立大崙國民中學</v>
      </c>
      <c r="F1096" s="14" t="str">
        <f>IFERROR(__xludf.DUMMYFUNCTION("""COMPUTED_VALUE"""),"八年級")</f>
        <v>八年級</v>
      </c>
      <c r="G1096" s="14" t="str">
        <f>IFERROR(__xludf.DUMMYFUNCTION("""COMPUTED_VALUE"""),"●小禮物")</f>
        <v>●小禮物</v>
      </c>
      <c r="H1096" s="8"/>
    </row>
    <row r="1097">
      <c r="A1097" s="18"/>
      <c r="B1097" s="14">
        <f>IFERROR(__xludf.DUMMYFUNCTION("""COMPUTED_VALUE"""),822251.0)</f>
        <v>822251</v>
      </c>
      <c r="C1097" s="14" t="str">
        <f>IFERROR(__xludf.DUMMYFUNCTION("""COMPUTED_VALUE"""),"張宸愷")</f>
        <v>張宸愷</v>
      </c>
      <c r="D1097" s="16" t="str">
        <f>IFERROR(__xludf.DUMMYFUNCTION("""COMPUTED_VALUE"""),"110*****ljh.tyc.edu.tw")</f>
        <v>110*****ljh.tyc.edu.tw</v>
      </c>
      <c r="E1097" s="17" t="str">
        <f>IFERROR(__xludf.DUMMYFUNCTION("""COMPUTED_VALUE"""),"桃園市立大崙國民中學")</f>
        <v>桃園市立大崙國民中學</v>
      </c>
      <c r="F1097" s="14" t="str">
        <f>IFERROR(__xludf.DUMMYFUNCTION("""COMPUTED_VALUE"""),"八年級")</f>
        <v>八年級</v>
      </c>
      <c r="G1097" s="14" t="str">
        <f>IFERROR(__xludf.DUMMYFUNCTION("""COMPUTED_VALUE"""),"●小禮物")</f>
        <v>●小禮物</v>
      </c>
      <c r="H1097" s="8"/>
    </row>
    <row r="1098">
      <c r="A1098" s="18"/>
      <c r="B1098" s="14">
        <f>IFERROR(__xludf.DUMMYFUNCTION("""COMPUTED_VALUE"""),1175353.0)</f>
        <v>1175353</v>
      </c>
      <c r="C1098" s="14" t="str">
        <f>IFERROR(__xludf.DUMMYFUNCTION("""COMPUTED_VALUE"""),"黃勁維")</f>
        <v>黃勁維</v>
      </c>
      <c r="D1098" s="16" t="str">
        <f>IFERROR(__xludf.DUMMYFUNCTION("""COMPUTED_VALUE"""),"110*****ljh.tyc.edu.tw")</f>
        <v>110*****ljh.tyc.edu.tw</v>
      </c>
      <c r="E1098" s="17" t="str">
        <f>IFERROR(__xludf.DUMMYFUNCTION("""COMPUTED_VALUE"""),"桃園市立大崙國民中學")</f>
        <v>桃園市立大崙國民中學</v>
      </c>
      <c r="F1098" s="14" t="str">
        <f>IFERROR(__xludf.DUMMYFUNCTION("""COMPUTED_VALUE"""),"八年級")</f>
        <v>八年級</v>
      </c>
      <c r="G1098" s="14" t="str">
        <f>IFERROR(__xludf.DUMMYFUNCTION("""COMPUTED_VALUE"""),"●小禮物")</f>
        <v>●小禮物</v>
      </c>
      <c r="H1098" s="8"/>
    </row>
    <row r="1099">
      <c r="A1099" s="18"/>
      <c r="B1099" s="14">
        <f>IFERROR(__xludf.DUMMYFUNCTION("""COMPUTED_VALUE"""),822256.0)</f>
        <v>822256</v>
      </c>
      <c r="C1099" s="14" t="str">
        <f>IFERROR(__xludf.DUMMYFUNCTION("""COMPUTED_VALUE"""),"詹軒睿")</f>
        <v>詹軒睿</v>
      </c>
      <c r="D1099" s="16" t="str">
        <f>IFERROR(__xludf.DUMMYFUNCTION("""COMPUTED_VALUE"""),"110*****ljh.tyc.edu.tw")</f>
        <v>110*****ljh.tyc.edu.tw</v>
      </c>
      <c r="E1099" s="17" t="str">
        <f>IFERROR(__xludf.DUMMYFUNCTION("""COMPUTED_VALUE"""),"桃園市立大崙國民中學")</f>
        <v>桃園市立大崙國民中學</v>
      </c>
      <c r="F1099" s="14" t="str">
        <f>IFERROR(__xludf.DUMMYFUNCTION("""COMPUTED_VALUE"""),"八年級")</f>
        <v>八年級</v>
      </c>
      <c r="G1099" s="14" t="str">
        <f>IFERROR(__xludf.DUMMYFUNCTION("""COMPUTED_VALUE"""),"●小禮物")</f>
        <v>●小禮物</v>
      </c>
      <c r="H1099" s="8"/>
    </row>
    <row r="1100">
      <c r="A1100" s="18"/>
      <c r="B1100" s="14">
        <f>IFERROR(__xludf.DUMMYFUNCTION("""COMPUTED_VALUE"""),822267.0)</f>
        <v>822267</v>
      </c>
      <c r="C1100" s="14" t="str">
        <f>IFERROR(__xludf.DUMMYFUNCTION("""COMPUTED_VALUE"""),"羅亞妍")</f>
        <v>羅亞妍</v>
      </c>
      <c r="D1100" s="16" t="str">
        <f>IFERROR(__xludf.DUMMYFUNCTION("""COMPUTED_VALUE"""),"110*****ljh.tyc.edu.tw")</f>
        <v>110*****ljh.tyc.edu.tw</v>
      </c>
      <c r="E1100" s="17" t="str">
        <f>IFERROR(__xludf.DUMMYFUNCTION("""COMPUTED_VALUE"""),"桃園市立大崙國民中學")</f>
        <v>桃園市立大崙國民中學</v>
      </c>
      <c r="F1100" s="14" t="str">
        <f>IFERROR(__xludf.DUMMYFUNCTION("""COMPUTED_VALUE"""),"八年級")</f>
        <v>八年級</v>
      </c>
      <c r="G1100" s="14" t="str">
        <f>IFERROR(__xludf.DUMMYFUNCTION("""COMPUTED_VALUE"""),"●小禮物")</f>
        <v>●小禮物</v>
      </c>
      <c r="H1100" s="8"/>
    </row>
    <row r="1101">
      <c r="A1101" s="18"/>
      <c r="B1101" s="14">
        <f>IFERROR(__xludf.DUMMYFUNCTION("""COMPUTED_VALUE"""),822268.0)</f>
        <v>822268</v>
      </c>
      <c r="C1101" s="14" t="str">
        <f>IFERROR(__xludf.DUMMYFUNCTION("""COMPUTED_VALUE"""),"蘇靖云")</f>
        <v>蘇靖云</v>
      </c>
      <c r="D1101" s="16" t="str">
        <f>IFERROR(__xludf.DUMMYFUNCTION("""COMPUTED_VALUE"""),"110*****ljh.tyc.edu.tw")</f>
        <v>110*****ljh.tyc.edu.tw</v>
      </c>
      <c r="E1101" s="17" t="str">
        <f>IFERROR(__xludf.DUMMYFUNCTION("""COMPUTED_VALUE"""),"桃園市立大崙國民中學")</f>
        <v>桃園市立大崙國民中學</v>
      </c>
      <c r="F1101" s="14" t="str">
        <f>IFERROR(__xludf.DUMMYFUNCTION("""COMPUTED_VALUE"""),"八年級")</f>
        <v>八年級</v>
      </c>
      <c r="G1101" s="14" t="str">
        <f>IFERROR(__xludf.DUMMYFUNCTION("""COMPUTED_VALUE"""),"●小禮物")</f>
        <v>●小禮物</v>
      </c>
      <c r="H1101" s="8"/>
    </row>
    <row r="1102">
      <c r="A1102" s="18"/>
      <c r="B1102" s="14">
        <f>IFERROR(__xludf.DUMMYFUNCTION("""COMPUTED_VALUE"""),822247.0)</f>
        <v>822247</v>
      </c>
      <c r="C1102" s="14" t="str">
        <f>IFERROR(__xludf.DUMMYFUNCTION("""COMPUTED_VALUE"""),"呂學霖")</f>
        <v>呂學霖</v>
      </c>
      <c r="D1102" s="16" t="str">
        <f>IFERROR(__xludf.DUMMYFUNCTION("""COMPUTED_VALUE"""),"110*****ljh.tyc.edu.tw")</f>
        <v>110*****ljh.tyc.edu.tw</v>
      </c>
      <c r="E1102" s="17" t="str">
        <f>IFERROR(__xludf.DUMMYFUNCTION("""COMPUTED_VALUE"""),"桃園市立大崙國民中學")</f>
        <v>桃園市立大崙國民中學</v>
      </c>
      <c r="F1102" s="14" t="str">
        <f>IFERROR(__xludf.DUMMYFUNCTION("""COMPUTED_VALUE"""),"八年級")</f>
        <v>八年級</v>
      </c>
      <c r="G1102" s="14" t="str">
        <f>IFERROR(__xludf.DUMMYFUNCTION("""COMPUTED_VALUE"""),"★禮券$200")</f>
        <v>★禮券$200</v>
      </c>
      <c r="H1102" s="8"/>
    </row>
    <row r="1103">
      <c r="A1103" s="18"/>
      <c r="B1103" s="14">
        <f>IFERROR(__xludf.DUMMYFUNCTION("""COMPUTED_VALUE"""),822257.0)</f>
        <v>822257</v>
      </c>
      <c r="C1103" s="14" t="str">
        <f>IFERROR(__xludf.DUMMYFUNCTION("""COMPUTED_VALUE"""),"謝秉鈞")</f>
        <v>謝秉鈞</v>
      </c>
      <c r="D1103" s="16" t="str">
        <f>IFERROR(__xludf.DUMMYFUNCTION("""COMPUTED_VALUE"""),"110*****ljh.tyc.edu.tw")</f>
        <v>110*****ljh.tyc.edu.tw</v>
      </c>
      <c r="E1103" s="17" t="str">
        <f>IFERROR(__xludf.DUMMYFUNCTION("""COMPUTED_VALUE"""),"桃園市立大崙國民中學")</f>
        <v>桃園市立大崙國民中學</v>
      </c>
      <c r="F1103" s="14" t="str">
        <f>IFERROR(__xludf.DUMMYFUNCTION("""COMPUTED_VALUE"""),"八年級")</f>
        <v>八年級</v>
      </c>
      <c r="G1103" s="14" t="str">
        <f>IFERROR(__xludf.DUMMYFUNCTION("""COMPUTED_VALUE"""),"★禮券$200")</f>
        <v>★禮券$200</v>
      </c>
      <c r="H1103" s="8"/>
    </row>
    <row r="1104">
      <c r="A1104" s="18"/>
      <c r="B1104" s="14">
        <f>IFERROR(__xludf.DUMMYFUNCTION("""COMPUTED_VALUE"""),822244.0)</f>
        <v>822244</v>
      </c>
      <c r="C1104" s="14" t="str">
        <f>IFERROR(__xludf.DUMMYFUNCTION("""COMPUTED_VALUE"""),"王明弘")</f>
        <v>王明弘</v>
      </c>
      <c r="D1104" s="16" t="str">
        <f>IFERROR(__xludf.DUMMYFUNCTION("""COMPUTED_VALUE"""),"110*****ljh.tyc.edu.tw")</f>
        <v>110*****ljh.tyc.edu.tw</v>
      </c>
      <c r="E1104" s="17" t="str">
        <f>IFERROR(__xludf.DUMMYFUNCTION("""COMPUTED_VALUE"""),"桃園市立大崙國民中學")</f>
        <v>桃園市立大崙國民中學</v>
      </c>
      <c r="F1104" s="14" t="str">
        <f>IFERROR(__xludf.DUMMYFUNCTION("""COMPUTED_VALUE"""),"八年級")</f>
        <v>八年級</v>
      </c>
      <c r="G1104" s="14" t="str">
        <f>IFERROR(__xludf.DUMMYFUNCTION("""COMPUTED_VALUE"""),"獎狀")</f>
        <v>獎狀</v>
      </c>
      <c r="H1104" s="8"/>
    </row>
    <row r="1105">
      <c r="A1105" s="18"/>
      <c r="B1105" s="14">
        <f>IFERROR(__xludf.DUMMYFUNCTION("""COMPUTED_VALUE"""),822245.0)</f>
        <v>822245</v>
      </c>
      <c r="C1105" s="14" t="str">
        <f>IFERROR(__xludf.DUMMYFUNCTION("""COMPUTED_VALUE"""),"何性承")</f>
        <v>何性承</v>
      </c>
      <c r="D1105" s="16" t="str">
        <f>IFERROR(__xludf.DUMMYFUNCTION("""COMPUTED_VALUE"""),"110*****ljh.tyc.edu.tw")</f>
        <v>110*****ljh.tyc.edu.tw</v>
      </c>
      <c r="E1105" s="17" t="str">
        <f>IFERROR(__xludf.DUMMYFUNCTION("""COMPUTED_VALUE"""),"桃園市立大崙國民中學")</f>
        <v>桃園市立大崙國民中學</v>
      </c>
      <c r="F1105" s="14" t="str">
        <f>IFERROR(__xludf.DUMMYFUNCTION("""COMPUTED_VALUE"""),"八年級")</f>
        <v>八年級</v>
      </c>
      <c r="G1105" s="14" t="str">
        <f>IFERROR(__xludf.DUMMYFUNCTION("""COMPUTED_VALUE"""),"獎狀")</f>
        <v>獎狀</v>
      </c>
      <c r="H1105" s="8"/>
    </row>
    <row r="1106">
      <c r="A1106" s="18"/>
      <c r="B1106" s="14">
        <f>IFERROR(__xludf.DUMMYFUNCTION("""COMPUTED_VALUE"""),822260.0)</f>
        <v>822260</v>
      </c>
      <c r="C1106" s="14" t="str">
        <f>IFERROR(__xludf.DUMMYFUNCTION("""COMPUTED_VALUE"""),"吳禹萱")</f>
        <v>吳禹萱</v>
      </c>
      <c r="D1106" s="16" t="str">
        <f>IFERROR(__xludf.DUMMYFUNCTION("""COMPUTED_VALUE"""),"110*****ljh.tyc.edu.tw")</f>
        <v>110*****ljh.tyc.edu.tw</v>
      </c>
      <c r="E1106" s="17" t="str">
        <f>IFERROR(__xludf.DUMMYFUNCTION("""COMPUTED_VALUE"""),"桃園市立大崙國民中學")</f>
        <v>桃園市立大崙國民中學</v>
      </c>
      <c r="F1106" s="14" t="str">
        <f>IFERROR(__xludf.DUMMYFUNCTION("""COMPUTED_VALUE"""),"八年級")</f>
        <v>八年級</v>
      </c>
      <c r="G1106" s="14" t="str">
        <f>IFERROR(__xludf.DUMMYFUNCTION("""COMPUTED_VALUE"""),"獎狀")</f>
        <v>獎狀</v>
      </c>
      <c r="H1106" s="8"/>
    </row>
    <row r="1107">
      <c r="A1107" s="18"/>
      <c r="B1107" s="14">
        <f>IFERROR(__xludf.DUMMYFUNCTION("""COMPUTED_VALUE"""),822250.0)</f>
        <v>822250</v>
      </c>
      <c r="C1107" s="14" t="str">
        <f>IFERROR(__xludf.DUMMYFUNCTION("""COMPUTED_VALUE"""),"徐祐鈞")</f>
        <v>徐祐鈞</v>
      </c>
      <c r="D1107" s="16" t="str">
        <f>IFERROR(__xludf.DUMMYFUNCTION("""COMPUTED_VALUE"""),"110*****ljh.tyc.edu.tw")</f>
        <v>110*****ljh.tyc.edu.tw</v>
      </c>
      <c r="E1107" s="17" t="str">
        <f>IFERROR(__xludf.DUMMYFUNCTION("""COMPUTED_VALUE"""),"桃園市立大崙國民中學")</f>
        <v>桃園市立大崙國民中學</v>
      </c>
      <c r="F1107" s="14" t="str">
        <f>IFERROR(__xludf.DUMMYFUNCTION("""COMPUTED_VALUE"""),"八年級")</f>
        <v>八年級</v>
      </c>
      <c r="G1107" s="14" t="str">
        <f>IFERROR(__xludf.DUMMYFUNCTION("""COMPUTED_VALUE"""),"獎狀")</f>
        <v>獎狀</v>
      </c>
      <c r="H1107" s="8"/>
    </row>
    <row r="1108">
      <c r="A1108" s="18"/>
      <c r="B1108" s="14">
        <f>IFERROR(__xludf.DUMMYFUNCTION("""COMPUTED_VALUE"""),822263.0)</f>
        <v>822263</v>
      </c>
      <c r="C1108" s="14" t="str">
        <f>IFERROR(__xludf.DUMMYFUNCTION("""COMPUTED_VALUE"""),"梁芷甯")</f>
        <v>梁芷甯</v>
      </c>
      <c r="D1108" s="16" t="str">
        <f>IFERROR(__xludf.DUMMYFUNCTION("""COMPUTED_VALUE"""),"110*****ljh.tyc.edu.tw")</f>
        <v>110*****ljh.tyc.edu.tw</v>
      </c>
      <c r="E1108" s="17" t="str">
        <f>IFERROR(__xludf.DUMMYFUNCTION("""COMPUTED_VALUE"""),"桃園市立大崙國民中學")</f>
        <v>桃園市立大崙國民中學</v>
      </c>
      <c r="F1108" s="14" t="str">
        <f>IFERROR(__xludf.DUMMYFUNCTION("""COMPUTED_VALUE"""),"八年級")</f>
        <v>八年級</v>
      </c>
      <c r="G1108" s="14" t="str">
        <f>IFERROR(__xludf.DUMMYFUNCTION("""COMPUTED_VALUE"""),"獎狀")</f>
        <v>獎狀</v>
      </c>
      <c r="H1108" s="8"/>
    </row>
    <row r="1109">
      <c r="A1109" s="18"/>
      <c r="B1109" s="14">
        <f>IFERROR(__xludf.DUMMYFUNCTION("""COMPUTED_VALUE"""),822253.0)</f>
        <v>822253</v>
      </c>
      <c r="C1109" s="14" t="str">
        <f>IFERROR(__xludf.DUMMYFUNCTION("""COMPUTED_VALUE"""),"黃品皓")</f>
        <v>黃品皓</v>
      </c>
      <c r="D1109" s="16" t="str">
        <f>IFERROR(__xludf.DUMMYFUNCTION("""COMPUTED_VALUE"""),"110*****ljh.tyc.edu.tw")</f>
        <v>110*****ljh.tyc.edu.tw</v>
      </c>
      <c r="E1109" s="17" t="str">
        <f>IFERROR(__xludf.DUMMYFUNCTION("""COMPUTED_VALUE"""),"桃園市立大崙國民中學")</f>
        <v>桃園市立大崙國民中學</v>
      </c>
      <c r="F1109" s="14" t="str">
        <f>IFERROR(__xludf.DUMMYFUNCTION("""COMPUTED_VALUE"""),"八年級")</f>
        <v>八年級</v>
      </c>
      <c r="G1109" s="14" t="str">
        <f>IFERROR(__xludf.DUMMYFUNCTION("""COMPUTED_VALUE"""),"獎狀")</f>
        <v>獎狀</v>
      </c>
      <c r="H1109" s="8"/>
    </row>
    <row r="1110">
      <c r="A1110" s="18"/>
      <c r="B1110" s="14">
        <f>IFERROR(__xludf.DUMMYFUNCTION("""COMPUTED_VALUE"""),822254.0)</f>
        <v>822254</v>
      </c>
      <c r="C1110" s="14" t="str">
        <f>IFERROR(__xludf.DUMMYFUNCTION("""COMPUTED_VALUE"""),"黃毅淇")</f>
        <v>黃毅淇</v>
      </c>
      <c r="D1110" s="16" t="str">
        <f>IFERROR(__xludf.DUMMYFUNCTION("""COMPUTED_VALUE"""),"110*****ljh.tyc.edu.tw")</f>
        <v>110*****ljh.tyc.edu.tw</v>
      </c>
      <c r="E1110" s="17" t="str">
        <f>IFERROR(__xludf.DUMMYFUNCTION("""COMPUTED_VALUE"""),"桃園市立大崙國民中學")</f>
        <v>桃園市立大崙國民中學</v>
      </c>
      <c r="F1110" s="14" t="str">
        <f>IFERROR(__xludf.DUMMYFUNCTION("""COMPUTED_VALUE"""),"八年級")</f>
        <v>八年級</v>
      </c>
      <c r="G1110" s="14" t="str">
        <f>IFERROR(__xludf.DUMMYFUNCTION("""COMPUTED_VALUE"""),"獎狀")</f>
        <v>獎狀</v>
      </c>
      <c r="H1110" s="8"/>
    </row>
    <row r="1111">
      <c r="A1111" s="18"/>
      <c r="B1111" s="14">
        <f>IFERROR(__xludf.DUMMYFUNCTION("""COMPUTED_VALUE"""),822264.0)</f>
        <v>822264</v>
      </c>
      <c r="C1111" s="14" t="str">
        <f>IFERROR(__xludf.DUMMYFUNCTION("""COMPUTED_VALUE"""),"黃韻諠")</f>
        <v>黃韻諠</v>
      </c>
      <c r="D1111" s="16" t="str">
        <f>IFERROR(__xludf.DUMMYFUNCTION("""COMPUTED_VALUE"""),"110*****ljh.tyc.edu.tw")</f>
        <v>110*****ljh.tyc.edu.tw</v>
      </c>
      <c r="E1111" s="17" t="str">
        <f>IFERROR(__xludf.DUMMYFUNCTION("""COMPUTED_VALUE"""),"桃園市立大崙國民中學")</f>
        <v>桃園市立大崙國民中學</v>
      </c>
      <c r="F1111" s="14" t="str">
        <f>IFERROR(__xludf.DUMMYFUNCTION("""COMPUTED_VALUE"""),"八年級")</f>
        <v>八年級</v>
      </c>
      <c r="G1111" s="14" t="str">
        <f>IFERROR(__xludf.DUMMYFUNCTION("""COMPUTED_VALUE"""),"獎狀")</f>
        <v>獎狀</v>
      </c>
      <c r="H1111" s="8"/>
    </row>
    <row r="1112">
      <c r="A1112" s="18"/>
      <c r="B1112" s="14">
        <f>IFERROR(__xludf.DUMMYFUNCTION("""COMPUTED_VALUE"""),822265.0)</f>
        <v>822265</v>
      </c>
      <c r="C1112" s="14" t="str">
        <f>IFERROR(__xludf.DUMMYFUNCTION("""COMPUTED_VALUE"""),"楊曉玥")</f>
        <v>楊曉玥</v>
      </c>
      <c r="D1112" s="16" t="str">
        <f>IFERROR(__xludf.DUMMYFUNCTION("""COMPUTED_VALUE"""),"110*****ljh.tyc.edu.tw")</f>
        <v>110*****ljh.tyc.edu.tw</v>
      </c>
      <c r="E1112" s="17" t="str">
        <f>IFERROR(__xludf.DUMMYFUNCTION("""COMPUTED_VALUE"""),"桃園市立大崙國民中學")</f>
        <v>桃園市立大崙國民中學</v>
      </c>
      <c r="F1112" s="14" t="str">
        <f>IFERROR(__xludf.DUMMYFUNCTION("""COMPUTED_VALUE"""),"八年級")</f>
        <v>八年級</v>
      </c>
      <c r="G1112" s="14" t="str">
        <f>IFERROR(__xludf.DUMMYFUNCTION("""COMPUTED_VALUE"""),"獎狀")</f>
        <v>獎狀</v>
      </c>
      <c r="H1112" s="8"/>
    </row>
    <row r="1113">
      <c r="A1113" s="18"/>
      <c r="B1113" s="14">
        <f>IFERROR(__xludf.DUMMYFUNCTION("""COMPUTED_VALUE"""),822255.0)</f>
        <v>822255</v>
      </c>
      <c r="C1113" s="14" t="str">
        <f>IFERROR(__xludf.DUMMYFUNCTION("""COMPUTED_VALUE"""),"葉宗財")</f>
        <v>葉宗財</v>
      </c>
      <c r="D1113" s="16" t="str">
        <f>IFERROR(__xludf.DUMMYFUNCTION("""COMPUTED_VALUE"""),"110*****ljh.tyc.edu.tw")</f>
        <v>110*****ljh.tyc.edu.tw</v>
      </c>
      <c r="E1113" s="17" t="str">
        <f>IFERROR(__xludf.DUMMYFUNCTION("""COMPUTED_VALUE"""),"桃園市立大崙國民中學")</f>
        <v>桃園市立大崙國民中學</v>
      </c>
      <c r="F1113" s="14" t="str">
        <f>IFERROR(__xludf.DUMMYFUNCTION("""COMPUTED_VALUE"""),"八年級")</f>
        <v>八年級</v>
      </c>
      <c r="G1113" s="14" t="str">
        <f>IFERROR(__xludf.DUMMYFUNCTION("""COMPUTED_VALUE"""),"獎狀")</f>
        <v>獎狀</v>
      </c>
      <c r="H1113" s="8"/>
    </row>
    <row r="1114">
      <c r="A1114" s="18"/>
      <c r="B1114" s="14">
        <f>IFERROR(__xludf.DUMMYFUNCTION("""COMPUTED_VALUE"""),822266.0)</f>
        <v>822266</v>
      </c>
      <c r="C1114" s="14" t="str">
        <f>IFERROR(__xludf.DUMMYFUNCTION("""COMPUTED_VALUE"""),"劉以晴")</f>
        <v>劉以晴</v>
      </c>
      <c r="D1114" s="16" t="str">
        <f>IFERROR(__xludf.DUMMYFUNCTION("""COMPUTED_VALUE"""),"110*****ljh.tyc.edu.tw")</f>
        <v>110*****ljh.tyc.edu.tw</v>
      </c>
      <c r="E1114" s="17" t="str">
        <f>IFERROR(__xludf.DUMMYFUNCTION("""COMPUTED_VALUE"""),"桃園市立大崙國民中學")</f>
        <v>桃園市立大崙國民中學</v>
      </c>
      <c r="F1114" s="14" t="str">
        <f>IFERROR(__xludf.DUMMYFUNCTION("""COMPUTED_VALUE"""),"八年級")</f>
        <v>八年級</v>
      </c>
      <c r="G1114" s="14" t="str">
        <f>IFERROR(__xludf.DUMMYFUNCTION("""COMPUTED_VALUE"""),"獎狀")</f>
        <v>獎狀</v>
      </c>
      <c r="H1114" s="8"/>
    </row>
    <row r="1115">
      <c r="A1115" s="18"/>
      <c r="B1115" s="14">
        <f>IFERROR(__xludf.DUMMYFUNCTION("""COMPUTED_VALUE"""),822258.0)</f>
        <v>822258</v>
      </c>
      <c r="C1115" s="14" t="str">
        <f>IFERROR(__xludf.DUMMYFUNCTION("""COMPUTED_VALUE"""),"鍾喨丞")</f>
        <v>鍾喨丞</v>
      </c>
      <c r="D1115" s="16" t="str">
        <f>IFERROR(__xludf.DUMMYFUNCTION("""COMPUTED_VALUE"""),"110*****ljh.tyc.edu.tw")</f>
        <v>110*****ljh.tyc.edu.tw</v>
      </c>
      <c r="E1115" s="17" t="str">
        <f>IFERROR(__xludf.DUMMYFUNCTION("""COMPUTED_VALUE"""),"桃園市立大崙國民中學")</f>
        <v>桃園市立大崙國民中學</v>
      </c>
      <c r="F1115" s="14" t="str">
        <f>IFERROR(__xludf.DUMMYFUNCTION("""COMPUTED_VALUE"""),"八年級")</f>
        <v>八年級</v>
      </c>
      <c r="G1115" s="14" t="str">
        <f>IFERROR(__xludf.DUMMYFUNCTION("""COMPUTED_VALUE"""),"獎狀")</f>
        <v>獎狀</v>
      </c>
      <c r="H1115" s="8"/>
    </row>
    <row r="1116">
      <c r="A1116" s="18"/>
      <c r="B1116" s="14">
        <f>IFERROR(__xludf.DUMMYFUNCTION("""COMPUTED_VALUE"""),822259.0)</f>
        <v>822259</v>
      </c>
      <c r="C1116" s="14" t="str">
        <f>IFERROR(__xludf.DUMMYFUNCTION("""COMPUTED_VALUE"""),"羅盛賢")</f>
        <v>羅盛賢</v>
      </c>
      <c r="D1116" s="16" t="str">
        <f>IFERROR(__xludf.DUMMYFUNCTION("""COMPUTED_VALUE"""),"110*****ljh.tyc.edu.tw")</f>
        <v>110*****ljh.tyc.edu.tw</v>
      </c>
      <c r="E1116" s="17" t="str">
        <f>IFERROR(__xludf.DUMMYFUNCTION("""COMPUTED_VALUE"""),"桃園市立大崙國民中學")</f>
        <v>桃園市立大崙國民中學</v>
      </c>
      <c r="F1116" s="14" t="str">
        <f>IFERROR(__xludf.DUMMYFUNCTION("""COMPUTED_VALUE"""),"八年級")</f>
        <v>八年級</v>
      </c>
      <c r="G1116" s="14" t="str">
        <f>IFERROR(__xludf.DUMMYFUNCTION("""COMPUTED_VALUE"""),"獎狀")</f>
        <v>獎狀</v>
      </c>
      <c r="H1116" s="8"/>
    </row>
    <row r="1117">
      <c r="A1117" s="18"/>
      <c r="B1117" s="14">
        <f>IFERROR(__xludf.DUMMYFUNCTION("""COMPUTED_VALUE"""),822252.0)</f>
        <v>822252</v>
      </c>
      <c r="C1117" s="14" t="str">
        <f>IFERROR(__xludf.DUMMYFUNCTION("""COMPUTED_VALUE"""),"梁信惟")</f>
        <v>梁信惟</v>
      </c>
      <c r="D1117" s="16" t="str">
        <f>IFERROR(__xludf.DUMMYFUNCTION("""COMPUTED_VALUE"""),"110*****ljh.tyc.edu.tw")</f>
        <v>110*****ljh.tyc.edu.tw</v>
      </c>
      <c r="E1117" s="17" t="str">
        <f>IFERROR(__xludf.DUMMYFUNCTION("""COMPUTED_VALUE"""),"桃園市立大崙國民中學")</f>
        <v>桃園市立大崙國民中學</v>
      </c>
      <c r="F1117" s="14" t="str">
        <f>IFERROR(__xludf.DUMMYFUNCTION("""COMPUTED_VALUE"""),"八年級")</f>
        <v>八年級</v>
      </c>
      <c r="G1117" s="14" t="str">
        <f>IFERROR(__xludf.DUMMYFUNCTION("""COMPUTED_VALUE"""),"獎狀")</f>
        <v>獎狀</v>
      </c>
      <c r="H1117" s="8"/>
    </row>
    <row r="1118">
      <c r="A1118" s="18"/>
      <c r="B1118" s="14">
        <f>IFERROR(__xludf.DUMMYFUNCTION("""COMPUTED_VALUE"""),822269.0)</f>
        <v>822269</v>
      </c>
      <c r="C1118" s="14" t="str">
        <f>IFERROR(__xludf.DUMMYFUNCTION("""COMPUTED_VALUE"""),"王羿凱")</f>
        <v>王羿凱</v>
      </c>
      <c r="D1118" s="16" t="str">
        <f>IFERROR(__xludf.DUMMYFUNCTION("""COMPUTED_VALUE"""),"110*****ljh.tyc.edu.tw")</f>
        <v>110*****ljh.tyc.edu.tw</v>
      </c>
      <c r="E1118" s="17" t="str">
        <f>IFERROR(__xludf.DUMMYFUNCTION("""COMPUTED_VALUE"""),"桃園市立大崙國民中學")</f>
        <v>桃園市立大崙國民中學</v>
      </c>
      <c r="F1118" s="14" t="str">
        <f>IFERROR(__xludf.DUMMYFUNCTION("""COMPUTED_VALUE"""),"八年級")</f>
        <v>八年級</v>
      </c>
      <c r="G1118" s="14" t="str">
        <f>IFERROR(__xludf.DUMMYFUNCTION("""COMPUTED_VALUE"""),"●小禮物")</f>
        <v>●小禮物</v>
      </c>
      <c r="H1118" s="8"/>
    </row>
    <row r="1119">
      <c r="A1119" s="18"/>
      <c r="B1119" s="14">
        <f>IFERROR(__xludf.DUMMYFUNCTION("""COMPUTED_VALUE"""),822286.0)</f>
        <v>822286</v>
      </c>
      <c r="C1119" s="14" t="str">
        <f>IFERROR(__xludf.DUMMYFUNCTION("""COMPUTED_VALUE"""),"余芷萱")</f>
        <v>余芷萱</v>
      </c>
      <c r="D1119" s="16" t="str">
        <f>IFERROR(__xludf.DUMMYFUNCTION("""COMPUTED_VALUE"""),"110*****ljh.tyc.edu.tw")</f>
        <v>110*****ljh.tyc.edu.tw</v>
      </c>
      <c r="E1119" s="17" t="str">
        <f>IFERROR(__xludf.DUMMYFUNCTION("""COMPUTED_VALUE"""),"桃園市立大崙國民中學")</f>
        <v>桃園市立大崙國民中學</v>
      </c>
      <c r="F1119" s="14" t="str">
        <f>IFERROR(__xludf.DUMMYFUNCTION("""COMPUTED_VALUE"""),"八年級")</f>
        <v>八年級</v>
      </c>
      <c r="G1119" s="14" t="str">
        <f>IFERROR(__xludf.DUMMYFUNCTION("""COMPUTED_VALUE"""),"●小禮物")</f>
        <v>●小禮物</v>
      </c>
      <c r="H1119" s="8"/>
    </row>
    <row r="1120">
      <c r="A1120" s="18"/>
      <c r="B1120" s="14">
        <f>IFERROR(__xludf.DUMMYFUNCTION("""COMPUTED_VALUE"""),822270.0)</f>
        <v>822270</v>
      </c>
      <c r="C1120" s="14" t="str">
        <f>IFERROR(__xludf.DUMMYFUNCTION("""COMPUTED_VALUE"""),"周冠宸")</f>
        <v>周冠宸</v>
      </c>
      <c r="D1120" s="16" t="str">
        <f>IFERROR(__xludf.DUMMYFUNCTION("""COMPUTED_VALUE"""),"110*****ljh.tyc.edu.tw")</f>
        <v>110*****ljh.tyc.edu.tw</v>
      </c>
      <c r="E1120" s="17" t="str">
        <f>IFERROR(__xludf.DUMMYFUNCTION("""COMPUTED_VALUE"""),"桃園市立大崙國民中學")</f>
        <v>桃園市立大崙國民中學</v>
      </c>
      <c r="F1120" s="14" t="str">
        <f>IFERROR(__xludf.DUMMYFUNCTION("""COMPUTED_VALUE"""),"八年級")</f>
        <v>八年級</v>
      </c>
      <c r="G1120" s="14" t="str">
        <f>IFERROR(__xludf.DUMMYFUNCTION("""COMPUTED_VALUE"""),"●小禮物")</f>
        <v>●小禮物</v>
      </c>
      <c r="H1120" s="8"/>
    </row>
    <row r="1121">
      <c r="A1121" s="18"/>
      <c r="B1121" s="14">
        <f>IFERROR(__xludf.DUMMYFUNCTION("""COMPUTED_VALUE"""),822271.0)</f>
        <v>822271</v>
      </c>
      <c r="C1121" s="14" t="str">
        <f>IFERROR(__xludf.DUMMYFUNCTION("""COMPUTED_VALUE"""),"林育昇")</f>
        <v>林育昇</v>
      </c>
      <c r="D1121" s="16" t="str">
        <f>IFERROR(__xludf.DUMMYFUNCTION("""COMPUTED_VALUE"""),"110*****ljh.tyc.edu.tw")</f>
        <v>110*****ljh.tyc.edu.tw</v>
      </c>
      <c r="E1121" s="17" t="str">
        <f>IFERROR(__xludf.DUMMYFUNCTION("""COMPUTED_VALUE"""),"桃園市立大崙國民中學")</f>
        <v>桃園市立大崙國民中學</v>
      </c>
      <c r="F1121" s="14" t="str">
        <f>IFERROR(__xludf.DUMMYFUNCTION("""COMPUTED_VALUE"""),"八年級")</f>
        <v>八年級</v>
      </c>
      <c r="G1121" s="14" t="str">
        <f>IFERROR(__xludf.DUMMYFUNCTION("""COMPUTED_VALUE"""),"●小禮物")</f>
        <v>●小禮物</v>
      </c>
      <c r="H1121" s="8"/>
    </row>
    <row r="1122">
      <c r="A1122" s="18"/>
      <c r="B1122" s="14">
        <f>IFERROR(__xludf.DUMMYFUNCTION("""COMPUTED_VALUE"""),822288.0)</f>
        <v>822288</v>
      </c>
      <c r="C1122" s="14" t="str">
        <f>IFERROR(__xludf.DUMMYFUNCTION("""COMPUTED_VALUE"""),"胡宏溱")</f>
        <v>胡宏溱</v>
      </c>
      <c r="D1122" s="16" t="str">
        <f>IFERROR(__xludf.DUMMYFUNCTION("""COMPUTED_VALUE"""),"110*****ljh.tyc.edu.tw")</f>
        <v>110*****ljh.tyc.edu.tw</v>
      </c>
      <c r="E1122" s="17" t="str">
        <f>IFERROR(__xludf.DUMMYFUNCTION("""COMPUTED_VALUE"""),"桃園市立大崙國民中學")</f>
        <v>桃園市立大崙國民中學</v>
      </c>
      <c r="F1122" s="14" t="str">
        <f>IFERROR(__xludf.DUMMYFUNCTION("""COMPUTED_VALUE"""),"八年級")</f>
        <v>八年級</v>
      </c>
      <c r="G1122" s="14" t="str">
        <f>IFERROR(__xludf.DUMMYFUNCTION("""COMPUTED_VALUE"""),"●小禮物")</f>
        <v>●小禮物</v>
      </c>
      <c r="H1122" s="8"/>
    </row>
    <row r="1123">
      <c r="A1123" s="18"/>
      <c r="B1123" s="14">
        <f>IFERROR(__xludf.DUMMYFUNCTION("""COMPUTED_VALUE"""),822274.0)</f>
        <v>822274</v>
      </c>
      <c r="C1123" s="14" t="str">
        <f>IFERROR(__xludf.DUMMYFUNCTION("""COMPUTED_VALUE"""),"徐瑋浚")</f>
        <v>徐瑋浚</v>
      </c>
      <c r="D1123" s="16" t="str">
        <f>IFERROR(__xludf.DUMMYFUNCTION("""COMPUTED_VALUE"""),"110*****ljh.tyc.edu.tw")</f>
        <v>110*****ljh.tyc.edu.tw</v>
      </c>
      <c r="E1123" s="17" t="str">
        <f>IFERROR(__xludf.DUMMYFUNCTION("""COMPUTED_VALUE"""),"桃園市立大崙國民中學")</f>
        <v>桃園市立大崙國民中學</v>
      </c>
      <c r="F1123" s="14" t="str">
        <f>IFERROR(__xludf.DUMMYFUNCTION("""COMPUTED_VALUE"""),"八年級")</f>
        <v>八年級</v>
      </c>
      <c r="G1123" s="14" t="str">
        <f>IFERROR(__xludf.DUMMYFUNCTION("""COMPUTED_VALUE"""),"●小禮物")</f>
        <v>●小禮物</v>
      </c>
      <c r="H1123" s="8"/>
    </row>
    <row r="1124">
      <c r="A1124" s="18"/>
      <c r="B1124" s="14">
        <f>IFERROR(__xludf.DUMMYFUNCTION("""COMPUTED_VALUE"""),822275.0)</f>
        <v>822275</v>
      </c>
      <c r="C1124" s="14" t="str">
        <f>IFERROR(__xludf.DUMMYFUNCTION("""COMPUTED_VALUE"""),"翁茂嘉")</f>
        <v>翁茂嘉</v>
      </c>
      <c r="D1124" s="16" t="str">
        <f>IFERROR(__xludf.DUMMYFUNCTION("""COMPUTED_VALUE"""),"110*****ljh.tyc.edu.tw")</f>
        <v>110*****ljh.tyc.edu.tw</v>
      </c>
      <c r="E1124" s="17" t="str">
        <f>IFERROR(__xludf.DUMMYFUNCTION("""COMPUTED_VALUE"""),"桃園市立大崙國民中學")</f>
        <v>桃園市立大崙國民中學</v>
      </c>
      <c r="F1124" s="14" t="str">
        <f>IFERROR(__xludf.DUMMYFUNCTION("""COMPUTED_VALUE"""),"八年級")</f>
        <v>八年級</v>
      </c>
      <c r="G1124" s="14" t="str">
        <f>IFERROR(__xludf.DUMMYFUNCTION("""COMPUTED_VALUE"""),"●小禮物")</f>
        <v>●小禮物</v>
      </c>
      <c r="H1124" s="8"/>
    </row>
    <row r="1125">
      <c r="A1125" s="18"/>
      <c r="B1125" s="14">
        <f>IFERROR(__xludf.DUMMYFUNCTION("""COMPUTED_VALUE"""),822289.0)</f>
        <v>822289</v>
      </c>
      <c r="C1125" s="14" t="str">
        <f>IFERROR(__xludf.DUMMYFUNCTION("""COMPUTED_VALUE"""),"張台恩")</f>
        <v>張台恩</v>
      </c>
      <c r="D1125" s="16" t="str">
        <f>IFERROR(__xludf.DUMMYFUNCTION("""COMPUTED_VALUE"""),"110*****ljh.tyc.edu.tw")</f>
        <v>110*****ljh.tyc.edu.tw</v>
      </c>
      <c r="E1125" s="17" t="str">
        <f>IFERROR(__xludf.DUMMYFUNCTION("""COMPUTED_VALUE"""),"桃園市立大崙國民中學")</f>
        <v>桃園市立大崙國民中學</v>
      </c>
      <c r="F1125" s="14" t="str">
        <f>IFERROR(__xludf.DUMMYFUNCTION("""COMPUTED_VALUE"""),"八年級")</f>
        <v>八年級</v>
      </c>
      <c r="G1125" s="14" t="str">
        <f>IFERROR(__xludf.DUMMYFUNCTION("""COMPUTED_VALUE"""),"●小禮物")</f>
        <v>●小禮物</v>
      </c>
      <c r="H1125" s="8"/>
    </row>
    <row r="1126">
      <c r="A1126" s="18"/>
      <c r="B1126" s="14">
        <f>IFERROR(__xludf.DUMMYFUNCTION("""COMPUTED_VALUE"""),822277.0)</f>
        <v>822277</v>
      </c>
      <c r="C1126" s="14" t="str">
        <f>IFERROR(__xludf.DUMMYFUNCTION("""COMPUTED_VALUE"""),"莊明哲")</f>
        <v>莊明哲</v>
      </c>
      <c r="D1126" s="16" t="str">
        <f>IFERROR(__xludf.DUMMYFUNCTION("""COMPUTED_VALUE"""),"110*****ljh.tyc.edu.tw")</f>
        <v>110*****ljh.tyc.edu.tw</v>
      </c>
      <c r="E1126" s="17" t="str">
        <f>IFERROR(__xludf.DUMMYFUNCTION("""COMPUTED_VALUE"""),"桃園市立大崙國民中學")</f>
        <v>桃園市立大崙國民中學</v>
      </c>
      <c r="F1126" s="14" t="str">
        <f>IFERROR(__xludf.DUMMYFUNCTION("""COMPUTED_VALUE"""),"八年級")</f>
        <v>八年級</v>
      </c>
      <c r="G1126" s="14" t="str">
        <f>IFERROR(__xludf.DUMMYFUNCTION("""COMPUTED_VALUE"""),"●小禮物")</f>
        <v>●小禮物</v>
      </c>
      <c r="H1126" s="8"/>
    </row>
    <row r="1127">
      <c r="A1127" s="18"/>
      <c r="B1127" s="14">
        <f>IFERROR(__xludf.DUMMYFUNCTION("""COMPUTED_VALUE"""),1176063.0)</f>
        <v>1176063</v>
      </c>
      <c r="C1127" s="14" t="str">
        <f>IFERROR(__xludf.DUMMYFUNCTION("""COMPUTED_VALUE"""),"莊翊泓")</f>
        <v>莊翊泓</v>
      </c>
      <c r="D1127" s="16" t="str">
        <f>IFERROR(__xludf.DUMMYFUNCTION("""COMPUTED_VALUE"""),"110*****ljh.tyc.edu.tw")</f>
        <v>110*****ljh.tyc.edu.tw</v>
      </c>
      <c r="E1127" s="17" t="str">
        <f>IFERROR(__xludf.DUMMYFUNCTION("""COMPUTED_VALUE"""),"桃園市立大崙國民中學")</f>
        <v>桃園市立大崙國民中學</v>
      </c>
      <c r="F1127" s="14" t="str">
        <f>IFERROR(__xludf.DUMMYFUNCTION("""COMPUTED_VALUE"""),"八年級")</f>
        <v>八年級</v>
      </c>
      <c r="G1127" s="14" t="str">
        <f>IFERROR(__xludf.DUMMYFUNCTION("""COMPUTED_VALUE"""),"●小禮物")</f>
        <v>●小禮物</v>
      </c>
      <c r="H1127" s="8"/>
    </row>
    <row r="1128">
      <c r="A1128" s="18"/>
      <c r="B1128" s="14">
        <f>IFERROR(__xludf.DUMMYFUNCTION("""COMPUTED_VALUE"""),822292.0)</f>
        <v>822292</v>
      </c>
      <c r="C1128" s="14" t="str">
        <f>IFERROR(__xludf.DUMMYFUNCTION("""COMPUTED_VALUE"""),"曾悅涵")</f>
        <v>曾悅涵</v>
      </c>
      <c r="D1128" s="16" t="str">
        <f>IFERROR(__xludf.DUMMYFUNCTION("""COMPUTED_VALUE"""),"110*****ljh.tyc.edu.tw")</f>
        <v>110*****ljh.tyc.edu.tw</v>
      </c>
      <c r="E1128" s="17" t="str">
        <f>IFERROR(__xludf.DUMMYFUNCTION("""COMPUTED_VALUE"""),"桃園市立大崙國民中學")</f>
        <v>桃園市立大崙國民中學</v>
      </c>
      <c r="F1128" s="14" t="str">
        <f>IFERROR(__xludf.DUMMYFUNCTION("""COMPUTED_VALUE"""),"八年級")</f>
        <v>八年級</v>
      </c>
      <c r="G1128" s="14" t="str">
        <f>IFERROR(__xludf.DUMMYFUNCTION("""COMPUTED_VALUE"""),"●小禮物")</f>
        <v>●小禮物</v>
      </c>
      <c r="H1128" s="8"/>
    </row>
    <row r="1129">
      <c r="A1129" s="18"/>
      <c r="B1129" s="14">
        <f>IFERROR(__xludf.DUMMYFUNCTION("""COMPUTED_VALUE"""),822278.0)</f>
        <v>822278</v>
      </c>
      <c r="C1129" s="14" t="str">
        <f>IFERROR(__xludf.DUMMYFUNCTION("""COMPUTED_VALUE"""),"温懷忠")</f>
        <v>温懷忠</v>
      </c>
      <c r="D1129" s="16" t="str">
        <f>IFERROR(__xludf.DUMMYFUNCTION("""COMPUTED_VALUE"""),"110*****ljh.tyc.edu.tw")</f>
        <v>110*****ljh.tyc.edu.tw</v>
      </c>
      <c r="E1129" s="17" t="str">
        <f>IFERROR(__xludf.DUMMYFUNCTION("""COMPUTED_VALUE"""),"桃園市立大崙國民中學")</f>
        <v>桃園市立大崙國民中學</v>
      </c>
      <c r="F1129" s="14" t="str">
        <f>IFERROR(__xludf.DUMMYFUNCTION("""COMPUTED_VALUE"""),"八年級")</f>
        <v>八年級</v>
      </c>
      <c r="G1129" s="14" t="str">
        <f>IFERROR(__xludf.DUMMYFUNCTION("""COMPUTED_VALUE"""),"●小禮物")</f>
        <v>●小禮物</v>
      </c>
      <c r="H1129" s="8"/>
    </row>
    <row r="1130">
      <c r="A1130" s="18"/>
      <c r="B1130" s="14">
        <f>IFERROR(__xludf.DUMMYFUNCTION("""COMPUTED_VALUE"""),822279.0)</f>
        <v>822279</v>
      </c>
      <c r="C1130" s="14" t="str">
        <f>IFERROR(__xludf.DUMMYFUNCTION("""COMPUTED_VALUE"""),"黃頎軒")</f>
        <v>黃頎軒</v>
      </c>
      <c r="D1130" s="16" t="str">
        <f>IFERROR(__xludf.DUMMYFUNCTION("""COMPUTED_VALUE"""),"110*****ljh.tyc.edu.tw")</f>
        <v>110*****ljh.tyc.edu.tw</v>
      </c>
      <c r="E1130" s="17" t="str">
        <f>IFERROR(__xludf.DUMMYFUNCTION("""COMPUTED_VALUE"""),"桃園市立大崙國民中學")</f>
        <v>桃園市立大崙國民中學</v>
      </c>
      <c r="F1130" s="14" t="str">
        <f>IFERROR(__xludf.DUMMYFUNCTION("""COMPUTED_VALUE"""),"八年級")</f>
        <v>八年級</v>
      </c>
      <c r="G1130" s="14" t="str">
        <f>IFERROR(__xludf.DUMMYFUNCTION("""COMPUTED_VALUE"""),"●小禮物")</f>
        <v>●小禮物</v>
      </c>
      <c r="H1130" s="8"/>
    </row>
    <row r="1131">
      <c r="A1131" s="18"/>
      <c r="B1131" s="14">
        <f>IFERROR(__xludf.DUMMYFUNCTION("""COMPUTED_VALUE"""),822281.0)</f>
        <v>822281</v>
      </c>
      <c r="C1131" s="14" t="str">
        <f>IFERROR(__xludf.DUMMYFUNCTION("""COMPUTED_VALUE"""),"詹皇政")</f>
        <v>詹皇政</v>
      </c>
      <c r="D1131" s="16" t="str">
        <f>IFERROR(__xludf.DUMMYFUNCTION("""COMPUTED_VALUE"""),"110*****ljh.tyc.edu.tw")</f>
        <v>110*****ljh.tyc.edu.tw</v>
      </c>
      <c r="E1131" s="17" t="str">
        <f>IFERROR(__xludf.DUMMYFUNCTION("""COMPUTED_VALUE"""),"桃園市立大崙國民中學")</f>
        <v>桃園市立大崙國民中學</v>
      </c>
      <c r="F1131" s="14" t="str">
        <f>IFERROR(__xludf.DUMMYFUNCTION("""COMPUTED_VALUE"""),"八年級")</f>
        <v>八年級</v>
      </c>
      <c r="G1131" s="14" t="str">
        <f>IFERROR(__xludf.DUMMYFUNCTION("""COMPUTED_VALUE"""),"●小禮物")</f>
        <v>●小禮物</v>
      </c>
      <c r="H1131" s="8"/>
    </row>
    <row r="1132">
      <c r="A1132" s="18"/>
      <c r="B1132" s="14">
        <f>IFERROR(__xludf.DUMMYFUNCTION("""COMPUTED_VALUE"""),822293.0)</f>
        <v>822293</v>
      </c>
      <c r="C1132" s="14" t="str">
        <f>IFERROR(__xludf.DUMMYFUNCTION("""COMPUTED_VALUE"""),"鄭豊臻")</f>
        <v>鄭豊臻</v>
      </c>
      <c r="D1132" s="16" t="str">
        <f>IFERROR(__xludf.DUMMYFUNCTION("""COMPUTED_VALUE"""),"110*****ljh.tyc.edu.tw")</f>
        <v>110*****ljh.tyc.edu.tw</v>
      </c>
      <c r="E1132" s="17" t="str">
        <f>IFERROR(__xludf.DUMMYFUNCTION("""COMPUTED_VALUE"""),"桃園市立大崙國民中學")</f>
        <v>桃園市立大崙國民中學</v>
      </c>
      <c r="F1132" s="14" t="str">
        <f>IFERROR(__xludf.DUMMYFUNCTION("""COMPUTED_VALUE"""),"八年級")</f>
        <v>八年級</v>
      </c>
      <c r="G1132" s="14" t="str">
        <f>IFERROR(__xludf.DUMMYFUNCTION("""COMPUTED_VALUE"""),"●小禮物")</f>
        <v>●小禮物</v>
      </c>
      <c r="H1132" s="8"/>
    </row>
    <row r="1133">
      <c r="A1133" s="18"/>
      <c r="B1133" s="14">
        <f>IFERROR(__xludf.DUMMYFUNCTION("""COMPUTED_VALUE"""),822282.0)</f>
        <v>822282</v>
      </c>
      <c r="C1133" s="14" t="str">
        <f>IFERROR(__xludf.DUMMYFUNCTION("""COMPUTED_VALUE"""),"謝宗翰")</f>
        <v>謝宗翰</v>
      </c>
      <c r="D1133" s="16" t="str">
        <f>IFERROR(__xludf.DUMMYFUNCTION("""COMPUTED_VALUE"""),"110*****ljh.tyc.edu.tw")</f>
        <v>110*****ljh.tyc.edu.tw</v>
      </c>
      <c r="E1133" s="17" t="str">
        <f>IFERROR(__xludf.DUMMYFUNCTION("""COMPUTED_VALUE"""),"桃園市立大崙國民中學")</f>
        <v>桃園市立大崙國民中學</v>
      </c>
      <c r="F1133" s="14" t="str">
        <f>IFERROR(__xludf.DUMMYFUNCTION("""COMPUTED_VALUE"""),"八年級")</f>
        <v>八年級</v>
      </c>
      <c r="G1133" s="14" t="str">
        <f>IFERROR(__xludf.DUMMYFUNCTION("""COMPUTED_VALUE"""),"●小禮物")</f>
        <v>●小禮物</v>
      </c>
      <c r="H1133" s="8"/>
    </row>
    <row r="1134">
      <c r="A1134" s="18"/>
      <c r="B1134" s="14">
        <f>IFERROR(__xludf.DUMMYFUNCTION("""COMPUTED_VALUE"""),822283.0)</f>
        <v>822283</v>
      </c>
      <c r="C1134" s="14" t="str">
        <f>IFERROR(__xludf.DUMMYFUNCTION("""COMPUTED_VALUE"""),"謝嚴霆")</f>
        <v>謝嚴霆</v>
      </c>
      <c r="D1134" s="16" t="str">
        <f>IFERROR(__xludf.DUMMYFUNCTION("""COMPUTED_VALUE"""),"110*****ljh.tyc.edu.tw")</f>
        <v>110*****ljh.tyc.edu.tw</v>
      </c>
      <c r="E1134" s="17" t="str">
        <f>IFERROR(__xludf.DUMMYFUNCTION("""COMPUTED_VALUE"""),"桃園市立大崙國民中學")</f>
        <v>桃園市立大崙國民中學</v>
      </c>
      <c r="F1134" s="14" t="str">
        <f>IFERROR(__xludf.DUMMYFUNCTION("""COMPUTED_VALUE"""),"八年級")</f>
        <v>八年級</v>
      </c>
      <c r="G1134" s="14" t="str">
        <f>IFERROR(__xludf.DUMMYFUNCTION("""COMPUTED_VALUE"""),"●小禮物")</f>
        <v>●小禮物</v>
      </c>
      <c r="H1134" s="8"/>
    </row>
    <row r="1135">
      <c r="A1135" s="18"/>
      <c r="B1135" s="14">
        <f>IFERROR(__xludf.DUMMYFUNCTION("""COMPUTED_VALUE"""),822285.0)</f>
        <v>822285</v>
      </c>
      <c r="C1135" s="14" t="str">
        <f>IFERROR(__xludf.DUMMYFUNCTION("""COMPUTED_VALUE"""),"羅政則")</f>
        <v>羅政則</v>
      </c>
      <c r="D1135" s="16" t="str">
        <f>IFERROR(__xludf.DUMMYFUNCTION("""COMPUTED_VALUE"""),"110*****ljh.tyc.edu.tw")</f>
        <v>110*****ljh.tyc.edu.tw</v>
      </c>
      <c r="E1135" s="17" t="str">
        <f>IFERROR(__xludf.DUMMYFUNCTION("""COMPUTED_VALUE"""),"桃園市立大崙國民中學")</f>
        <v>桃園市立大崙國民中學</v>
      </c>
      <c r="F1135" s="14" t="str">
        <f>IFERROR(__xludf.DUMMYFUNCTION("""COMPUTED_VALUE"""),"八年級")</f>
        <v>八年級</v>
      </c>
      <c r="G1135" s="14" t="str">
        <f>IFERROR(__xludf.DUMMYFUNCTION("""COMPUTED_VALUE"""),"●小禮物")</f>
        <v>●小禮物</v>
      </c>
      <c r="H1135" s="8"/>
    </row>
    <row r="1136">
      <c r="A1136" s="18"/>
      <c r="B1136" s="14">
        <f>IFERROR(__xludf.DUMMYFUNCTION("""COMPUTED_VALUE"""),822287.0)</f>
        <v>822287</v>
      </c>
      <c r="C1136" s="14" t="str">
        <f>IFERROR(__xludf.DUMMYFUNCTION("""COMPUTED_VALUE"""),"李晴雯")</f>
        <v>李晴雯</v>
      </c>
      <c r="D1136" s="16" t="str">
        <f>IFERROR(__xludf.DUMMYFUNCTION("""COMPUTED_VALUE"""),"110*****ljh.tyc.edu.tw")</f>
        <v>110*****ljh.tyc.edu.tw</v>
      </c>
      <c r="E1136" s="17" t="str">
        <f>IFERROR(__xludf.DUMMYFUNCTION("""COMPUTED_VALUE"""),"桃園市立大崙國民中學")</f>
        <v>桃園市立大崙國民中學</v>
      </c>
      <c r="F1136" s="14" t="str">
        <f>IFERROR(__xludf.DUMMYFUNCTION("""COMPUTED_VALUE"""),"八年級")</f>
        <v>八年級</v>
      </c>
      <c r="G1136" s="14" t="str">
        <f>IFERROR(__xludf.DUMMYFUNCTION("""COMPUTED_VALUE"""),"獎狀")</f>
        <v>獎狀</v>
      </c>
      <c r="H1136" s="8"/>
    </row>
    <row r="1137">
      <c r="A1137" s="18"/>
      <c r="B1137" s="14">
        <f>IFERROR(__xludf.DUMMYFUNCTION("""COMPUTED_VALUE"""),822272.0)</f>
        <v>822272</v>
      </c>
      <c r="C1137" s="14" t="str">
        <f>IFERROR(__xludf.DUMMYFUNCTION("""COMPUTED_VALUE"""),"胡宇凡")</f>
        <v>胡宇凡</v>
      </c>
      <c r="D1137" s="16" t="str">
        <f>IFERROR(__xludf.DUMMYFUNCTION("""COMPUTED_VALUE"""),"110*****ljh.tyc.edu.tw")</f>
        <v>110*****ljh.tyc.edu.tw</v>
      </c>
      <c r="E1137" s="17" t="str">
        <f>IFERROR(__xludf.DUMMYFUNCTION("""COMPUTED_VALUE"""),"桃園市立大崙國民中學")</f>
        <v>桃園市立大崙國民中學</v>
      </c>
      <c r="F1137" s="14" t="str">
        <f>IFERROR(__xludf.DUMMYFUNCTION("""COMPUTED_VALUE"""),"八年級")</f>
        <v>八年級</v>
      </c>
      <c r="G1137" s="14" t="str">
        <f>IFERROR(__xludf.DUMMYFUNCTION("""COMPUTED_VALUE"""),"獎狀")</f>
        <v>獎狀</v>
      </c>
      <c r="H1137" s="8"/>
    </row>
    <row r="1138">
      <c r="A1138" s="18"/>
      <c r="B1138" s="14">
        <f>IFERROR(__xludf.DUMMYFUNCTION("""COMPUTED_VALUE"""),822273.0)</f>
        <v>822273</v>
      </c>
      <c r="C1138" s="14" t="str">
        <f>IFERROR(__xludf.DUMMYFUNCTION("""COMPUTED_VALUE"""),"范植宏")</f>
        <v>范植宏</v>
      </c>
      <c r="D1138" s="16" t="str">
        <f>IFERROR(__xludf.DUMMYFUNCTION("""COMPUTED_VALUE"""),"110*****ljh.tyc.edu.tw")</f>
        <v>110*****ljh.tyc.edu.tw</v>
      </c>
      <c r="E1138" s="17" t="str">
        <f>IFERROR(__xludf.DUMMYFUNCTION("""COMPUTED_VALUE"""),"桃園市立大崙國民中學")</f>
        <v>桃園市立大崙國民中學</v>
      </c>
      <c r="F1138" s="14" t="str">
        <f>IFERROR(__xludf.DUMMYFUNCTION("""COMPUTED_VALUE"""),"八年級")</f>
        <v>八年級</v>
      </c>
      <c r="G1138" s="14" t="str">
        <f>IFERROR(__xludf.DUMMYFUNCTION("""COMPUTED_VALUE"""),"獎狀")</f>
        <v>獎狀</v>
      </c>
      <c r="H1138" s="8"/>
    </row>
    <row r="1139">
      <c r="A1139" s="18"/>
      <c r="B1139" s="14">
        <f>IFERROR(__xludf.DUMMYFUNCTION("""COMPUTED_VALUE"""),822276.0)</f>
        <v>822276</v>
      </c>
      <c r="C1139" s="14" t="str">
        <f>IFERROR(__xludf.DUMMYFUNCTION("""COMPUTED_VALUE"""),"梁靖捷")</f>
        <v>梁靖捷</v>
      </c>
      <c r="D1139" s="16" t="str">
        <f>IFERROR(__xludf.DUMMYFUNCTION("""COMPUTED_VALUE"""),"110*****ljh.tyc.edu.tw")</f>
        <v>110*****ljh.tyc.edu.tw</v>
      </c>
      <c r="E1139" s="17" t="str">
        <f>IFERROR(__xludf.DUMMYFUNCTION("""COMPUTED_VALUE"""),"桃園市立大崙國民中學")</f>
        <v>桃園市立大崙國民中學</v>
      </c>
      <c r="F1139" s="14" t="str">
        <f>IFERROR(__xludf.DUMMYFUNCTION("""COMPUTED_VALUE"""),"八年級")</f>
        <v>八年級</v>
      </c>
      <c r="G1139" s="14" t="str">
        <f>IFERROR(__xludf.DUMMYFUNCTION("""COMPUTED_VALUE"""),"獎狀")</f>
        <v>獎狀</v>
      </c>
      <c r="H1139" s="8"/>
    </row>
    <row r="1140">
      <c r="A1140" s="18"/>
      <c r="B1140" s="14">
        <f>IFERROR(__xludf.DUMMYFUNCTION("""COMPUTED_VALUE"""),822290.0)</f>
        <v>822290</v>
      </c>
      <c r="C1140" s="14" t="str">
        <f>IFERROR(__xludf.DUMMYFUNCTION("""COMPUTED_VALUE"""),"郭湘淇")</f>
        <v>郭湘淇</v>
      </c>
      <c r="D1140" s="16" t="str">
        <f>IFERROR(__xludf.DUMMYFUNCTION("""COMPUTED_VALUE"""),"110*****ljh.tyc.edu.tw")</f>
        <v>110*****ljh.tyc.edu.tw</v>
      </c>
      <c r="E1140" s="17" t="str">
        <f>IFERROR(__xludf.DUMMYFUNCTION("""COMPUTED_VALUE"""),"桃園市立大崙國民中學")</f>
        <v>桃園市立大崙國民中學</v>
      </c>
      <c r="F1140" s="14" t="str">
        <f>IFERROR(__xludf.DUMMYFUNCTION("""COMPUTED_VALUE"""),"八年級")</f>
        <v>八年級</v>
      </c>
      <c r="G1140" s="14" t="str">
        <f>IFERROR(__xludf.DUMMYFUNCTION("""COMPUTED_VALUE"""),"獎狀")</f>
        <v>獎狀</v>
      </c>
      <c r="H1140" s="8"/>
    </row>
    <row r="1141">
      <c r="A1141" s="18"/>
      <c r="B1141" s="14">
        <f>IFERROR(__xludf.DUMMYFUNCTION("""COMPUTED_VALUE"""),822291.0)</f>
        <v>822291</v>
      </c>
      <c r="C1141" s="14" t="str">
        <f>IFERROR(__xludf.DUMMYFUNCTION("""COMPUTED_VALUE"""),"陳侑琳")</f>
        <v>陳侑琳</v>
      </c>
      <c r="D1141" s="16" t="str">
        <f>IFERROR(__xludf.DUMMYFUNCTION("""COMPUTED_VALUE"""),"110*****ljh.tyc.edu.tw")</f>
        <v>110*****ljh.tyc.edu.tw</v>
      </c>
      <c r="E1141" s="17" t="str">
        <f>IFERROR(__xludf.DUMMYFUNCTION("""COMPUTED_VALUE"""),"桃園市立大崙國民中學")</f>
        <v>桃園市立大崙國民中學</v>
      </c>
      <c r="F1141" s="14" t="str">
        <f>IFERROR(__xludf.DUMMYFUNCTION("""COMPUTED_VALUE"""),"八年級")</f>
        <v>八年級</v>
      </c>
      <c r="G1141" s="14" t="str">
        <f>IFERROR(__xludf.DUMMYFUNCTION("""COMPUTED_VALUE"""),"獎狀")</f>
        <v>獎狀</v>
      </c>
      <c r="H1141" s="8"/>
    </row>
    <row r="1142">
      <c r="A1142" s="18"/>
      <c r="B1142" s="14">
        <f>IFERROR(__xludf.DUMMYFUNCTION("""COMPUTED_VALUE"""),822280.0)</f>
        <v>822280</v>
      </c>
      <c r="C1142" s="14" t="str">
        <f>IFERROR(__xludf.DUMMYFUNCTION("""COMPUTED_VALUE"""),"楊凱傑")</f>
        <v>楊凱傑</v>
      </c>
      <c r="D1142" s="16" t="str">
        <f>IFERROR(__xludf.DUMMYFUNCTION("""COMPUTED_VALUE"""),"110*****ljh.tyc.edu.tw")</f>
        <v>110*****ljh.tyc.edu.tw</v>
      </c>
      <c r="E1142" s="17" t="str">
        <f>IFERROR(__xludf.DUMMYFUNCTION("""COMPUTED_VALUE"""),"桃園市立大崙國民中學")</f>
        <v>桃園市立大崙國民中學</v>
      </c>
      <c r="F1142" s="14" t="str">
        <f>IFERROR(__xludf.DUMMYFUNCTION("""COMPUTED_VALUE"""),"八年級")</f>
        <v>八年級</v>
      </c>
      <c r="G1142" s="14" t="str">
        <f>IFERROR(__xludf.DUMMYFUNCTION("""COMPUTED_VALUE"""),"獎狀")</f>
        <v>獎狀</v>
      </c>
      <c r="H1142" s="8"/>
    </row>
    <row r="1143">
      <c r="A1143" s="18"/>
      <c r="B1143" s="14">
        <f>IFERROR(__xludf.DUMMYFUNCTION("""COMPUTED_VALUE"""),822284.0)</f>
        <v>822284</v>
      </c>
      <c r="C1143" s="14" t="str">
        <f>IFERROR(__xludf.DUMMYFUNCTION("""COMPUTED_VALUE"""),"簡菘甫")</f>
        <v>簡菘甫</v>
      </c>
      <c r="D1143" s="16" t="str">
        <f>IFERROR(__xludf.DUMMYFUNCTION("""COMPUTED_VALUE"""),"110*****ljh.tyc.edu.tw")</f>
        <v>110*****ljh.tyc.edu.tw</v>
      </c>
      <c r="E1143" s="17" t="str">
        <f>IFERROR(__xludf.DUMMYFUNCTION("""COMPUTED_VALUE"""),"桃園市立大崙國民中學")</f>
        <v>桃園市立大崙國民中學</v>
      </c>
      <c r="F1143" s="14" t="str">
        <f>IFERROR(__xludf.DUMMYFUNCTION("""COMPUTED_VALUE"""),"八年級")</f>
        <v>八年級</v>
      </c>
      <c r="G1143" s="14" t="str">
        <f>IFERROR(__xludf.DUMMYFUNCTION("""COMPUTED_VALUE"""),"獎狀")</f>
        <v>獎狀</v>
      </c>
      <c r="H1143" s="8"/>
    </row>
    <row r="1144">
      <c r="A1144" s="18"/>
      <c r="B1144" s="14">
        <f>IFERROR(__xludf.DUMMYFUNCTION("""COMPUTED_VALUE"""),822295.0)</f>
        <v>822295</v>
      </c>
      <c r="C1144" s="14" t="str">
        <f>IFERROR(__xludf.DUMMYFUNCTION("""COMPUTED_VALUE"""),"呂杰")</f>
        <v>呂杰</v>
      </c>
      <c r="D1144" s="16" t="str">
        <f>IFERROR(__xludf.DUMMYFUNCTION("""COMPUTED_VALUE"""),"110*****ljh.tyc.edu.tw")</f>
        <v>110*****ljh.tyc.edu.tw</v>
      </c>
      <c r="E1144" s="17" t="str">
        <f>IFERROR(__xludf.DUMMYFUNCTION("""COMPUTED_VALUE"""),"桃園市立大崙國民中學")</f>
        <v>桃園市立大崙國民中學</v>
      </c>
      <c r="F1144" s="14" t="str">
        <f>IFERROR(__xludf.DUMMYFUNCTION("""COMPUTED_VALUE"""),"八年級")</f>
        <v>八年級</v>
      </c>
      <c r="G1144" s="14" t="str">
        <f>IFERROR(__xludf.DUMMYFUNCTION("""COMPUTED_VALUE"""),"●小禮物")</f>
        <v>●小禮物</v>
      </c>
      <c r="H1144" s="8"/>
    </row>
    <row r="1145">
      <c r="A1145" s="18"/>
      <c r="B1145" s="14">
        <f>IFERROR(__xludf.DUMMYFUNCTION("""COMPUTED_VALUE"""),822310.0)</f>
        <v>822310</v>
      </c>
      <c r="C1145" s="14" t="str">
        <f>IFERROR(__xludf.DUMMYFUNCTION("""COMPUTED_VALUE"""),"林采潔")</f>
        <v>林采潔</v>
      </c>
      <c r="D1145" s="16" t="str">
        <f>IFERROR(__xludf.DUMMYFUNCTION("""COMPUTED_VALUE"""),"110*****ljh.tyc.edu.tw")</f>
        <v>110*****ljh.tyc.edu.tw</v>
      </c>
      <c r="E1145" s="17" t="str">
        <f>IFERROR(__xludf.DUMMYFUNCTION("""COMPUTED_VALUE"""),"桃園市立大崙國民中學")</f>
        <v>桃園市立大崙國民中學</v>
      </c>
      <c r="F1145" s="14" t="str">
        <f>IFERROR(__xludf.DUMMYFUNCTION("""COMPUTED_VALUE"""),"八年級")</f>
        <v>八年級</v>
      </c>
      <c r="G1145" s="14" t="str">
        <f>IFERROR(__xludf.DUMMYFUNCTION("""COMPUTED_VALUE"""),"●小禮物")</f>
        <v>●小禮物</v>
      </c>
      <c r="H1145" s="8"/>
    </row>
    <row r="1146">
      <c r="A1146" s="18"/>
      <c r="B1146" s="14">
        <f>IFERROR(__xludf.DUMMYFUNCTION("""COMPUTED_VALUE"""),822311.0)</f>
        <v>822311</v>
      </c>
      <c r="C1146" s="14" t="str">
        <f>IFERROR(__xludf.DUMMYFUNCTION("""COMPUTED_VALUE"""),"邱禹禎")</f>
        <v>邱禹禎</v>
      </c>
      <c r="D1146" s="16" t="str">
        <f>IFERROR(__xludf.DUMMYFUNCTION("""COMPUTED_VALUE"""),"110*****ljh.tyc.edu.tw")</f>
        <v>110*****ljh.tyc.edu.tw</v>
      </c>
      <c r="E1146" s="17" t="str">
        <f>IFERROR(__xludf.DUMMYFUNCTION("""COMPUTED_VALUE"""),"桃園市立大崙國民中學")</f>
        <v>桃園市立大崙國民中學</v>
      </c>
      <c r="F1146" s="14" t="str">
        <f>IFERROR(__xludf.DUMMYFUNCTION("""COMPUTED_VALUE"""),"八年級")</f>
        <v>八年級</v>
      </c>
      <c r="G1146" s="14" t="str">
        <f>IFERROR(__xludf.DUMMYFUNCTION("""COMPUTED_VALUE"""),"●小禮物")</f>
        <v>●小禮物</v>
      </c>
      <c r="H1146" s="8"/>
    </row>
    <row r="1147">
      <c r="A1147" s="18"/>
      <c r="B1147" s="14">
        <f>IFERROR(__xludf.DUMMYFUNCTION("""COMPUTED_VALUE"""),822299.0)</f>
        <v>822299</v>
      </c>
      <c r="C1147" s="14" t="str">
        <f>IFERROR(__xludf.DUMMYFUNCTION("""COMPUTED_VALUE"""),"邱煒哲")</f>
        <v>邱煒哲</v>
      </c>
      <c r="D1147" s="16" t="str">
        <f>IFERROR(__xludf.DUMMYFUNCTION("""COMPUTED_VALUE"""),"110*****ljh.tyc.edu.tw")</f>
        <v>110*****ljh.tyc.edu.tw</v>
      </c>
      <c r="E1147" s="17" t="str">
        <f>IFERROR(__xludf.DUMMYFUNCTION("""COMPUTED_VALUE"""),"桃園市立大崙國民中學")</f>
        <v>桃園市立大崙國民中學</v>
      </c>
      <c r="F1147" s="14" t="str">
        <f>IFERROR(__xludf.DUMMYFUNCTION("""COMPUTED_VALUE"""),"八年級")</f>
        <v>八年級</v>
      </c>
      <c r="G1147" s="14" t="str">
        <f>IFERROR(__xludf.DUMMYFUNCTION("""COMPUTED_VALUE"""),"●小禮物")</f>
        <v>●小禮物</v>
      </c>
      <c r="H1147" s="8"/>
    </row>
    <row r="1148">
      <c r="A1148" s="18"/>
      <c r="B1148" s="14">
        <f>IFERROR(__xludf.DUMMYFUNCTION("""COMPUTED_VALUE"""),822314.0)</f>
        <v>822314</v>
      </c>
      <c r="C1148" s="14" t="str">
        <f>IFERROR(__xludf.DUMMYFUNCTION("""COMPUTED_VALUE"""),"徐紫晴")</f>
        <v>徐紫晴</v>
      </c>
      <c r="D1148" s="16" t="str">
        <f>IFERROR(__xludf.DUMMYFUNCTION("""COMPUTED_VALUE"""),"110*****ljh.tyc.edu.tw")</f>
        <v>110*****ljh.tyc.edu.tw</v>
      </c>
      <c r="E1148" s="17" t="str">
        <f>IFERROR(__xludf.DUMMYFUNCTION("""COMPUTED_VALUE"""),"桃園市立大崙國民中學")</f>
        <v>桃園市立大崙國民中學</v>
      </c>
      <c r="F1148" s="14" t="str">
        <f>IFERROR(__xludf.DUMMYFUNCTION("""COMPUTED_VALUE"""),"八年級")</f>
        <v>八年級</v>
      </c>
      <c r="G1148" s="14" t="str">
        <f>IFERROR(__xludf.DUMMYFUNCTION("""COMPUTED_VALUE"""),"●小禮物")</f>
        <v>●小禮物</v>
      </c>
      <c r="H1148" s="8"/>
    </row>
    <row r="1149">
      <c r="A1149" s="18"/>
      <c r="B1149" s="14">
        <f>IFERROR(__xludf.DUMMYFUNCTION("""COMPUTED_VALUE"""),822306.0)</f>
        <v>822306</v>
      </c>
      <c r="C1149" s="14" t="str">
        <f>IFERROR(__xludf.DUMMYFUNCTION("""COMPUTED_VALUE"""),"黃俊霖")</f>
        <v>黃俊霖</v>
      </c>
      <c r="D1149" s="16" t="str">
        <f>IFERROR(__xludf.DUMMYFUNCTION("""COMPUTED_VALUE"""),"110*****ljh.tyc.edu.tw")</f>
        <v>110*****ljh.tyc.edu.tw</v>
      </c>
      <c r="E1149" s="17" t="str">
        <f>IFERROR(__xludf.DUMMYFUNCTION("""COMPUTED_VALUE"""),"桃園市立大崙國民中學")</f>
        <v>桃園市立大崙國民中學</v>
      </c>
      <c r="F1149" s="14" t="str">
        <f>IFERROR(__xludf.DUMMYFUNCTION("""COMPUTED_VALUE"""),"八年級")</f>
        <v>八年級</v>
      </c>
      <c r="G1149" s="14" t="str">
        <f>IFERROR(__xludf.DUMMYFUNCTION("""COMPUTED_VALUE"""),"●小禮物")</f>
        <v>●小禮物</v>
      </c>
      <c r="H1149" s="8"/>
    </row>
    <row r="1150">
      <c r="A1150" s="18"/>
      <c r="B1150" s="14">
        <f>IFERROR(__xludf.DUMMYFUNCTION("""COMPUTED_VALUE"""),822307.0)</f>
        <v>822307</v>
      </c>
      <c r="C1150" s="14" t="str">
        <f>IFERROR(__xludf.DUMMYFUNCTION("""COMPUTED_VALUE"""),"楊永在")</f>
        <v>楊永在</v>
      </c>
      <c r="D1150" s="16" t="str">
        <f>IFERROR(__xludf.DUMMYFUNCTION("""COMPUTED_VALUE"""),"110*****ljh.tyc.edu.tw")</f>
        <v>110*****ljh.tyc.edu.tw</v>
      </c>
      <c r="E1150" s="17" t="str">
        <f>IFERROR(__xludf.DUMMYFUNCTION("""COMPUTED_VALUE"""),"桃園市立大崙國民中學")</f>
        <v>桃園市立大崙國民中學</v>
      </c>
      <c r="F1150" s="14" t="str">
        <f>IFERROR(__xludf.DUMMYFUNCTION("""COMPUTED_VALUE"""),"八年級")</f>
        <v>八年級</v>
      </c>
      <c r="G1150" s="14" t="str">
        <f>IFERROR(__xludf.DUMMYFUNCTION("""COMPUTED_VALUE"""),"●小禮物")</f>
        <v>●小禮物</v>
      </c>
      <c r="H1150" s="8"/>
    </row>
    <row r="1151">
      <c r="A1151" s="18"/>
      <c r="B1151" s="14">
        <f>IFERROR(__xludf.DUMMYFUNCTION("""COMPUTED_VALUE"""),822317.0)</f>
        <v>822317</v>
      </c>
      <c r="C1151" s="14" t="str">
        <f>IFERROR(__xludf.DUMMYFUNCTION("""COMPUTED_VALUE"""),"劉詠琪")</f>
        <v>劉詠琪</v>
      </c>
      <c r="D1151" s="16" t="str">
        <f>IFERROR(__xludf.DUMMYFUNCTION("""COMPUTED_VALUE"""),"110*****ljh.tyc.edu.tw")</f>
        <v>110*****ljh.tyc.edu.tw</v>
      </c>
      <c r="E1151" s="17" t="str">
        <f>IFERROR(__xludf.DUMMYFUNCTION("""COMPUTED_VALUE"""),"桃園市立大崙國民中學")</f>
        <v>桃園市立大崙國民中學</v>
      </c>
      <c r="F1151" s="14" t="str">
        <f>IFERROR(__xludf.DUMMYFUNCTION("""COMPUTED_VALUE"""),"八年級")</f>
        <v>八年級</v>
      </c>
      <c r="G1151" s="14" t="str">
        <f>IFERROR(__xludf.DUMMYFUNCTION("""COMPUTED_VALUE"""),"●小禮物")</f>
        <v>●小禮物</v>
      </c>
      <c r="H1151" s="8"/>
    </row>
    <row r="1152">
      <c r="A1152" s="18"/>
      <c r="B1152" s="14">
        <f>IFERROR(__xludf.DUMMYFUNCTION("""COMPUTED_VALUE"""),822319.0)</f>
        <v>822319</v>
      </c>
      <c r="C1152" s="14" t="str">
        <f>IFERROR(__xludf.DUMMYFUNCTION("""COMPUTED_VALUE"""),"謝雨恩")</f>
        <v>謝雨恩</v>
      </c>
      <c r="D1152" s="16" t="str">
        <f>IFERROR(__xludf.DUMMYFUNCTION("""COMPUTED_VALUE"""),"110*****ljh.tyc.edu.tw")</f>
        <v>110*****ljh.tyc.edu.tw</v>
      </c>
      <c r="E1152" s="17" t="str">
        <f>IFERROR(__xludf.DUMMYFUNCTION("""COMPUTED_VALUE"""),"桃園市立大崙國民中學")</f>
        <v>桃園市立大崙國民中學</v>
      </c>
      <c r="F1152" s="14" t="str">
        <f>IFERROR(__xludf.DUMMYFUNCTION("""COMPUTED_VALUE"""),"八年級")</f>
        <v>八年級</v>
      </c>
      <c r="G1152" s="14" t="str">
        <f>IFERROR(__xludf.DUMMYFUNCTION("""COMPUTED_VALUE"""),"●小禮物")</f>
        <v>●小禮物</v>
      </c>
      <c r="H1152" s="8"/>
    </row>
    <row r="1153">
      <c r="A1153" s="18"/>
      <c r="B1153" s="14">
        <f>IFERROR(__xludf.DUMMYFUNCTION("""COMPUTED_VALUE"""),822308.0)</f>
        <v>822308</v>
      </c>
      <c r="C1153" s="14" t="str">
        <f>IFERROR(__xludf.DUMMYFUNCTION("""COMPUTED_VALUE"""),"鍾京諺")</f>
        <v>鍾京諺</v>
      </c>
      <c r="D1153" s="16" t="str">
        <f>IFERROR(__xludf.DUMMYFUNCTION("""COMPUTED_VALUE"""),"110*****ljh.tyc.edu.tw")</f>
        <v>110*****ljh.tyc.edu.tw</v>
      </c>
      <c r="E1153" s="17" t="str">
        <f>IFERROR(__xludf.DUMMYFUNCTION("""COMPUTED_VALUE"""),"桃園市立大崙國民中學")</f>
        <v>桃園市立大崙國民中學</v>
      </c>
      <c r="F1153" s="14" t="str">
        <f>IFERROR(__xludf.DUMMYFUNCTION("""COMPUTED_VALUE"""),"八年級")</f>
        <v>八年級</v>
      </c>
      <c r="G1153" s="14" t="str">
        <f>IFERROR(__xludf.DUMMYFUNCTION("""COMPUTED_VALUE"""),"●小禮物")</f>
        <v>●小禮物</v>
      </c>
      <c r="H1153" s="8"/>
    </row>
    <row r="1154">
      <c r="A1154" s="18"/>
      <c r="B1154" s="14">
        <f>IFERROR(__xludf.DUMMYFUNCTION("""COMPUTED_VALUE"""),822296.0)</f>
        <v>822296</v>
      </c>
      <c r="C1154" s="14" t="str">
        <f>IFERROR(__xludf.DUMMYFUNCTION("""COMPUTED_VALUE"""),"李沁諝")</f>
        <v>李沁諝</v>
      </c>
      <c r="D1154" s="16" t="str">
        <f>IFERROR(__xludf.DUMMYFUNCTION("""COMPUTED_VALUE"""),"110*****ljh.tyc.edu.tw")</f>
        <v>110*****ljh.tyc.edu.tw</v>
      </c>
      <c r="E1154" s="17" t="str">
        <f>IFERROR(__xludf.DUMMYFUNCTION("""COMPUTED_VALUE"""),"桃園市立大崙國民中學")</f>
        <v>桃園市立大崙國民中學</v>
      </c>
      <c r="F1154" s="14" t="str">
        <f>IFERROR(__xludf.DUMMYFUNCTION("""COMPUTED_VALUE"""),"八年級")</f>
        <v>八年級</v>
      </c>
      <c r="G1154" s="14" t="str">
        <f>IFERROR(__xludf.DUMMYFUNCTION("""COMPUTED_VALUE"""),"★禮券$500")</f>
        <v>★禮券$500</v>
      </c>
      <c r="H1154" s="8"/>
    </row>
    <row r="1155">
      <c r="A1155" s="18"/>
      <c r="B1155" s="14">
        <f>IFERROR(__xludf.DUMMYFUNCTION("""COMPUTED_VALUE"""),822294.0)</f>
        <v>822294</v>
      </c>
      <c r="C1155" s="14" t="str">
        <f>IFERROR(__xludf.DUMMYFUNCTION("""COMPUTED_VALUE"""),"古明諺")</f>
        <v>古明諺</v>
      </c>
      <c r="D1155" s="16" t="str">
        <f>IFERROR(__xludf.DUMMYFUNCTION("""COMPUTED_VALUE"""),"110*****ljh.tyc.edu.tw")</f>
        <v>110*****ljh.tyc.edu.tw</v>
      </c>
      <c r="E1155" s="17" t="str">
        <f>IFERROR(__xludf.DUMMYFUNCTION("""COMPUTED_VALUE"""),"桃園市立大崙國民中學")</f>
        <v>桃園市立大崙國民中學</v>
      </c>
      <c r="F1155" s="14" t="str">
        <f>IFERROR(__xludf.DUMMYFUNCTION("""COMPUTED_VALUE"""),"八年級")</f>
        <v>八年級</v>
      </c>
      <c r="G1155" s="14" t="str">
        <f>IFERROR(__xludf.DUMMYFUNCTION("""COMPUTED_VALUE"""),"獎狀")</f>
        <v>獎狀</v>
      </c>
      <c r="H1155" s="8"/>
    </row>
    <row r="1156">
      <c r="A1156" s="18"/>
      <c r="B1156" s="14">
        <f>IFERROR(__xludf.DUMMYFUNCTION("""COMPUTED_VALUE"""),948694.0)</f>
        <v>948694</v>
      </c>
      <c r="C1156" s="14" t="str">
        <f>IFERROR(__xludf.DUMMYFUNCTION("""COMPUTED_VALUE"""),"李沂璇")</f>
        <v>李沂璇</v>
      </c>
      <c r="D1156" s="16" t="str">
        <f>IFERROR(__xludf.DUMMYFUNCTION("""COMPUTED_VALUE"""),"110*****ljh.tyc.edu.tw")</f>
        <v>110*****ljh.tyc.edu.tw</v>
      </c>
      <c r="E1156" s="17" t="str">
        <f>IFERROR(__xludf.DUMMYFUNCTION("""COMPUTED_VALUE"""),"桃園市立大崙國民中學")</f>
        <v>桃園市立大崙國民中學</v>
      </c>
      <c r="F1156" s="14" t="str">
        <f>IFERROR(__xludf.DUMMYFUNCTION("""COMPUTED_VALUE"""),"八年級")</f>
        <v>八年級</v>
      </c>
      <c r="G1156" s="14" t="str">
        <f>IFERROR(__xludf.DUMMYFUNCTION("""COMPUTED_VALUE"""),"獎狀")</f>
        <v>獎狀</v>
      </c>
      <c r="H1156" s="8"/>
    </row>
    <row r="1157">
      <c r="A1157" s="18"/>
      <c r="B1157" s="14">
        <f>IFERROR(__xludf.DUMMYFUNCTION("""COMPUTED_VALUE"""),822297.0)</f>
        <v>822297</v>
      </c>
      <c r="C1157" s="14" t="str">
        <f>IFERROR(__xludf.DUMMYFUNCTION("""COMPUTED_VALUE"""),"林鈞暐")</f>
        <v>林鈞暐</v>
      </c>
      <c r="D1157" s="16" t="str">
        <f>IFERROR(__xludf.DUMMYFUNCTION("""COMPUTED_VALUE"""),"110*****ljh.tyc.edu.tw")</f>
        <v>110*****ljh.tyc.edu.tw</v>
      </c>
      <c r="E1157" s="17" t="str">
        <f>IFERROR(__xludf.DUMMYFUNCTION("""COMPUTED_VALUE"""),"桃園市立大崙國民中學")</f>
        <v>桃園市立大崙國民中學</v>
      </c>
      <c r="F1157" s="14" t="str">
        <f>IFERROR(__xludf.DUMMYFUNCTION("""COMPUTED_VALUE"""),"八年級")</f>
        <v>八年級</v>
      </c>
      <c r="G1157" s="14" t="str">
        <f>IFERROR(__xludf.DUMMYFUNCTION("""COMPUTED_VALUE"""),"獎狀")</f>
        <v>獎狀</v>
      </c>
      <c r="H1157" s="8"/>
    </row>
    <row r="1158">
      <c r="A1158" s="18"/>
      <c r="B1158" s="14">
        <f>IFERROR(__xludf.DUMMYFUNCTION("""COMPUTED_VALUE"""),822312.0)</f>
        <v>822312</v>
      </c>
      <c r="C1158" s="14" t="str">
        <f>IFERROR(__xludf.DUMMYFUNCTION("""COMPUTED_VALUE"""),"邱琬渝")</f>
        <v>邱琬渝</v>
      </c>
      <c r="D1158" s="16" t="str">
        <f>IFERROR(__xludf.DUMMYFUNCTION("""COMPUTED_VALUE"""),"110*****ljh.tyc.edu.tw")</f>
        <v>110*****ljh.tyc.edu.tw</v>
      </c>
      <c r="E1158" s="17" t="str">
        <f>IFERROR(__xludf.DUMMYFUNCTION("""COMPUTED_VALUE"""),"桃園市立大崙國民中學")</f>
        <v>桃園市立大崙國民中學</v>
      </c>
      <c r="F1158" s="14" t="str">
        <f>IFERROR(__xludf.DUMMYFUNCTION("""COMPUTED_VALUE"""),"八年級")</f>
        <v>八年級</v>
      </c>
      <c r="G1158" s="14" t="str">
        <f>IFERROR(__xludf.DUMMYFUNCTION("""COMPUTED_VALUE"""),"獎狀")</f>
        <v>獎狀</v>
      </c>
      <c r="H1158" s="8"/>
    </row>
    <row r="1159">
      <c r="A1159" s="18"/>
      <c r="B1159" s="14">
        <f>IFERROR(__xludf.DUMMYFUNCTION("""COMPUTED_VALUE"""),822313.0)</f>
        <v>822313</v>
      </c>
      <c r="C1159" s="14" t="str">
        <f>IFERROR(__xludf.DUMMYFUNCTION("""COMPUTED_VALUE"""),"范芷瑄")</f>
        <v>范芷瑄</v>
      </c>
      <c r="D1159" s="16" t="str">
        <f>IFERROR(__xludf.DUMMYFUNCTION("""COMPUTED_VALUE"""),"110*****ljh.tyc.edu.tw")</f>
        <v>110*****ljh.tyc.edu.tw</v>
      </c>
      <c r="E1159" s="17" t="str">
        <f>IFERROR(__xludf.DUMMYFUNCTION("""COMPUTED_VALUE"""),"桃園市立大崙國民中學")</f>
        <v>桃園市立大崙國民中學</v>
      </c>
      <c r="F1159" s="14" t="str">
        <f>IFERROR(__xludf.DUMMYFUNCTION("""COMPUTED_VALUE"""),"八年級")</f>
        <v>八年級</v>
      </c>
      <c r="G1159" s="14" t="str">
        <f>IFERROR(__xludf.DUMMYFUNCTION("""COMPUTED_VALUE"""),"獎狀")</f>
        <v>獎狀</v>
      </c>
      <c r="H1159" s="8"/>
    </row>
    <row r="1160">
      <c r="A1160" s="18"/>
      <c r="B1160" s="14">
        <f>IFERROR(__xludf.DUMMYFUNCTION("""COMPUTED_VALUE"""),822300.0)</f>
        <v>822300</v>
      </c>
      <c r="C1160" s="14" t="str">
        <f>IFERROR(__xludf.DUMMYFUNCTION("""COMPUTED_VALUE"""),"徐楷庭")</f>
        <v>徐楷庭</v>
      </c>
      <c r="D1160" s="16" t="str">
        <f>IFERROR(__xludf.DUMMYFUNCTION("""COMPUTED_VALUE"""),"110*****ljh.tyc.edu.tw")</f>
        <v>110*****ljh.tyc.edu.tw</v>
      </c>
      <c r="E1160" s="17" t="str">
        <f>IFERROR(__xludf.DUMMYFUNCTION("""COMPUTED_VALUE"""),"桃園市立大崙國民中學")</f>
        <v>桃園市立大崙國民中學</v>
      </c>
      <c r="F1160" s="14" t="str">
        <f>IFERROR(__xludf.DUMMYFUNCTION("""COMPUTED_VALUE"""),"八年級")</f>
        <v>八年級</v>
      </c>
      <c r="G1160" s="14" t="str">
        <f>IFERROR(__xludf.DUMMYFUNCTION("""COMPUTED_VALUE"""),"獎狀")</f>
        <v>獎狀</v>
      </c>
      <c r="H1160" s="8"/>
    </row>
    <row r="1161">
      <c r="A1161" s="18"/>
      <c r="B1161" s="14">
        <f>IFERROR(__xludf.DUMMYFUNCTION("""COMPUTED_VALUE"""),822302.0)</f>
        <v>822302</v>
      </c>
      <c r="C1161" s="14" t="str">
        <f>IFERROR(__xludf.DUMMYFUNCTION("""COMPUTED_VALUE"""),"張容韶")</f>
        <v>張容韶</v>
      </c>
      <c r="D1161" s="16" t="str">
        <f>IFERROR(__xludf.DUMMYFUNCTION("""COMPUTED_VALUE"""),"110*****ljh.tyc.edu.tw")</f>
        <v>110*****ljh.tyc.edu.tw</v>
      </c>
      <c r="E1161" s="17" t="str">
        <f>IFERROR(__xludf.DUMMYFUNCTION("""COMPUTED_VALUE"""),"桃園市立大崙國民中學")</f>
        <v>桃園市立大崙國民中學</v>
      </c>
      <c r="F1161" s="14" t="str">
        <f>IFERROR(__xludf.DUMMYFUNCTION("""COMPUTED_VALUE"""),"八年級")</f>
        <v>八年級</v>
      </c>
      <c r="G1161" s="14" t="str">
        <f>IFERROR(__xludf.DUMMYFUNCTION("""COMPUTED_VALUE"""),"獎狀")</f>
        <v>獎狀</v>
      </c>
      <c r="H1161" s="8"/>
    </row>
    <row r="1162">
      <c r="A1162" s="18"/>
      <c r="B1162" s="14">
        <f>IFERROR(__xludf.DUMMYFUNCTION("""COMPUTED_VALUE"""),822303.0)</f>
        <v>822303</v>
      </c>
      <c r="C1162" s="14" t="str">
        <f>IFERROR(__xludf.DUMMYFUNCTION("""COMPUTED_VALUE"""),"陳宇侖")</f>
        <v>陳宇侖</v>
      </c>
      <c r="D1162" s="16" t="str">
        <f>IFERROR(__xludf.DUMMYFUNCTION("""COMPUTED_VALUE"""),"110*****ljh.tyc.edu.tw")</f>
        <v>110*****ljh.tyc.edu.tw</v>
      </c>
      <c r="E1162" s="17" t="str">
        <f>IFERROR(__xludf.DUMMYFUNCTION("""COMPUTED_VALUE"""),"桃園市立大崙國民中學")</f>
        <v>桃園市立大崙國民中學</v>
      </c>
      <c r="F1162" s="14" t="str">
        <f>IFERROR(__xludf.DUMMYFUNCTION("""COMPUTED_VALUE"""),"八年級")</f>
        <v>八年級</v>
      </c>
      <c r="G1162" s="14" t="str">
        <f>IFERROR(__xludf.DUMMYFUNCTION("""COMPUTED_VALUE"""),"獎狀")</f>
        <v>獎狀</v>
      </c>
      <c r="H1162" s="8"/>
    </row>
    <row r="1163">
      <c r="A1163" s="18"/>
      <c r="B1163" s="14">
        <f>IFERROR(__xludf.DUMMYFUNCTION("""COMPUTED_VALUE"""),822315.0)</f>
        <v>822315</v>
      </c>
      <c r="C1163" s="14" t="str">
        <f>IFERROR(__xludf.DUMMYFUNCTION("""COMPUTED_VALUE"""),"陳靖怡")</f>
        <v>陳靖怡</v>
      </c>
      <c r="D1163" s="16" t="str">
        <f>IFERROR(__xludf.DUMMYFUNCTION("""COMPUTED_VALUE"""),"110*****ljh.tyc.edu.tw")</f>
        <v>110*****ljh.tyc.edu.tw</v>
      </c>
      <c r="E1163" s="17" t="str">
        <f>IFERROR(__xludf.DUMMYFUNCTION("""COMPUTED_VALUE"""),"桃園市立大崙國民中學")</f>
        <v>桃園市立大崙國民中學</v>
      </c>
      <c r="F1163" s="14" t="str">
        <f>IFERROR(__xludf.DUMMYFUNCTION("""COMPUTED_VALUE"""),"八年級")</f>
        <v>八年級</v>
      </c>
      <c r="G1163" s="14" t="str">
        <f>IFERROR(__xludf.DUMMYFUNCTION("""COMPUTED_VALUE"""),"獎狀")</f>
        <v>獎狀</v>
      </c>
      <c r="H1163" s="8"/>
    </row>
    <row r="1164">
      <c r="A1164" s="18"/>
      <c r="B1164" s="14">
        <f>IFERROR(__xludf.DUMMYFUNCTION("""COMPUTED_VALUE"""),822316.0)</f>
        <v>822316</v>
      </c>
      <c r="C1164" s="14" t="str">
        <f>IFERROR(__xludf.DUMMYFUNCTION("""COMPUTED_VALUE"""),"黃品蓁")</f>
        <v>黃品蓁</v>
      </c>
      <c r="D1164" s="16" t="str">
        <f>IFERROR(__xludf.DUMMYFUNCTION("""COMPUTED_VALUE"""),"110*****ljh.tyc.edu.tw")</f>
        <v>110*****ljh.tyc.edu.tw</v>
      </c>
      <c r="E1164" s="17" t="str">
        <f>IFERROR(__xludf.DUMMYFUNCTION("""COMPUTED_VALUE"""),"桃園市立大崙國民中學")</f>
        <v>桃園市立大崙國民中學</v>
      </c>
      <c r="F1164" s="14" t="str">
        <f>IFERROR(__xludf.DUMMYFUNCTION("""COMPUTED_VALUE"""),"八年級")</f>
        <v>八年級</v>
      </c>
      <c r="G1164" s="14" t="str">
        <f>IFERROR(__xludf.DUMMYFUNCTION("""COMPUTED_VALUE"""),"獎狀")</f>
        <v>獎狀</v>
      </c>
      <c r="H1164" s="8"/>
    </row>
    <row r="1165">
      <c r="A1165" s="18"/>
      <c r="B1165" s="14">
        <f>IFERROR(__xludf.DUMMYFUNCTION("""COMPUTED_VALUE"""),822318.0)</f>
        <v>822318</v>
      </c>
      <c r="C1165" s="14" t="str">
        <f>IFERROR(__xludf.DUMMYFUNCTION("""COMPUTED_VALUE"""),"謝伊喬")</f>
        <v>謝伊喬</v>
      </c>
      <c r="D1165" s="16" t="str">
        <f>IFERROR(__xludf.DUMMYFUNCTION("""COMPUTED_VALUE"""),"110*****ljh.tyc.edu.tw")</f>
        <v>110*****ljh.tyc.edu.tw</v>
      </c>
      <c r="E1165" s="17" t="str">
        <f>IFERROR(__xludf.DUMMYFUNCTION("""COMPUTED_VALUE"""),"桃園市立大崙國民中學")</f>
        <v>桃園市立大崙國民中學</v>
      </c>
      <c r="F1165" s="14" t="str">
        <f>IFERROR(__xludf.DUMMYFUNCTION("""COMPUTED_VALUE"""),"八年級")</f>
        <v>八年級</v>
      </c>
      <c r="G1165" s="14" t="str">
        <f>IFERROR(__xludf.DUMMYFUNCTION("""COMPUTED_VALUE"""),"獎狀")</f>
        <v>獎狀</v>
      </c>
      <c r="H1165" s="8"/>
    </row>
    <row r="1166">
      <c r="A1166" s="18"/>
      <c r="B1166" s="14">
        <f>IFERROR(__xludf.DUMMYFUNCTION("""COMPUTED_VALUE"""),822309.0)</f>
        <v>822309</v>
      </c>
      <c r="C1166" s="14" t="str">
        <f>IFERROR(__xludf.DUMMYFUNCTION("""COMPUTED_VALUE"""),"魏祥祐")</f>
        <v>魏祥祐</v>
      </c>
      <c r="D1166" s="16" t="str">
        <f>IFERROR(__xludf.DUMMYFUNCTION("""COMPUTED_VALUE"""),"110*****ljh.tyc.edu.tw")</f>
        <v>110*****ljh.tyc.edu.tw</v>
      </c>
      <c r="E1166" s="17" t="str">
        <f>IFERROR(__xludf.DUMMYFUNCTION("""COMPUTED_VALUE"""),"桃園市立大崙國民中學")</f>
        <v>桃園市立大崙國民中學</v>
      </c>
      <c r="F1166" s="14" t="str">
        <f>IFERROR(__xludf.DUMMYFUNCTION("""COMPUTED_VALUE"""),"八年級")</f>
        <v>八年級</v>
      </c>
      <c r="G1166" s="14" t="str">
        <f>IFERROR(__xludf.DUMMYFUNCTION("""COMPUTED_VALUE"""),"獎狀")</f>
        <v>獎狀</v>
      </c>
      <c r="H1166" s="8"/>
    </row>
    <row r="1167">
      <c r="A1167" s="18"/>
      <c r="B1167" s="14">
        <f>IFERROR(__xludf.DUMMYFUNCTION("""COMPUTED_VALUE"""),822304.0)</f>
        <v>822304</v>
      </c>
      <c r="C1167" s="14" t="str">
        <f>IFERROR(__xludf.DUMMYFUNCTION("""COMPUTED_VALUE"""),"陳毅勳")</f>
        <v>陳毅勳</v>
      </c>
      <c r="D1167" s="16" t="str">
        <f>IFERROR(__xludf.DUMMYFUNCTION("""COMPUTED_VALUE"""),"110*****ljh.tyc.edu.tw")</f>
        <v>110*****ljh.tyc.edu.tw</v>
      </c>
      <c r="E1167" s="17" t="str">
        <f>IFERROR(__xludf.DUMMYFUNCTION("""COMPUTED_VALUE"""),"桃園市立大崙國民中學")</f>
        <v>桃園市立大崙國民中學</v>
      </c>
      <c r="F1167" s="14" t="str">
        <f>IFERROR(__xludf.DUMMYFUNCTION("""COMPUTED_VALUE"""),"八年級")</f>
        <v>八年級</v>
      </c>
      <c r="G1167" s="14" t="str">
        <f>IFERROR(__xludf.DUMMYFUNCTION("""COMPUTED_VALUE"""),"●小禮物")</f>
        <v>●小禮物</v>
      </c>
      <c r="H1167" s="8"/>
    </row>
    <row r="1168">
      <c r="A1168" s="18"/>
      <c r="B1168" s="14">
        <f>IFERROR(__xludf.DUMMYFUNCTION("""COMPUTED_VALUE"""),822320.0)</f>
        <v>822320</v>
      </c>
      <c r="C1168" s="14" t="str">
        <f>IFERROR(__xludf.DUMMYFUNCTION("""COMPUTED_VALUE"""),"王昱皓")</f>
        <v>王昱皓</v>
      </c>
      <c r="D1168" s="16" t="str">
        <f>IFERROR(__xludf.DUMMYFUNCTION("""COMPUTED_VALUE"""),"110*****ljh.tyc.edu.tw")</f>
        <v>110*****ljh.tyc.edu.tw</v>
      </c>
      <c r="E1168" s="17" t="str">
        <f>IFERROR(__xludf.DUMMYFUNCTION("""COMPUTED_VALUE"""),"桃園市立大崙國民中學")</f>
        <v>桃園市立大崙國民中學</v>
      </c>
      <c r="F1168" s="14" t="str">
        <f>IFERROR(__xludf.DUMMYFUNCTION("""COMPUTED_VALUE"""),"八年級")</f>
        <v>八年級</v>
      </c>
      <c r="G1168" s="14" t="str">
        <f>IFERROR(__xludf.DUMMYFUNCTION("""COMPUTED_VALUE"""),"●小禮物")</f>
        <v>●小禮物</v>
      </c>
      <c r="H1168" s="8"/>
    </row>
    <row r="1169">
      <c r="A1169" s="18"/>
      <c r="B1169" s="14">
        <f>IFERROR(__xludf.DUMMYFUNCTION("""COMPUTED_VALUE"""),822322.0)</f>
        <v>822322</v>
      </c>
      <c r="C1169" s="14" t="str">
        <f>IFERROR(__xludf.DUMMYFUNCTION("""COMPUTED_VALUE"""),"何沄軒")</f>
        <v>何沄軒</v>
      </c>
      <c r="D1169" s="16" t="str">
        <f>IFERROR(__xludf.DUMMYFUNCTION("""COMPUTED_VALUE"""),"110*****ljh.tyc.edu.tw")</f>
        <v>110*****ljh.tyc.edu.tw</v>
      </c>
      <c r="E1169" s="17" t="str">
        <f>IFERROR(__xludf.DUMMYFUNCTION("""COMPUTED_VALUE"""),"桃園市立大崙國民中學")</f>
        <v>桃園市立大崙國民中學</v>
      </c>
      <c r="F1169" s="14" t="str">
        <f>IFERROR(__xludf.DUMMYFUNCTION("""COMPUTED_VALUE"""),"八年級")</f>
        <v>八年級</v>
      </c>
      <c r="G1169" s="14" t="str">
        <f>IFERROR(__xludf.DUMMYFUNCTION("""COMPUTED_VALUE"""),"●小禮物")</f>
        <v>●小禮物</v>
      </c>
      <c r="H1169" s="8"/>
    </row>
    <row r="1170">
      <c r="A1170" s="18"/>
      <c r="B1170" s="14">
        <f>IFERROR(__xludf.DUMMYFUNCTION("""COMPUTED_VALUE"""),822336.0)</f>
        <v>822336</v>
      </c>
      <c r="C1170" s="14" t="str">
        <f>IFERROR(__xludf.DUMMYFUNCTION("""COMPUTED_VALUE"""),"吳詠晴")</f>
        <v>吳詠晴</v>
      </c>
      <c r="D1170" s="16" t="str">
        <f>IFERROR(__xludf.DUMMYFUNCTION("""COMPUTED_VALUE"""),"110*****ljh.tyc.edu.tw")</f>
        <v>110*****ljh.tyc.edu.tw</v>
      </c>
      <c r="E1170" s="17" t="str">
        <f>IFERROR(__xludf.DUMMYFUNCTION("""COMPUTED_VALUE"""),"桃園市立大崙國民中學")</f>
        <v>桃園市立大崙國民中學</v>
      </c>
      <c r="F1170" s="14" t="str">
        <f>IFERROR(__xludf.DUMMYFUNCTION("""COMPUTED_VALUE"""),"八年級")</f>
        <v>八年級</v>
      </c>
      <c r="G1170" s="14" t="str">
        <f>IFERROR(__xludf.DUMMYFUNCTION("""COMPUTED_VALUE"""),"●小禮物")</f>
        <v>●小禮物</v>
      </c>
      <c r="H1170" s="8"/>
    </row>
    <row r="1171">
      <c r="A1171" s="18"/>
      <c r="B1171" s="14">
        <f>IFERROR(__xludf.DUMMYFUNCTION("""COMPUTED_VALUE"""),822323.0)</f>
        <v>822323</v>
      </c>
      <c r="C1171" s="14" t="str">
        <f>IFERROR(__xludf.DUMMYFUNCTION("""COMPUTED_VALUE"""),"林全")</f>
        <v>林全</v>
      </c>
      <c r="D1171" s="16" t="str">
        <f>IFERROR(__xludf.DUMMYFUNCTION("""COMPUTED_VALUE"""),"110*****ljh.tyc.edu.tw")</f>
        <v>110*****ljh.tyc.edu.tw</v>
      </c>
      <c r="E1171" s="17" t="str">
        <f>IFERROR(__xludf.DUMMYFUNCTION("""COMPUTED_VALUE"""),"桃園市立大崙國民中學")</f>
        <v>桃園市立大崙國民中學</v>
      </c>
      <c r="F1171" s="14" t="str">
        <f>IFERROR(__xludf.DUMMYFUNCTION("""COMPUTED_VALUE"""),"八年級")</f>
        <v>八年級</v>
      </c>
      <c r="G1171" s="14" t="str">
        <f>IFERROR(__xludf.DUMMYFUNCTION("""COMPUTED_VALUE"""),"●小禮物")</f>
        <v>●小禮物</v>
      </c>
      <c r="H1171" s="8"/>
    </row>
    <row r="1172">
      <c r="A1172" s="18"/>
      <c r="B1172" s="14">
        <f>IFERROR(__xludf.DUMMYFUNCTION("""COMPUTED_VALUE"""),822338.0)</f>
        <v>822338</v>
      </c>
      <c r="C1172" s="14" t="str">
        <f>IFERROR(__xludf.DUMMYFUNCTION("""COMPUTED_VALUE"""),"林昀蓁")</f>
        <v>林昀蓁</v>
      </c>
      <c r="D1172" s="16" t="str">
        <f>IFERROR(__xludf.DUMMYFUNCTION("""COMPUTED_VALUE"""),"110*****ljh.tyc.edu.tw")</f>
        <v>110*****ljh.tyc.edu.tw</v>
      </c>
      <c r="E1172" s="17" t="str">
        <f>IFERROR(__xludf.DUMMYFUNCTION("""COMPUTED_VALUE"""),"桃園市立大崙國民中學")</f>
        <v>桃園市立大崙國民中學</v>
      </c>
      <c r="F1172" s="14" t="str">
        <f>IFERROR(__xludf.DUMMYFUNCTION("""COMPUTED_VALUE"""),"八年級")</f>
        <v>八年級</v>
      </c>
      <c r="G1172" s="14" t="str">
        <f>IFERROR(__xludf.DUMMYFUNCTION("""COMPUTED_VALUE"""),"●小禮物")</f>
        <v>●小禮物</v>
      </c>
      <c r="H1172" s="8"/>
    </row>
    <row r="1173">
      <c r="A1173" s="18"/>
      <c r="B1173" s="14">
        <f>IFERROR(__xludf.DUMMYFUNCTION("""COMPUTED_VALUE"""),822325.0)</f>
        <v>822325</v>
      </c>
      <c r="C1173" s="14" t="str">
        <f>IFERROR(__xludf.DUMMYFUNCTION("""COMPUTED_VALUE"""),"邱晨恩")</f>
        <v>邱晨恩</v>
      </c>
      <c r="D1173" s="16" t="str">
        <f>IFERROR(__xludf.DUMMYFUNCTION("""COMPUTED_VALUE"""),"110*****ljh.tyc.edu.tw")</f>
        <v>110*****ljh.tyc.edu.tw</v>
      </c>
      <c r="E1173" s="17" t="str">
        <f>IFERROR(__xludf.DUMMYFUNCTION("""COMPUTED_VALUE"""),"桃園市立大崙國民中學")</f>
        <v>桃園市立大崙國民中學</v>
      </c>
      <c r="F1173" s="14" t="str">
        <f>IFERROR(__xludf.DUMMYFUNCTION("""COMPUTED_VALUE"""),"八年級")</f>
        <v>八年級</v>
      </c>
      <c r="G1173" s="14" t="str">
        <f>IFERROR(__xludf.DUMMYFUNCTION("""COMPUTED_VALUE"""),"●小禮物")</f>
        <v>●小禮物</v>
      </c>
      <c r="H1173" s="8"/>
    </row>
    <row r="1174">
      <c r="A1174" s="18"/>
      <c r="B1174" s="14">
        <f>IFERROR(__xludf.DUMMYFUNCTION("""COMPUTED_VALUE"""),822326.0)</f>
        <v>822326</v>
      </c>
      <c r="C1174" s="14" t="str">
        <f>IFERROR(__xludf.DUMMYFUNCTION("""COMPUTED_VALUE"""),"胡薾元")</f>
        <v>胡薾元</v>
      </c>
      <c r="D1174" s="16" t="str">
        <f>IFERROR(__xludf.DUMMYFUNCTION("""COMPUTED_VALUE"""),"110*****ljh.tyc.edu.tw")</f>
        <v>110*****ljh.tyc.edu.tw</v>
      </c>
      <c r="E1174" s="17" t="str">
        <f>IFERROR(__xludf.DUMMYFUNCTION("""COMPUTED_VALUE"""),"桃園市立大崙國民中學")</f>
        <v>桃園市立大崙國民中學</v>
      </c>
      <c r="F1174" s="14" t="str">
        <f>IFERROR(__xludf.DUMMYFUNCTION("""COMPUTED_VALUE"""),"八年級")</f>
        <v>八年級</v>
      </c>
      <c r="G1174" s="14" t="str">
        <f>IFERROR(__xludf.DUMMYFUNCTION("""COMPUTED_VALUE"""),"●小禮物")</f>
        <v>●小禮物</v>
      </c>
      <c r="H1174" s="8"/>
    </row>
    <row r="1175">
      <c r="A1175" s="18"/>
      <c r="B1175" s="14">
        <f>IFERROR(__xludf.DUMMYFUNCTION("""COMPUTED_VALUE"""),822327.0)</f>
        <v>822327</v>
      </c>
      <c r="C1175" s="14" t="str">
        <f>IFERROR(__xludf.DUMMYFUNCTION("""COMPUTED_VALUE"""),"梁鈞祐")</f>
        <v>梁鈞祐</v>
      </c>
      <c r="D1175" s="16" t="str">
        <f>IFERROR(__xludf.DUMMYFUNCTION("""COMPUTED_VALUE"""),"110*****ljh.tyc.edu.tw")</f>
        <v>110*****ljh.tyc.edu.tw</v>
      </c>
      <c r="E1175" s="17" t="str">
        <f>IFERROR(__xludf.DUMMYFUNCTION("""COMPUTED_VALUE"""),"桃園市立大崙國民中學")</f>
        <v>桃園市立大崙國民中學</v>
      </c>
      <c r="F1175" s="14" t="str">
        <f>IFERROR(__xludf.DUMMYFUNCTION("""COMPUTED_VALUE"""),"八年級")</f>
        <v>八年級</v>
      </c>
      <c r="G1175" s="14" t="str">
        <f>IFERROR(__xludf.DUMMYFUNCTION("""COMPUTED_VALUE"""),"●小禮物")</f>
        <v>●小禮物</v>
      </c>
      <c r="H1175" s="8"/>
    </row>
    <row r="1176">
      <c r="A1176" s="18"/>
      <c r="B1176" s="14">
        <f>IFERROR(__xludf.DUMMYFUNCTION("""COMPUTED_VALUE"""),822328.0)</f>
        <v>822328</v>
      </c>
      <c r="C1176" s="14" t="str">
        <f>IFERROR(__xludf.DUMMYFUNCTION("""COMPUTED_VALUE"""),"許凱翔")</f>
        <v>許凱翔</v>
      </c>
      <c r="D1176" s="16" t="str">
        <f>IFERROR(__xludf.DUMMYFUNCTION("""COMPUTED_VALUE"""),"110*****ljh.tyc.edu.tw")</f>
        <v>110*****ljh.tyc.edu.tw</v>
      </c>
      <c r="E1176" s="17" t="str">
        <f>IFERROR(__xludf.DUMMYFUNCTION("""COMPUTED_VALUE"""),"桃園市立大崙國民中學")</f>
        <v>桃園市立大崙國民中學</v>
      </c>
      <c r="F1176" s="14" t="str">
        <f>IFERROR(__xludf.DUMMYFUNCTION("""COMPUTED_VALUE"""),"八年級")</f>
        <v>八年級</v>
      </c>
      <c r="G1176" s="14" t="str">
        <f>IFERROR(__xludf.DUMMYFUNCTION("""COMPUTED_VALUE"""),"●小禮物")</f>
        <v>●小禮物</v>
      </c>
      <c r="H1176" s="8"/>
    </row>
    <row r="1177">
      <c r="A1177" s="18"/>
      <c r="B1177" s="14">
        <f>IFERROR(__xludf.DUMMYFUNCTION("""COMPUTED_VALUE"""),822341.0)</f>
        <v>822341</v>
      </c>
      <c r="C1177" s="14" t="str">
        <f>IFERROR(__xludf.DUMMYFUNCTION("""COMPUTED_VALUE"""),"陳于庭")</f>
        <v>陳于庭</v>
      </c>
      <c r="D1177" s="16" t="str">
        <f>IFERROR(__xludf.DUMMYFUNCTION("""COMPUTED_VALUE"""),"110*****ljh.tyc.edu.tw")</f>
        <v>110*****ljh.tyc.edu.tw</v>
      </c>
      <c r="E1177" s="17" t="str">
        <f>IFERROR(__xludf.DUMMYFUNCTION("""COMPUTED_VALUE"""),"桃園市立大崙國民中學")</f>
        <v>桃園市立大崙國民中學</v>
      </c>
      <c r="F1177" s="14" t="str">
        <f>IFERROR(__xludf.DUMMYFUNCTION("""COMPUTED_VALUE"""),"八年級")</f>
        <v>八年級</v>
      </c>
      <c r="G1177" s="14" t="str">
        <f>IFERROR(__xludf.DUMMYFUNCTION("""COMPUTED_VALUE"""),"●小禮物")</f>
        <v>●小禮物</v>
      </c>
      <c r="H1177" s="8"/>
    </row>
    <row r="1178">
      <c r="A1178" s="18"/>
      <c r="B1178" s="14">
        <f>IFERROR(__xludf.DUMMYFUNCTION("""COMPUTED_VALUE"""),822329.0)</f>
        <v>822329</v>
      </c>
      <c r="C1178" s="14" t="str">
        <f>IFERROR(__xludf.DUMMYFUNCTION("""COMPUTED_VALUE"""),"黃玄安")</f>
        <v>黃玄安</v>
      </c>
      <c r="D1178" s="16" t="str">
        <f>IFERROR(__xludf.DUMMYFUNCTION("""COMPUTED_VALUE"""),"110*****ljh.tyc.edu.tw")</f>
        <v>110*****ljh.tyc.edu.tw</v>
      </c>
      <c r="E1178" s="17" t="str">
        <f>IFERROR(__xludf.DUMMYFUNCTION("""COMPUTED_VALUE"""),"桃園市立大崙國民中學")</f>
        <v>桃園市立大崙國民中學</v>
      </c>
      <c r="F1178" s="14" t="str">
        <f>IFERROR(__xludf.DUMMYFUNCTION("""COMPUTED_VALUE"""),"八年級")</f>
        <v>八年級</v>
      </c>
      <c r="G1178" s="14" t="str">
        <f>IFERROR(__xludf.DUMMYFUNCTION("""COMPUTED_VALUE"""),"●小禮物")</f>
        <v>●小禮物</v>
      </c>
      <c r="H1178" s="8"/>
    </row>
    <row r="1179">
      <c r="A1179" s="18"/>
      <c r="B1179" s="14">
        <f>IFERROR(__xludf.DUMMYFUNCTION("""COMPUTED_VALUE"""),822332.0)</f>
        <v>822332</v>
      </c>
      <c r="C1179" s="14" t="str">
        <f>IFERROR(__xludf.DUMMYFUNCTION("""COMPUTED_VALUE"""),"劉立揚")</f>
        <v>劉立揚</v>
      </c>
      <c r="D1179" s="16" t="str">
        <f>IFERROR(__xludf.DUMMYFUNCTION("""COMPUTED_VALUE"""),"110*****ljh.tyc.edu.tw")</f>
        <v>110*****ljh.tyc.edu.tw</v>
      </c>
      <c r="E1179" s="17" t="str">
        <f>IFERROR(__xludf.DUMMYFUNCTION("""COMPUTED_VALUE"""),"桃園市立大崙國民中學")</f>
        <v>桃園市立大崙國民中學</v>
      </c>
      <c r="F1179" s="14" t="str">
        <f>IFERROR(__xludf.DUMMYFUNCTION("""COMPUTED_VALUE"""),"八年級")</f>
        <v>八年級</v>
      </c>
      <c r="G1179" s="14" t="str">
        <f>IFERROR(__xludf.DUMMYFUNCTION("""COMPUTED_VALUE"""),"●小禮物")</f>
        <v>●小禮物</v>
      </c>
      <c r="H1179" s="8"/>
    </row>
    <row r="1180">
      <c r="A1180" s="18"/>
      <c r="B1180" s="14">
        <f>IFERROR(__xludf.DUMMYFUNCTION("""COMPUTED_VALUE"""),822334.0)</f>
        <v>822334</v>
      </c>
      <c r="C1180" s="14" t="str">
        <f>IFERROR(__xludf.DUMMYFUNCTION("""COMPUTED_VALUE"""),"賴常宇")</f>
        <v>賴常宇</v>
      </c>
      <c r="D1180" s="16" t="str">
        <f>IFERROR(__xludf.DUMMYFUNCTION("""COMPUTED_VALUE"""),"110*****ljh.tyc.edu.tw")</f>
        <v>110*****ljh.tyc.edu.tw</v>
      </c>
      <c r="E1180" s="17" t="str">
        <f>IFERROR(__xludf.DUMMYFUNCTION("""COMPUTED_VALUE"""),"桃園市立大崙國民中學")</f>
        <v>桃園市立大崙國民中學</v>
      </c>
      <c r="F1180" s="14" t="str">
        <f>IFERROR(__xludf.DUMMYFUNCTION("""COMPUTED_VALUE"""),"八年級")</f>
        <v>八年級</v>
      </c>
      <c r="G1180" s="14" t="str">
        <f>IFERROR(__xludf.DUMMYFUNCTION("""COMPUTED_VALUE"""),"●小禮物")</f>
        <v>●小禮物</v>
      </c>
      <c r="H1180" s="8"/>
    </row>
    <row r="1181">
      <c r="A1181" s="18"/>
      <c r="B1181" s="14">
        <f>IFERROR(__xludf.DUMMYFUNCTION("""COMPUTED_VALUE"""),822345.0)</f>
        <v>822345</v>
      </c>
      <c r="C1181" s="14" t="str">
        <f>IFERROR(__xludf.DUMMYFUNCTION("""COMPUTED_VALUE"""),"謝佳怡")</f>
        <v>謝佳怡</v>
      </c>
      <c r="D1181" s="16" t="str">
        <f>IFERROR(__xludf.DUMMYFUNCTION("""COMPUTED_VALUE"""),"110*****ljh.tyc.edu.tw")</f>
        <v>110*****ljh.tyc.edu.tw</v>
      </c>
      <c r="E1181" s="17" t="str">
        <f>IFERROR(__xludf.DUMMYFUNCTION("""COMPUTED_VALUE"""),"桃園市立大崙國民中學")</f>
        <v>桃園市立大崙國民中學</v>
      </c>
      <c r="F1181" s="14" t="str">
        <f>IFERROR(__xludf.DUMMYFUNCTION("""COMPUTED_VALUE"""),"八年級")</f>
        <v>八年級</v>
      </c>
      <c r="G1181" s="14" t="str">
        <f>IFERROR(__xludf.DUMMYFUNCTION("""COMPUTED_VALUE"""),"●小禮物")</f>
        <v>●小禮物</v>
      </c>
      <c r="H1181" s="8"/>
    </row>
    <row r="1182">
      <c r="A1182" s="18"/>
      <c r="B1182" s="14">
        <f>IFERROR(__xludf.DUMMYFUNCTION("""COMPUTED_VALUE"""),822337.0)</f>
        <v>822337</v>
      </c>
      <c r="C1182" s="14" t="str">
        <f>IFERROR(__xludf.DUMMYFUNCTION("""COMPUTED_VALUE"""),"林妙禎")</f>
        <v>林妙禎</v>
      </c>
      <c r="D1182" s="16" t="str">
        <f>IFERROR(__xludf.DUMMYFUNCTION("""COMPUTED_VALUE"""),"110*****ljh.tyc.edu.tw")</f>
        <v>110*****ljh.tyc.edu.tw</v>
      </c>
      <c r="E1182" s="17" t="str">
        <f>IFERROR(__xludf.DUMMYFUNCTION("""COMPUTED_VALUE"""),"桃園市立大崙國民中學")</f>
        <v>桃園市立大崙國民中學</v>
      </c>
      <c r="F1182" s="14" t="str">
        <f>IFERROR(__xludf.DUMMYFUNCTION("""COMPUTED_VALUE"""),"八年級")</f>
        <v>八年級</v>
      </c>
      <c r="G1182" s="14" t="str">
        <f>IFERROR(__xludf.DUMMYFUNCTION("""COMPUTED_VALUE"""),"★禮券$200")</f>
        <v>★禮券$200</v>
      </c>
      <c r="H1182" s="8"/>
    </row>
    <row r="1183">
      <c r="A1183" s="18"/>
      <c r="B1183" s="14">
        <f>IFERROR(__xludf.DUMMYFUNCTION("""COMPUTED_VALUE"""),822321.0)</f>
        <v>822321</v>
      </c>
      <c r="C1183" s="14" t="str">
        <f>IFERROR(__xludf.DUMMYFUNCTION("""COMPUTED_VALUE"""),"王慶安")</f>
        <v>王慶安</v>
      </c>
      <c r="D1183" s="16" t="str">
        <f>IFERROR(__xludf.DUMMYFUNCTION("""COMPUTED_VALUE"""),"110*****ljh.tyc.edu.tw")</f>
        <v>110*****ljh.tyc.edu.tw</v>
      </c>
      <c r="E1183" s="17" t="str">
        <f>IFERROR(__xludf.DUMMYFUNCTION("""COMPUTED_VALUE"""),"桃園市立大崙國民中學")</f>
        <v>桃園市立大崙國民中學</v>
      </c>
      <c r="F1183" s="14" t="str">
        <f>IFERROR(__xludf.DUMMYFUNCTION("""COMPUTED_VALUE"""),"八年級")</f>
        <v>八年級</v>
      </c>
      <c r="G1183" s="14" t="str">
        <f>IFERROR(__xludf.DUMMYFUNCTION("""COMPUTED_VALUE"""),"獎狀")</f>
        <v>獎狀</v>
      </c>
      <c r="H1183" s="8"/>
    </row>
    <row r="1184">
      <c r="A1184" s="18"/>
      <c r="B1184" s="14">
        <f>IFERROR(__xludf.DUMMYFUNCTION("""COMPUTED_VALUE"""),822324.0)</f>
        <v>822324</v>
      </c>
      <c r="C1184" s="14" t="str">
        <f>IFERROR(__xludf.DUMMYFUNCTION("""COMPUTED_VALUE"""),"林彥均")</f>
        <v>林彥均</v>
      </c>
      <c r="D1184" s="16" t="str">
        <f>IFERROR(__xludf.DUMMYFUNCTION("""COMPUTED_VALUE"""),"110*****ljh.tyc.edu.tw")</f>
        <v>110*****ljh.tyc.edu.tw</v>
      </c>
      <c r="E1184" s="17" t="str">
        <f>IFERROR(__xludf.DUMMYFUNCTION("""COMPUTED_VALUE"""),"桃園市立大崙國民中學")</f>
        <v>桃園市立大崙國民中學</v>
      </c>
      <c r="F1184" s="14" t="str">
        <f>IFERROR(__xludf.DUMMYFUNCTION("""COMPUTED_VALUE"""),"八年級")</f>
        <v>八年級</v>
      </c>
      <c r="G1184" s="14" t="str">
        <f>IFERROR(__xludf.DUMMYFUNCTION("""COMPUTED_VALUE"""),"獎狀")</f>
        <v>獎狀</v>
      </c>
      <c r="H1184" s="8"/>
    </row>
    <row r="1185">
      <c r="A1185" s="18"/>
      <c r="B1185" s="14">
        <f>IFERROR(__xludf.DUMMYFUNCTION("""COMPUTED_VALUE"""),822339.0)</f>
        <v>822339</v>
      </c>
      <c r="C1185" s="14" t="str">
        <f>IFERROR(__xludf.DUMMYFUNCTION("""COMPUTED_VALUE"""),"梁芸甄")</f>
        <v>梁芸甄</v>
      </c>
      <c r="D1185" s="16" t="str">
        <f>IFERROR(__xludf.DUMMYFUNCTION("""COMPUTED_VALUE"""),"110*****ljh.tyc.edu.tw")</f>
        <v>110*****ljh.tyc.edu.tw</v>
      </c>
      <c r="E1185" s="17" t="str">
        <f>IFERROR(__xludf.DUMMYFUNCTION("""COMPUTED_VALUE"""),"桃園市立大崙國民中學")</f>
        <v>桃園市立大崙國民中學</v>
      </c>
      <c r="F1185" s="14" t="str">
        <f>IFERROR(__xludf.DUMMYFUNCTION("""COMPUTED_VALUE"""),"八年級")</f>
        <v>八年級</v>
      </c>
      <c r="G1185" s="14" t="str">
        <f>IFERROR(__xludf.DUMMYFUNCTION("""COMPUTED_VALUE"""),"獎狀")</f>
        <v>獎狀</v>
      </c>
      <c r="H1185" s="8"/>
    </row>
    <row r="1186">
      <c r="A1186" s="18"/>
      <c r="B1186" s="14">
        <f>IFERROR(__xludf.DUMMYFUNCTION("""COMPUTED_VALUE"""),822340.0)</f>
        <v>822340</v>
      </c>
      <c r="C1186" s="14" t="str">
        <f>IFERROR(__xludf.DUMMYFUNCTION("""COMPUTED_VALUE"""),"郭彩玲")</f>
        <v>郭彩玲</v>
      </c>
      <c r="D1186" s="16" t="str">
        <f>IFERROR(__xludf.DUMMYFUNCTION("""COMPUTED_VALUE"""),"110*****ljh.tyc.edu.tw")</f>
        <v>110*****ljh.tyc.edu.tw</v>
      </c>
      <c r="E1186" s="17" t="str">
        <f>IFERROR(__xludf.DUMMYFUNCTION("""COMPUTED_VALUE"""),"桃園市立大崙國民中學")</f>
        <v>桃園市立大崙國民中學</v>
      </c>
      <c r="F1186" s="14" t="str">
        <f>IFERROR(__xludf.DUMMYFUNCTION("""COMPUTED_VALUE"""),"八年級")</f>
        <v>八年級</v>
      </c>
      <c r="G1186" s="14" t="str">
        <f>IFERROR(__xludf.DUMMYFUNCTION("""COMPUTED_VALUE"""),"獎狀")</f>
        <v>獎狀</v>
      </c>
      <c r="H1186" s="8"/>
    </row>
    <row r="1187">
      <c r="A1187" s="18"/>
      <c r="B1187" s="14">
        <f>IFERROR(__xludf.DUMMYFUNCTION("""COMPUTED_VALUE"""),822330.0)</f>
        <v>822330</v>
      </c>
      <c r="C1187" s="14" t="str">
        <f>IFERROR(__xludf.DUMMYFUNCTION("""COMPUTED_VALUE"""),"黃毅軒")</f>
        <v>黃毅軒</v>
      </c>
      <c r="D1187" s="16" t="str">
        <f>IFERROR(__xludf.DUMMYFUNCTION("""COMPUTED_VALUE"""),"110*****ljh.tyc.edu.tw")</f>
        <v>110*****ljh.tyc.edu.tw</v>
      </c>
      <c r="E1187" s="17" t="str">
        <f>IFERROR(__xludf.DUMMYFUNCTION("""COMPUTED_VALUE"""),"桃園市立大崙國民中學")</f>
        <v>桃園市立大崙國民中學</v>
      </c>
      <c r="F1187" s="14" t="str">
        <f>IFERROR(__xludf.DUMMYFUNCTION("""COMPUTED_VALUE"""),"八年級")</f>
        <v>八年級</v>
      </c>
      <c r="G1187" s="14" t="str">
        <f>IFERROR(__xludf.DUMMYFUNCTION("""COMPUTED_VALUE"""),"獎狀")</f>
        <v>獎狀</v>
      </c>
      <c r="H1187" s="8"/>
    </row>
    <row r="1188">
      <c r="A1188" s="18"/>
      <c r="B1188" s="14">
        <f>IFERROR(__xludf.DUMMYFUNCTION("""COMPUTED_VALUE"""),822342.0)</f>
        <v>822342</v>
      </c>
      <c r="C1188" s="14" t="str">
        <f>IFERROR(__xludf.DUMMYFUNCTION("""COMPUTED_VALUE"""),"董芃萱")</f>
        <v>董芃萱</v>
      </c>
      <c r="D1188" s="16" t="str">
        <f>IFERROR(__xludf.DUMMYFUNCTION("""COMPUTED_VALUE"""),"110*****ljh.tyc.edu.tw")</f>
        <v>110*****ljh.tyc.edu.tw</v>
      </c>
      <c r="E1188" s="17" t="str">
        <f>IFERROR(__xludf.DUMMYFUNCTION("""COMPUTED_VALUE"""),"桃園市立大崙國民中學")</f>
        <v>桃園市立大崙國民中學</v>
      </c>
      <c r="F1188" s="14" t="str">
        <f>IFERROR(__xludf.DUMMYFUNCTION("""COMPUTED_VALUE"""),"八年級")</f>
        <v>八年級</v>
      </c>
      <c r="G1188" s="14" t="str">
        <f>IFERROR(__xludf.DUMMYFUNCTION("""COMPUTED_VALUE"""),"獎狀")</f>
        <v>獎狀</v>
      </c>
      <c r="H1188" s="8"/>
    </row>
    <row r="1189">
      <c r="A1189" s="18"/>
      <c r="B1189" s="14">
        <f>IFERROR(__xludf.DUMMYFUNCTION("""COMPUTED_VALUE"""),822333.0)</f>
        <v>822333</v>
      </c>
      <c r="C1189" s="14" t="str">
        <f>IFERROR(__xludf.DUMMYFUNCTION("""COMPUTED_VALUE"""),"劉宇恆")</f>
        <v>劉宇恆</v>
      </c>
      <c r="D1189" s="16" t="str">
        <f>IFERROR(__xludf.DUMMYFUNCTION("""COMPUTED_VALUE"""),"110*****ljh.tyc.edu.tw")</f>
        <v>110*****ljh.tyc.edu.tw</v>
      </c>
      <c r="E1189" s="17" t="str">
        <f>IFERROR(__xludf.DUMMYFUNCTION("""COMPUTED_VALUE"""),"桃園市立大崙國民中學")</f>
        <v>桃園市立大崙國民中學</v>
      </c>
      <c r="F1189" s="14" t="str">
        <f>IFERROR(__xludf.DUMMYFUNCTION("""COMPUTED_VALUE"""),"八年級")</f>
        <v>八年級</v>
      </c>
      <c r="G1189" s="14" t="str">
        <f>IFERROR(__xludf.DUMMYFUNCTION("""COMPUTED_VALUE"""),"獎狀")</f>
        <v>獎狀</v>
      </c>
      <c r="H1189" s="8"/>
    </row>
    <row r="1190">
      <c r="A1190" s="18"/>
      <c r="B1190" s="14">
        <f>IFERROR(__xludf.DUMMYFUNCTION("""COMPUTED_VALUE"""),822344.0)</f>
        <v>822344</v>
      </c>
      <c r="C1190" s="14" t="str">
        <f>IFERROR(__xludf.DUMMYFUNCTION("""COMPUTED_VALUE"""),"劉羽芯")</f>
        <v>劉羽芯</v>
      </c>
      <c r="D1190" s="16" t="str">
        <f>IFERROR(__xludf.DUMMYFUNCTION("""COMPUTED_VALUE"""),"110*****ljh.tyc.edu.tw")</f>
        <v>110*****ljh.tyc.edu.tw</v>
      </c>
      <c r="E1190" s="17" t="str">
        <f>IFERROR(__xludf.DUMMYFUNCTION("""COMPUTED_VALUE"""),"桃園市立大崙國民中學")</f>
        <v>桃園市立大崙國民中學</v>
      </c>
      <c r="F1190" s="14" t="str">
        <f>IFERROR(__xludf.DUMMYFUNCTION("""COMPUTED_VALUE"""),"八年級")</f>
        <v>八年級</v>
      </c>
      <c r="G1190" s="14" t="str">
        <f>IFERROR(__xludf.DUMMYFUNCTION("""COMPUTED_VALUE"""),"獎狀")</f>
        <v>獎狀</v>
      </c>
      <c r="H1190" s="8"/>
    </row>
    <row r="1191">
      <c r="A1191" s="18"/>
      <c r="B1191" s="14">
        <f>IFERROR(__xludf.DUMMYFUNCTION("""COMPUTED_VALUE"""),822335.0)</f>
        <v>822335</v>
      </c>
      <c r="C1191" s="14" t="str">
        <f>IFERROR(__xludf.DUMMYFUNCTION("""COMPUTED_VALUE"""),"謝皓宇")</f>
        <v>謝皓宇</v>
      </c>
      <c r="D1191" s="16" t="str">
        <f>IFERROR(__xludf.DUMMYFUNCTION("""COMPUTED_VALUE"""),"110*****ljh.tyc.edu.tw")</f>
        <v>110*****ljh.tyc.edu.tw</v>
      </c>
      <c r="E1191" s="17" t="str">
        <f>IFERROR(__xludf.DUMMYFUNCTION("""COMPUTED_VALUE"""),"桃園市立大崙國民中學")</f>
        <v>桃園市立大崙國民中學</v>
      </c>
      <c r="F1191" s="14" t="str">
        <f>IFERROR(__xludf.DUMMYFUNCTION("""COMPUTED_VALUE"""),"八年級")</f>
        <v>八年級</v>
      </c>
      <c r="G1191" s="14" t="str">
        <f>IFERROR(__xludf.DUMMYFUNCTION("""COMPUTED_VALUE"""),"獎狀")</f>
        <v>獎狀</v>
      </c>
      <c r="H1191" s="8"/>
    </row>
    <row r="1192">
      <c r="A1192" s="18"/>
      <c r="B1192" s="14">
        <f>IFERROR(__xludf.DUMMYFUNCTION("""COMPUTED_VALUE"""),822346.0)</f>
        <v>822346</v>
      </c>
      <c r="C1192" s="14" t="str">
        <f>IFERROR(__xludf.DUMMYFUNCTION("""COMPUTED_VALUE"""),"魏明正")</f>
        <v>魏明正</v>
      </c>
      <c r="D1192" s="16" t="str">
        <f>IFERROR(__xludf.DUMMYFUNCTION("""COMPUTED_VALUE"""),"110*****ljh.tyc.edu.tw")</f>
        <v>110*****ljh.tyc.edu.tw</v>
      </c>
      <c r="E1192" s="17" t="str">
        <f>IFERROR(__xludf.DUMMYFUNCTION("""COMPUTED_VALUE"""),"桃園市立大崙國民中學")</f>
        <v>桃園市立大崙國民中學</v>
      </c>
      <c r="F1192" s="14" t="str">
        <f>IFERROR(__xludf.DUMMYFUNCTION("""COMPUTED_VALUE"""),"八年級")</f>
        <v>八年級</v>
      </c>
      <c r="G1192" s="14" t="str">
        <f>IFERROR(__xludf.DUMMYFUNCTION("""COMPUTED_VALUE"""),"獎狀")</f>
        <v>獎狀</v>
      </c>
      <c r="H1192" s="8"/>
    </row>
    <row r="1193">
      <c r="A1193" s="18"/>
      <c r="B1193" s="14">
        <f>IFERROR(__xludf.DUMMYFUNCTION("""COMPUTED_VALUE"""),720633.0)</f>
        <v>720633</v>
      </c>
      <c r="C1193" s="14" t="str">
        <f>IFERROR(__xludf.DUMMYFUNCTION("""COMPUTED_VALUE"""),"許庭嘉")</f>
        <v>許庭嘉</v>
      </c>
      <c r="D1193" s="16" t="str">
        <f>IFERROR(__xludf.DUMMYFUNCTION("""COMPUTED_VALUE"""),"109*****ljh.tyc.edu.tw")</f>
        <v>109*****ljh.tyc.edu.tw</v>
      </c>
      <c r="E1193" s="17" t="str">
        <f>IFERROR(__xludf.DUMMYFUNCTION("""COMPUTED_VALUE"""),"桃園市立大崙國民中學")</f>
        <v>桃園市立大崙國民中學</v>
      </c>
      <c r="F1193" s="14" t="str">
        <f>IFERROR(__xludf.DUMMYFUNCTION("""COMPUTED_VALUE"""),"九年級")</f>
        <v>九年級</v>
      </c>
      <c r="G1193" s="14" t="str">
        <f>IFERROR(__xludf.DUMMYFUNCTION("""COMPUTED_VALUE"""),"獎狀")</f>
        <v>獎狀</v>
      </c>
      <c r="H1193" s="8"/>
    </row>
    <row r="1194">
      <c r="A1194" s="18"/>
      <c r="B1194" s="14">
        <f>IFERROR(__xludf.DUMMYFUNCTION("""COMPUTED_VALUE"""),720543.0)</f>
        <v>720543</v>
      </c>
      <c r="C1194" s="14" t="str">
        <f>IFERROR(__xludf.DUMMYFUNCTION("""COMPUTED_VALUE"""),"陳泓碩")</f>
        <v>陳泓碩</v>
      </c>
      <c r="D1194" s="16" t="str">
        <f>IFERROR(__xludf.DUMMYFUNCTION("""COMPUTED_VALUE"""),"109*****ljh.tyc.edu.tw")</f>
        <v>109*****ljh.tyc.edu.tw</v>
      </c>
      <c r="E1194" s="17" t="str">
        <f>IFERROR(__xludf.DUMMYFUNCTION("""COMPUTED_VALUE"""),"桃園市立大崙國民中學")</f>
        <v>桃園市立大崙國民中學</v>
      </c>
      <c r="F1194" s="14" t="str">
        <f>IFERROR(__xludf.DUMMYFUNCTION("""COMPUTED_VALUE"""),"九年級")</f>
        <v>九年級</v>
      </c>
      <c r="G1194" s="14" t="str">
        <f>IFERROR(__xludf.DUMMYFUNCTION("""COMPUTED_VALUE"""),"●小禮物")</f>
        <v>●小禮物</v>
      </c>
      <c r="H1194" s="8"/>
    </row>
    <row r="1195">
      <c r="A1195" s="18"/>
      <c r="B1195" s="14">
        <f>IFERROR(__xludf.DUMMYFUNCTION("""COMPUTED_VALUE"""),720546.0)</f>
        <v>720546</v>
      </c>
      <c r="C1195" s="14" t="str">
        <f>IFERROR(__xludf.DUMMYFUNCTION("""COMPUTED_VALUE"""),"楊俊崴")</f>
        <v>楊俊崴</v>
      </c>
      <c r="D1195" s="16" t="str">
        <f>IFERROR(__xludf.DUMMYFUNCTION("""COMPUTED_VALUE"""),"109*****w@dljh.tyc.edu.tw")</f>
        <v>109*****w@dljh.tyc.edu.tw</v>
      </c>
      <c r="E1195" s="17" t="str">
        <f>IFERROR(__xludf.DUMMYFUNCTION("""COMPUTED_VALUE"""),"桃園市立大崙國民中學")</f>
        <v>桃園市立大崙國民中學</v>
      </c>
      <c r="F1195" s="14" t="str">
        <f>IFERROR(__xludf.DUMMYFUNCTION("""COMPUTED_VALUE"""),"九年級")</f>
        <v>九年級</v>
      </c>
      <c r="G1195" s="14" t="str">
        <f>IFERROR(__xludf.DUMMYFUNCTION("""COMPUTED_VALUE"""),"獎狀")</f>
        <v>獎狀</v>
      </c>
      <c r="H1195" s="8"/>
    </row>
    <row r="1196">
      <c r="A1196" s="18"/>
      <c r="B1196" s="14">
        <f>IFERROR(__xludf.DUMMYFUNCTION("""COMPUTED_VALUE"""),720639.0)</f>
        <v>720639</v>
      </c>
      <c r="C1196" s="14" t="str">
        <f>IFERROR(__xludf.DUMMYFUNCTION("""COMPUTED_VALUE"""),"張宸碩")</f>
        <v>張宸碩</v>
      </c>
      <c r="D1196" s="16" t="str">
        <f>IFERROR(__xludf.DUMMYFUNCTION("""COMPUTED_VALUE"""),"109*****ljh.tyc.edu.tw")</f>
        <v>109*****ljh.tyc.edu.tw</v>
      </c>
      <c r="E1196" s="17" t="str">
        <f>IFERROR(__xludf.DUMMYFUNCTION("""COMPUTED_VALUE"""),"桃園市立大崙國民中學")</f>
        <v>桃園市立大崙國民中學</v>
      </c>
      <c r="F1196" s="14" t="str">
        <f>IFERROR(__xludf.DUMMYFUNCTION("""COMPUTED_VALUE"""),"九年級")</f>
        <v>九年級</v>
      </c>
      <c r="G1196" s="14" t="str">
        <f>IFERROR(__xludf.DUMMYFUNCTION("""COMPUTED_VALUE"""),"獎狀")</f>
        <v>獎狀</v>
      </c>
      <c r="H1196" s="8"/>
    </row>
    <row r="1197">
      <c r="A1197" s="18"/>
      <c r="B1197" s="14">
        <f>IFERROR(__xludf.DUMMYFUNCTION("""COMPUTED_VALUE"""),720509.0)</f>
        <v>720509</v>
      </c>
      <c r="C1197" s="14" t="str">
        <f>IFERROR(__xludf.DUMMYFUNCTION("""COMPUTED_VALUE"""),"王兆熙")</f>
        <v>王兆熙</v>
      </c>
      <c r="D1197" s="16" t="str">
        <f>IFERROR(__xludf.DUMMYFUNCTION("""COMPUTED_VALUE"""),"109*****ljh.tyc.edu.tw")</f>
        <v>109*****ljh.tyc.edu.tw</v>
      </c>
      <c r="E1197" s="17" t="str">
        <f>IFERROR(__xludf.DUMMYFUNCTION("""COMPUTED_VALUE"""),"桃園市立大崙國民中學")</f>
        <v>桃園市立大崙國民中學</v>
      </c>
      <c r="F1197" s="14" t="str">
        <f>IFERROR(__xludf.DUMMYFUNCTION("""COMPUTED_VALUE"""),"九年級")</f>
        <v>九年級</v>
      </c>
      <c r="G1197" s="14" t="str">
        <f>IFERROR(__xludf.DUMMYFUNCTION("""COMPUTED_VALUE"""),"●小禮物")</f>
        <v>●小禮物</v>
      </c>
      <c r="H1197" s="8"/>
    </row>
    <row r="1198">
      <c r="A1198" s="18"/>
      <c r="B1198" s="14">
        <f>IFERROR(__xludf.DUMMYFUNCTION("""COMPUTED_VALUE"""),720526.0)</f>
        <v>720526</v>
      </c>
      <c r="C1198" s="14" t="str">
        <f>IFERROR(__xludf.DUMMYFUNCTION("""COMPUTED_VALUE"""),"呂恩雨")</f>
        <v>呂恩雨</v>
      </c>
      <c r="D1198" s="16" t="str">
        <f>IFERROR(__xludf.DUMMYFUNCTION("""COMPUTED_VALUE"""),"109*****ljh.tyc.edu.tw")</f>
        <v>109*****ljh.tyc.edu.tw</v>
      </c>
      <c r="E1198" s="17" t="str">
        <f>IFERROR(__xludf.DUMMYFUNCTION("""COMPUTED_VALUE"""),"桃園市立大崙國民中學")</f>
        <v>桃園市立大崙國民中學</v>
      </c>
      <c r="F1198" s="14" t="str">
        <f>IFERROR(__xludf.DUMMYFUNCTION("""COMPUTED_VALUE"""),"九年級")</f>
        <v>九年級</v>
      </c>
      <c r="G1198" s="14" t="str">
        <f>IFERROR(__xludf.DUMMYFUNCTION("""COMPUTED_VALUE"""),"●小禮物")</f>
        <v>●小禮物</v>
      </c>
      <c r="H1198" s="8"/>
    </row>
    <row r="1199">
      <c r="A1199" s="18"/>
      <c r="B1199" s="14">
        <f>IFERROR(__xludf.DUMMYFUNCTION("""COMPUTED_VALUE"""),720514.0)</f>
        <v>720514</v>
      </c>
      <c r="C1199" s="14" t="str">
        <f>IFERROR(__xludf.DUMMYFUNCTION("""COMPUTED_VALUE"""),"林彥霆")</f>
        <v>林彥霆</v>
      </c>
      <c r="D1199" s="16" t="str">
        <f>IFERROR(__xludf.DUMMYFUNCTION("""COMPUTED_VALUE"""),"109*****ljh.tyc.edu.tw")</f>
        <v>109*****ljh.tyc.edu.tw</v>
      </c>
      <c r="E1199" s="17" t="str">
        <f>IFERROR(__xludf.DUMMYFUNCTION("""COMPUTED_VALUE"""),"桃園市立大崙國民中學")</f>
        <v>桃園市立大崙國民中學</v>
      </c>
      <c r="F1199" s="14" t="str">
        <f>IFERROR(__xludf.DUMMYFUNCTION("""COMPUTED_VALUE"""),"九年級")</f>
        <v>九年級</v>
      </c>
      <c r="G1199" s="14" t="str">
        <f>IFERROR(__xludf.DUMMYFUNCTION("""COMPUTED_VALUE"""),"●小禮物")</f>
        <v>●小禮物</v>
      </c>
      <c r="H1199" s="8"/>
    </row>
    <row r="1200">
      <c r="A1200" s="18"/>
      <c r="B1200" s="14">
        <f>IFERROR(__xludf.DUMMYFUNCTION("""COMPUTED_VALUE"""),720515.0)</f>
        <v>720515</v>
      </c>
      <c r="C1200" s="14" t="str">
        <f>IFERROR(__xludf.DUMMYFUNCTION("""COMPUTED_VALUE"""),"邱博謙")</f>
        <v>邱博謙</v>
      </c>
      <c r="D1200" s="16" t="str">
        <f>IFERROR(__xludf.DUMMYFUNCTION("""COMPUTED_VALUE"""),"109*****ljh.tyc.edu.tw")</f>
        <v>109*****ljh.tyc.edu.tw</v>
      </c>
      <c r="E1200" s="17" t="str">
        <f>IFERROR(__xludf.DUMMYFUNCTION("""COMPUTED_VALUE"""),"桃園市立大崙國民中學")</f>
        <v>桃園市立大崙國民中學</v>
      </c>
      <c r="F1200" s="14" t="str">
        <f>IFERROR(__xludf.DUMMYFUNCTION("""COMPUTED_VALUE"""),"九年級")</f>
        <v>九年級</v>
      </c>
      <c r="G1200" s="14" t="str">
        <f>IFERROR(__xludf.DUMMYFUNCTION("""COMPUTED_VALUE"""),"●小禮物")</f>
        <v>●小禮物</v>
      </c>
      <c r="H1200" s="8"/>
    </row>
    <row r="1201">
      <c r="A1201" s="18"/>
      <c r="B1201" s="14">
        <f>IFERROR(__xludf.DUMMYFUNCTION("""COMPUTED_VALUE"""),720517.0)</f>
        <v>720517</v>
      </c>
      <c r="C1201" s="14" t="str">
        <f>IFERROR(__xludf.DUMMYFUNCTION("""COMPUTED_VALUE"""),"洪俊煒")</f>
        <v>洪俊煒</v>
      </c>
      <c r="D1201" s="16" t="str">
        <f>IFERROR(__xludf.DUMMYFUNCTION("""COMPUTED_VALUE"""),"109*****ljh.tyc.edu.tw")</f>
        <v>109*****ljh.tyc.edu.tw</v>
      </c>
      <c r="E1201" s="17" t="str">
        <f>IFERROR(__xludf.DUMMYFUNCTION("""COMPUTED_VALUE"""),"桃園市立大崙國民中學")</f>
        <v>桃園市立大崙國民中學</v>
      </c>
      <c r="F1201" s="14" t="str">
        <f>IFERROR(__xludf.DUMMYFUNCTION("""COMPUTED_VALUE"""),"九年級")</f>
        <v>九年級</v>
      </c>
      <c r="G1201" s="14" t="str">
        <f>IFERROR(__xludf.DUMMYFUNCTION("""COMPUTED_VALUE"""),"●小禮物")</f>
        <v>●小禮物</v>
      </c>
      <c r="H1201" s="8"/>
    </row>
    <row r="1202">
      <c r="A1202" s="18"/>
      <c r="B1202" s="14">
        <f>IFERROR(__xludf.DUMMYFUNCTION("""COMPUTED_VALUE"""),720528.0)</f>
        <v>720528</v>
      </c>
      <c r="C1202" s="14" t="str">
        <f>IFERROR(__xludf.DUMMYFUNCTION("""COMPUTED_VALUE"""),"張晏慈")</f>
        <v>張晏慈</v>
      </c>
      <c r="D1202" s="16" t="str">
        <f>IFERROR(__xludf.DUMMYFUNCTION("""COMPUTED_VALUE"""),"109*****ljh.tyc.edu.tw")</f>
        <v>109*****ljh.tyc.edu.tw</v>
      </c>
      <c r="E1202" s="17" t="str">
        <f>IFERROR(__xludf.DUMMYFUNCTION("""COMPUTED_VALUE"""),"桃園市立大崙國民中學")</f>
        <v>桃園市立大崙國民中學</v>
      </c>
      <c r="F1202" s="14" t="str">
        <f>IFERROR(__xludf.DUMMYFUNCTION("""COMPUTED_VALUE"""),"九年級")</f>
        <v>九年級</v>
      </c>
      <c r="G1202" s="14" t="str">
        <f>IFERROR(__xludf.DUMMYFUNCTION("""COMPUTED_VALUE"""),"●小禮物")</f>
        <v>●小禮物</v>
      </c>
      <c r="H1202" s="8"/>
    </row>
    <row r="1203">
      <c r="A1203" s="18"/>
      <c r="B1203" s="14">
        <f>IFERROR(__xludf.DUMMYFUNCTION("""COMPUTED_VALUE"""),720519.0)</f>
        <v>720519</v>
      </c>
      <c r="C1203" s="14" t="str">
        <f>IFERROR(__xludf.DUMMYFUNCTION("""COMPUTED_VALUE"""),"陳星諺")</f>
        <v>陳星諺</v>
      </c>
      <c r="D1203" s="16" t="str">
        <f>IFERROR(__xludf.DUMMYFUNCTION("""COMPUTED_VALUE"""),"109*****ljh.tyc.edu.tw")</f>
        <v>109*****ljh.tyc.edu.tw</v>
      </c>
      <c r="E1203" s="17" t="str">
        <f>IFERROR(__xludf.DUMMYFUNCTION("""COMPUTED_VALUE"""),"桃園市立大崙國民中學")</f>
        <v>桃園市立大崙國民中學</v>
      </c>
      <c r="F1203" s="14" t="str">
        <f>IFERROR(__xludf.DUMMYFUNCTION("""COMPUTED_VALUE"""),"九年級")</f>
        <v>九年級</v>
      </c>
      <c r="G1203" s="14" t="str">
        <f>IFERROR(__xludf.DUMMYFUNCTION("""COMPUTED_VALUE"""),"●小禮物")</f>
        <v>●小禮物</v>
      </c>
      <c r="H1203" s="8"/>
    </row>
    <row r="1204">
      <c r="A1204" s="18"/>
      <c r="B1204" s="14">
        <f>IFERROR(__xludf.DUMMYFUNCTION("""COMPUTED_VALUE"""),1177872.0)</f>
        <v>1177872</v>
      </c>
      <c r="C1204" s="14" t="str">
        <f>IFERROR(__xludf.DUMMYFUNCTION("""COMPUTED_VALUE"""),"陳晨翌")</f>
        <v>陳晨翌</v>
      </c>
      <c r="D1204" s="16" t="str">
        <f>IFERROR(__xludf.DUMMYFUNCTION("""COMPUTED_VALUE"""),"109*****ljh.tyc.edu.tw")</f>
        <v>109*****ljh.tyc.edu.tw</v>
      </c>
      <c r="E1204" s="17" t="str">
        <f>IFERROR(__xludf.DUMMYFUNCTION("""COMPUTED_VALUE"""),"桃園市立大崙國民中學")</f>
        <v>桃園市立大崙國民中學</v>
      </c>
      <c r="F1204" s="14" t="str">
        <f>IFERROR(__xludf.DUMMYFUNCTION("""COMPUTED_VALUE"""),"九年級")</f>
        <v>九年級</v>
      </c>
      <c r="G1204" s="14" t="str">
        <f>IFERROR(__xludf.DUMMYFUNCTION("""COMPUTED_VALUE"""),"●小禮物")</f>
        <v>●小禮物</v>
      </c>
      <c r="H1204" s="8"/>
    </row>
    <row r="1205">
      <c r="A1205" s="18"/>
      <c r="B1205" s="14">
        <f>IFERROR(__xludf.DUMMYFUNCTION("""COMPUTED_VALUE"""),720520.0)</f>
        <v>720520</v>
      </c>
      <c r="C1205" s="14" t="str">
        <f>IFERROR(__xludf.DUMMYFUNCTION("""COMPUTED_VALUE"""),"陳勝揚")</f>
        <v>陳勝揚</v>
      </c>
      <c r="D1205" s="16" t="str">
        <f>IFERROR(__xludf.DUMMYFUNCTION("""COMPUTED_VALUE"""),"109*****ljh.tyc.edu.tw")</f>
        <v>109*****ljh.tyc.edu.tw</v>
      </c>
      <c r="E1205" s="17" t="str">
        <f>IFERROR(__xludf.DUMMYFUNCTION("""COMPUTED_VALUE"""),"桃園市立大崙國民中學")</f>
        <v>桃園市立大崙國民中學</v>
      </c>
      <c r="F1205" s="14" t="str">
        <f>IFERROR(__xludf.DUMMYFUNCTION("""COMPUTED_VALUE"""),"九年級")</f>
        <v>九年級</v>
      </c>
      <c r="G1205" s="14" t="str">
        <f>IFERROR(__xludf.DUMMYFUNCTION("""COMPUTED_VALUE"""),"●小禮物")</f>
        <v>●小禮物</v>
      </c>
      <c r="H1205" s="8"/>
    </row>
    <row r="1206">
      <c r="A1206" s="18"/>
      <c r="B1206" s="14">
        <f>IFERROR(__xludf.DUMMYFUNCTION("""COMPUTED_VALUE"""),720529.0)</f>
        <v>720529</v>
      </c>
      <c r="C1206" s="14" t="str">
        <f>IFERROR(__xludf.DUMMYFUNCTION("""COMPUTED_VALUE"""),"曾慶玫")</f>
        <v>曾慶玫</v>
      </c>
      <c r="D1206" s="16" t="str">
        <f>IFERROR(__xludf.DUMMYFUNCTION("""COMPUTED_VALUE"""),"109*****ljh.tyc.edu.tw")</f>
        <v>109*****ljh.tyc.edu.tw</v>
      </c>
      <c r="E1206" s="17" t="str">
        <f>IFERROR(__xludf.DUMMYFUNCTION("""COMPUTED_VALUE"""),"桃園市立大崙國民中學")</f>
        <v>桃園市立大崙國民中學</v>
      </c>
      <c r="F1206" s="14" t="str">
        <f>IFERROR(__xludf.DUMMYFUNCTION("""COMPUTED_VALUE"""),"九年級")</f>
        <v>九年級</v>
      </c>
      <c r="G1206" s="14" t="str">
        <f>IFERROR(__xludf.DUMMYFUNCTION("""COMPUTED_VALUE"""),"●小禮物")</f>
        <v>●小禮物</v>
      </c>
      <c r="H1206" s="8"/>
    </row>
    <row r="1207">
      <c r="A1207" s="18"/>
      <c r="B1207" s="14">
        <f>IFERROR(__xludf.DUMMYFUNCTION("""COMPUTED_VALUE"""),720530.0)</f>
        <v>720530</v>
      </c>
      <c r="C1207" s="14" t="str">
        <f>IFERROR(__xludf.DUMMYFUNCTION("""COMPUTED_VALUE"""),"黃雅琳")</f>
        <v>黃雅琳</v>
      </c>
      <c r="D1207" s="16" t="str">
        <f>IFERROR(__xludf.DUMMYFUNCTION("""COMPUTED_VALUE"""),"109*****ljh.tyc.edu.tw")</f>
        <v>109*****ljh.tyc.edu.tw</v>
      </c>
      <c r="E1207" s="17" t="str">
        <f>IFERROR(__xludf.DUMMYFUNCTION("""COMPUTED_VALUE"""),"桃園市立大崙國民中學")</f>
        <v>桃園市立大崙國民中學</v>
      </c>
      <c r="F1207" s="14" t="str">
        <f>IFERROR(__xludf.DUMMYFUNCTION("""COMPUTED_VALUE"""),"九年級")</f>
        <v>九年級</v>
      </c>
      <c r="G1207" s="14" t="str">
        <f>IFERROR(__xludf.DUMMYFUNCTION("""COMPUTED_VALUE"""),"●小禮物")</f>
        <v>●小禮物</v>
      </c>
      <c r="H1207" s="8"/>
    </row>
    <row r="1208">
      <c r="A1208" s="18"/>
      <c r="B1208" s="14">
        <f>IFERROR(__xludf.DUMMYFUNCTION("""COMPUTED_VALUE"""),720531.0)</f>
        <v>720531</v>
      </c>
      <c r="C1208" s="14" t="str">
        <f>IFERROR(__xludf.DUMMYFUNCTION("""COMPUTED_VALUE"""),"楊語珊")</f>
        <v>楊語珊</v>
      </c>
      <c r="D1208" s="16" t="str">
        <f>IFERROR(__xludf.DUMMYFUNCTION("""COMPUTED_VALUE"""),"109*****ljh.tyc.edu.tw")</f>
        <v>109*****ljh.tyc.edu.tw</v>
      </c>
      <c r="E1208" s="17" t="str">
        <f>IFERROR(__xludf.DUMMYFUNCTION("""COMPUTED_VALUE"""),"桃園市立大崙國民中學")</f>
        <v>桃園市立大崙國民中學</v>
      </c>
      <c r="F1208" s="14" t="str">
        <f>IFERROR(__xludf.DUMMYFUNCTION("""COMPUTED_VALUE"""),"九年級")</f>
        <v>九年級</v>
      </c>
      <c r="G1208" s="14" t="str">
        <f>IFERROR(__xludf.DUMMYFUNCTION("""COMPUTED_VALUE"""),"●小禮物")</f>
        <v>●小禮物</v>
      </c>
      <c r="H1208" s="8"/>
    </row>
    <row r="1209">
      <c r="A1209" s="18"/>
      <c r="B1209" s="14">
        <f>IFERROR(__xludf.DUMMYFUNCTION("""COMPUTED_VALUE"""),720524.0)</f>
        <v>720524</v>
      </c>
      <c r="C1209" s="14" t="str">
        <f>IFERROR(__xludf.DUMMYFUNCTION("""COMPUTED_VALUE"""),"賴鴻耀")</f>
        <v>賴鴻耀</v>
      </c>
      <c r="D1209" s="16" t="str">
        <f>IFERROR(__xludf.DUMMYFUNCTION("""COMPUTED_VALUE"""),"109*****ljh.tyc.edu.tw")</f>
        <v>109*****ljh.tyc.edu.tw</v>
      </c>
      <c r="E1209" s="17" t="str">
        <f>IFERROR(__xludf.DUMMYFUNCTION("""COMPUTED_VALUE"""),"桃園市立大崙國民中學")</f>
        <v>桃園市立大崙國民中學</v>
      </c>
      <c r="F1209" s="14" t="str">
        <f>IFERROR(__xludf.DUMMYFUNCTION("""COMPUTED_VALUE"""),"九年級")</f>
        <v>九年級</v>
      </c>
      <c r="G1209" s="14" t="str">
        <f>IFERROR(__xludf.DUMMYFUNCTION("""COMPUTED_VALUE"""),"●小禮物")</f>
        <v>●小禮物</v>
      </c>
      <c r="H1209" s="8"/>
    </row>
    <row r="1210">
      <c r="A1210" s="18"/>
      <c r="B1210" s="14">
        <f>IFERROR(__xludf.DUMMYFUNCTION("""COMPUTED_VALUE"""),720533.0)</f>
        <v>720533</v>
      </c>
      <c r="C1210" s="14" t="str">
        <f>IFERROR(__xludf.DUMMYFUNCTION("""COMPUTED_VALUE"""),"韓妤姍")</f>
        <v>韓妤姍</v>
      </c>
      <c r="D1210" s="16" t="str">
        <f>IFERROR(__xludf.DUMMYFUNCTION("""COMPUTED_VALUE"""),"109*****ljh.tyc.edu.tw")</f>
        <v>109*****ljh.tyc.edu.tw</v>
      </c>
      <c r="E1210" s="17" t="str">
        <f>IFERROR(__xludf.DUMMYFUNCTION("""COMPUTED_VALUE"""),"桃園市立大崙國民中學")</f>
        <v>桃園市立大崙國民中學</v>
      </c>
      <c r="F1210" s="14" t="str">
        <f>IFERROR(__xludf.DUMMYFUNCTION("""COMPUTED_VALUE"""),"九年級")</f>
        <v>九年級</v>
      </c>
      <c r="G1210" s="14" t="str">
        <f>IFERROR(__xludf.DUMMYFUNCTION("""COMPUTED_VALUE"""),"●小禮物")</f>
        <v>●小禮物</v>
      </c>
      <c r="H1210" s="8"/>
    </row>
    <row r="1211">
      <c r="A1211" s="18"/>
      <c r="B1211" s="14">
        <f>IFERROR(__xludf.DUMMYFUNCTION("""COMPUTED_VALUE"""),720534.0)</f>
        <v>720534</v>
      </c>
      <c r="C1211" s="14" t="str">
        <f>IFERROR(__xludf.DUMMYFUNCTION("""COMPUTED_VALUE"""),"譚莞馨")</f>
        <v>譚莞馨</v>
      </c>
      <c r="D1211" s="16" t="str">
        <f>IFERROR(__xludf.DUMMYFUNCTION("""COMPUTED_VALUE"""),"109*****ljh.tyc.edu.tw")</f>
        <v>109*****ljh.tyc.edu.tw</v>
      </c>
      <c r="E1211" s="17" t="str">
        <f>IFERROR(__xludf.DUMMYFUNCTION("""COMPUTED_VALUE"""),"桃園市立大崙國民中學")</f>
        <v>桃園市立大崙國民中學</v>
      </c>
      <c r="F1211" s="14" t="str">
        <f>IFERROR(__xludf.DUMMYFUNCTION("""COMPUTED_VALUE"""),"九年級")</f>
        <v>九年級</v>
      </c>
      <c r="G1211" s="14" t="str">
        <f>IFERROR(__xludf.DUMMYFUNCTION("""COMPUTED_VALUE"""),"●小禮物")</f>
        <v>●小禮物</v>
      </c>
      <c r="H1211" s="8"/>
    </row>
    <row r="1212">
      <c r="A1212" s="18"/>
      <c r="B1212" s="14">
        <f>IFERROR(__xludf.DUMMYFUNCTION("""COMPUTED_VALUE"""),720527.0)</f>
        <v>720527</v>
      </c>
      <c r="C1212" s="14" t="str">
        <f>IFERROR(__xludf.DUMMYFUNCTION("""COMPUTED_VALUE"""),"沈醇妍")</f>
        <v>沈醇妍</v>
      </c>
      <c r="D1212" s="16" t="str">
        <f>IFERROR(__xludf.DUMMYFUNCTION("""COMPUTED_VALUE"""),"109*****ljh.tyc.edu.tw")</f>
        <v>109*****ljh.tyc.edu.tw</v>
      </c>
      <c r="E1212" s="17" t="str">
        <f>IFERROR(__xludf.DUMMYFUNCTION("""COMPUTED_VALUE"""),"桃園市立大崙國民中學")</f>
        <v>桃園市立大崙國民中學</v>
      </c>
      <c r="F1212" s="14" t="str">
        <f>IFERROR(__xludf.DUMMYFUNCTION("""COMPUTED_VALUE"""),"九年級")</f>
        <v>九年級</v>
      </c>
      <c r="G1212" s="14" t="str">
        <f>IFERROR(__xludf.DUMMYFUNCTION("""COMPUTED_VALUE"""),"★禮券$200")</f>
        <v>★禮券$200</v>
      </c>
      <c r="H1212" s="8"/>
    </row>
    <row r="1213">
      <c r="A1213" s="18"/>
      <c r="B1213" s="14">
        <f>IFERROR(__xludf.DUMMYFUNCTION("""COMPUTED_VALUE"""),720522.0)</f>
        <v>720522</v>
      </c>
      <c r="C1213" s="14" t="str">
        <f>IFERROR(__xludf.DUMMYFUNCTION("""COMPUTED_VALUE"""),"葉信宏")</f>
        <v>葉信宏</v>
      </c>
      <c r="D1213" s="16" t="str">
        <f>IFERROR(__xludf.DUMMYFUNCTION("""COMPUTED_VALUE"""),"109*****ljh.tyc.edu.tw")</f>
        <v>109*****ljh.tyc.edu.tw</v>
      </c>
      <c r="E1213" s="17" t="str">
        <f>IFERROR(__xludf.DUMMYFUNCTION("""COMPUTED_VALUE"""),"桃園市立大崙國民中學")</f>
        <v>桃園市立大崙國民中學</v>
      </c>
      <c r="F1213" s="14" t="str">
        <f>IFERROR(__xludf.DUMMYFUNCTION("""COMPUTED_VALUE"""),"九年級")</f>
        <v>九年級</v>
      </c>
      <c r="G1213" s="14" t="str">
        <f>IFERROR(__xludf.DUMMYFUNCTION("""COMPUTED_VALUE"""),"★禮券$500")</f>
        <v>★禮券$500</v>
      </c>
      <c r="H1213" s="8"/>
    </row>
    <row r="1214">
      <c r="A1214" s="18"/>
      <c r="B1214" s="14">
        <f>IFERROR(__xludf.DUMMYFUNCTION("""COMPUTED_VALUE"""),720510.0)</f>
        <v>720510</v>
      </c>
      <c r="C1214" s="14" t="str">
        <f>IFERROR(__xludf.DUMMYFUNCTION("""COMPUTED_VALUE"""),"吳佳錡")</f>
        <v>吳佳錡</v>
      </c>
      <c r="D1214" s="16" t="str">
        <f>IFERROR(__xludf.DUMMYFUNCTION("""COMPUTED_VALUE"""),"109*****ljh.tyc.edu.tw")</f>
        <v>109*****ljh.tyc.edu.tw</v>
      </c>
      <c r="E1214" s="17" t="str">
        <f>IFERROR(__xludf.DUMMYFUNCTION("""COMPUTED_VALUE"""),"桃園市立大崙國民中學")</f>
        <v>桃園市立大崙國民中學</v>
      </c>
      <c r="F1214" s="14" t="str">
        <f>IFERROR(__xludf.DUMMYFUNCTION("""COMPUTED_VALUE"""),"九年級")</f>
        <v>九年級</v>
      </c>
      <c r="G1214" s="14" t="str">
        <f>IFERROR(__xludf.DUMMYFUNCTION("""COMPUTED_VALUE"""),"獎狀")</f>
        <v>獎狀</v>
      </c>
      <c r="H1214" s="8"/>
    </row>
    <row r="1215">
      <c r="A1215" s="18"/>
      <c r="B1215" s="14">
        <f>IFERROR(__xludf.DUMMYFUNCTION("""COMPUTED_VALUE"""),720511.0)</f>
        <v>720511</v>
      </c>
      <c r="C1215" s="14" t="str">
        <f>IFERROR(__xludf.DUMMYFUNCTION("""COMPUTED_VALUE"""),"吳展豪")</f>
        <v>吳展豪</v>
      </c>
      <c r="D1215" s="16" t="str">
        <f>IFERROR(__xludf.DUMMYFUNCTION("""COMPUTED_VALUE"""),"109*****ljh.tyc.edu.tw")</f>
        <v>109*****ljh.tyc.edu.tw</v>
      </c>
      <c r="E1215" s="17" t="str">
        <f>IFERROR(__xludf.DUMMYFUNCTION("""COMPUTED_VALUE"""),"桃園市立大崙國民中學")</f>
        <v>桃園市立大崙國民中學</v>
      </c>
      <c r="F1215" s="14" t="str">
        <f>IFERROR(__xludf.DUMMYFUNCTION("""COMPUTED_VALUE"""),"九年級")</f>
        <v>九年級</v>
      </c>
      <c r="G1215" s="14" t="str">
        <f>IFERROR(__xludf.DUMMYFUNCTION("""COMPUTED_VALUE"""),"獎狀")</f>
        <v>獎狀</v>
      </c>
      <c r="H1215" s="8"/>
    </row>
    <row r="1216">
      <c r="A1216" s="18"/>
      <c r="B1216" s="14">
        <f>IFERROR(__xludf.DUMMYFUNCTION("""COMPUTED_VALUE"""),720513.0)</f>
        <v>720513</v>
      </c>
      <c r="C1216" s="14" t="str">
        <f>IFERROR(__xludf.DUMMYFUNCTION("""COMPUTED_VALUE"""),"周明宏")</f>
        <v>周明宏</v>
      </c>
      <c r="D1216" s="16" t="str">
        <f>IFERROR(__xludf.DUMMYFUNCTION("""COMPUTED_VALUE"""),"109*****ljh.tyc.edu.tw")</f>
        <v>109*****ljh.tyc.edu.tw</v>
      </c>
      <c r="E1216" s="17" t="str">
        <f>IFERROR(__xludf.DUMMYFUNCTION("""COMPUTED_VALUE"""),"桃園市立大崙國民中學")</f>
        <v>桃園市立大崙國民中學</v>
      </c>
      <c r="F1216" s="14" t="str">
        <f>IFERROR(__xludf.DUMMYFUNCTION("""COMPUTED_VALUE"""),"九年級")</f>
        <v>九年級</v>
      </c>
      <c r="G1216" s="14" t="str">
        <f>IFERROR(__xludf.DUMMYFUNCTION("""COMPUTED_VALUE"""),"獎狀")</f>
        <v>獎狀</v>
      </c>
      <c r="H1216" s="8"/>
    </row>
    <row r="1217">
      <c r="A1217" s="18"/>
      <c r="B1217" s="14">
        <f>IFERROR(__xludf.DUMMYFUNCTION("""COMPUTED_VALUE"""),720516.0)</f>
        <v>720516</v>
      </c>
      <c r="C1217" s="14" t="str">
        <f>IFERROR(__xludf.DUMMYFUNCTION("""COMPUTED_VALUE"""),"邱璿愷")</f>
        <v>邱璿愷</v>
      </c>
      <c r="D1217" s="16" t="str">
        <f>IFERROR(__xludf.DUMMYFUNCTION("""COMPUTED_VALUE"""),"109*****ljh.tyc.edu.tw")</f>
        <v>109*****ljh.tyc.edu.tw</v>
      </c>
      <c r="E1217" s="17" t="str">
        <f>IFERROR(__xludf.DUMMYFUNCTION("""COMPUTED_VALUE"""),"桃園市立大崙國民中學")</f>
        <v>桃園市立大崙國民中學</v>
      </c>
      <c r="F1217" s="14" t="str">
        <f>IFERROR(__xludf.DUMMYFUNCTION("""COMPUTED_VALUE"""),"九年級")</f>
        <v>九年級</v>
      </c>
      <c r="G1217" s="14" t="str">
        <f>IFERROR(__xludf.DUMMYFUNCTION("""COMPUTED_VALUE"""),"獎狀")</f>
        <v>獎狀</v>
      </c>
      <c r="H1217" s="8"/>
    </row>
    <row r="1218">
      <c r="A1218" s="18"/>
      <c r="B1218" s="14">
        <f>IFERROR(__xludf.DUMMYFUNCTION("""COMPUTED_VALUE"""),720523.0)</f>
        <v>720523</v>
      </c>
      <c r="C1218" s="14" t="str">
        <f>IFERROR(__xludf.DUMMYFUNCTION("""COMPUTED_VALUE"""),"劉宸瑋")</f>
        <v>劉宸瑋</v>
      </c>
      <c r="D1218" s="16" t="str">
        <f>IFERROR(__xludf.DUMMYFUNCTION("""COMPUTED_VALUE"""),"109*****ljh.tyc.edu.tw")</f>
        <v>109*****ljh.tyc.edu.tw</v>
      </c>
      <c r="E1218" s="17" t="str">
        <f>IFERROR(__xludf.DUMMYFUNCTION("""COMPUTED_VALUE"""),"桃園市立大崙國民中學")</f>
        <v>桃園市立大崙國民中學</v>
      </c>
      <c r="F1218" s="14" t="str">
        <f>IFERROR(__xludf.DUMMYFUNCTION("""COMPUTED_VALUE"""),"九年級")</f>
        <v>九年級</v>
      </c>
      <c r="G1218" s="14" t="str">
        <f>IFERROR(__xludf.DUMMYFUNCTION("""COMPUTED_VALUE"""),"獎狀")</f>
        <v>獎狀</v>
      </c>
      <c r="H1218" s="8"/>
    </row>
    <row r="1219">
      <c r="A1219" s="18"/>
      <c r="B1219" s="14">
        <f>IFERROR(__xludf.DUMMYFUNCTION("""COMPUTED_VALUE"""),720532.0)</f>
        <v>720532</v>
      </c>
      <c r="C1219" s="14" t="str">
        <f>IFERROR(__xludf.DUMMYFUNCTION("""COMPUTED_VALUE"""),"薛伊雯")</f>
        <v>薛伊雯</v>
      </c>
      <c r="D1219" s="16" t="str">
        <f>IFERROR(__xludf.DUMMYFUNCTION("""COMPUTED_VALUE"""),"109*****ljh.tyc.edu.tw")</f>
        <v>109*****ljh.tyc.edu.tw</v>
      </c>
      <c r="E1219" s="17" t="str">
        <f>IFERROR(__xludf.DUMMYFUNCTION("""COMPUTED_VALUE"""),"桃園市立大崙國民中學")</f>
        <v>桃園市立大崙國民中學</v>
      </c>
      <c r="F1219" s="14" t="str">
        <f>IFERROR(__xludf.DUMMYFUNCTION("""COMPUTED_VALUE"""),"九年級")</f>
        <v>九年級</v>
      </c>
      <c r="G1219" s="14" t="str">
        <f>IFERROR(__xludf.DUMMYFUNCTION("""COMPUTED_VALUE"""),"獎狀")</f>
        <v>獎狀</v>
      </c>
      <c r="H1219" s="8"/>
    </row>
    <row r="1220">
      <c r="A1220" s="18"/>
      <c r="B1220" s="14">
        <f>IFERROR(__xludf.DUMMYFUNCTION("""COMPUTED_VALUE"""),720561.0)</f>
        <v>720561</v>
      </c>
      <c r="C1220" s="14" t="str">
        <f>IFERROR(__xludf.DUMMYFUNCTION("""COMPUTED_VALUE"""),"戴宇涵")</f>
        <v>戴宇涵</v>
      </c>
      <c r="D1220" s="16" t="str">
        <f>IFERROR(__xludf.DUMMYFUNCTION("""COMPUTED_VALUE"""),"109*****ljh.tyc.edu.tw")</f>
        <v>109*****ljh.tyc.edu.tw</v>
      </c>
      <c r="E1220" s="17" t="str">
        <f>IFERROR(__xludf.DUMMYFUNCTION("""COMPUTED_VALUE"""),"桃園市立大崙國民中學")</f>
        <v>桃園市立大崙國民中學</v>
      </c>
      <c r="F1220" s="14" t="str">
        <f>IFERROR(__xludf.DUMMYFUNCTION("""COMPUTED_VALUE"""),"九年級")</f>
        <v>九年級</v>
      </c>
      <c r="G1220" s="14" t="str">
        <f>IFERROR(__xludf.DUMMYFUNCTION("""COMPUTED_VALUE"""),"獎狀")</f>
        <v>獎狀</v>
      </c>
      <c r="H1220" s="8"/>
    </row>
    <row r="1221">
      <c r="A1221" s="18"/>
      <c r="B1221" s="14">
        <f>IFERROR(__xludf.DUMMYFUNCTION("""COMPUTED_VALUE"""),720555.0)</f>
        <v>720555</v>
      </c>
      <c r="C1221" s="14" t="str">
        <f>IFERROR(__xludf.DUMMYFUNCTION("""COMPUTED_VALUE"""),"邱妘蓁")</f>
        <v>邱妘蓁</v>
      </c>
      <c r="D1221" s="16" t="str">
        <f>IFERROR(__xludf.DUMMYFUNCTION("""COMPUTED_VALUE"""),"109*****ljh.tyc.edu.tw")</f>
        <v>109*****ljh.tyc.edu.tw</v>
      </c>
      <c r="E1221" s="17" t="str">
        <f>IFERROR(__xludf.DUMMYFUNCTION("""COMPUTED_VALUE"""),"桃園市立大崙國民中學")</f>
        <v>桃園市立大崙國民中學</v>
      </c>
      <c r="F1221" s="14" t="str">
        <f>IFERROR(__xludf.DUMMYFUNCTION("""COMPUTED_VALUE"""),"九年級")</f>
        <v>九年級</v>
      </c>
      <c r="G1221" s="14" t="str">
        <f>IFERROR(__xludf.DUMMYFUNCTION("""COMPUTED_VALUE"""),"●小禮物")</f>
        <v>●小禮物</v>
      </c>
      <c r="H1221" s="8"/>
    </row>
    <row r="1222">
      <c r="A1222" s="18"/>
      <c r="B1222" s="14">
        <f>IFERROR(__xludf.DUMMYFUNCTION("""COMPUTED_VALUE"""),720538.0)</f>
        <v>720538</v>
      </c>
      <c r="C1222" s="14" t="str">
        <f>IFERROR(__xludf.DUMMYFUNCTION("""COMPUTED_VALUE"""),"邱柏銘")</f>
        <v>邱柏銘</v>
      </c>
      <c r="D1222" s="16" t="str">
        <f>IFERROR(__xludf.DUMMYFUNCTION("""COMPUTED_VALUE"""),"109*****ljh.tyc.edu.tw")</f>
        <v>109*****ljh.tyc.edu.tw</v>
      </c>
      <c r="E1222" s="17" t="str">
        <f>IFERROR(__xludf.DUMMYFUNCTION("""COMPUTED_VALUE"""),"桃園市立大崙國民中學")</f>
        <v>桃園市立大崙國民中學</v>
      </c>
      <c r="F1222" s="14" t="str">
        <f>IFERROR(__xludf.DUMMYFUNCTION("""COMPUTED_VALUE"""),"九年級")</f>
        <v>九年級</v>
      </c>
      <c r="G1222" s="14" t="str">
        <f>IFERROR(__xludf.DUMMYFUNCTION("""COMPUTED_VALUE"""),"●小禮物")</f>
        <v>●小禮物</v>
      </c>
      <c r="H1222" s="8"/>
    </row>
    <row r="1223">
      <c r="A1223" s="18"/>
      <c r="B1223" s="14">
        <f>IFERROR(__xludf.DUMMYFUNCTION("""COMPUTED_VALUE"""),720562.0)</f>
        <v>720562</v>
      </c>
      <c r="C1223" s="14" t="str">
        <f>IFERROR(__xludf.DUMMYFUNCTION("""COMPUTED_VALUE"""),"張庭瑄")</f>
        <v>張庭瑄</v>
      </c>
      <c r="D1223" s="16" t="str">
        <f>IFERROR(__xludf.DUMMYFUNCTION("""COMPUTED_VALUE"""),"109*****ljh.tyc.edu.tw")</f>
        <v>109*****ljh.tyc.edu.tw</v>
      </c>
      <c r="E1223" s="17" t="str">
        <f>IFERROR(__xludf.DUMMYFUNCTION("""COMPUTED_VALUE"""),"桃園市立大崙國民中學")</f>
        <v>桃園市立大崙國民中學</v>
      </c>
      <c r="F1223" s="14" t="str">
        <f>IFERROR(__xludf.DUMMYFUNCTION("""COMPUTED_VALUE"""),"九年級")</f>
        <v>九年級</v>
      </c>
      <c r="G1223" s="14" t="str">
        <f>IFERROR(__xludf.DUMMYFUNCTION("""COMPUTED_VALUE"""),"●小禮物")</f>
        <v>●小禮物</v>
      </c>
      <c r="H1223" s="8"/>
    </row>
    <row r="1224">
      <c r="A1224" s="18"/>
      <c r="B1224" s="14">
        <f>IFERROR(__xludf.DUMMYFUNCTION("""COMPUTED_VALUE"""),720541.0)</f>
        <v>720541</v>
      </c>
      <c r="C1224" s="14" t="str">
        <f>IFERROR(__xludf.DUMMYFUNCTION("""COMPUTED_VALUE"""),"梁以承")</f>
        <v>梁以承</v>
      </c>
      <c r="D1224" s="16" t="str">
        <f>IFERROR(__xludf.DUMMYFUNCTION("""COMPUTED_VALUE"""),"109*****ljh.tyc.edu.tw")</f>
        <v>109*****ljh.tyc.edu.tw</v>
      </c>
      <c r="E1224" s="17" t="str">
        <f>IFERROR(__xludf.DUMMYFUNCTION("""COMPUTED_VALUE"""),"桃園市立大崙國民中學")</f>
        <v>桃園市立大崙國民中學</v>
      </c>
      <c r="F1224" s="14" t="str">
        <f>IFERROR(__xludf.DUMMYFUNCTION("""COMPUTED_VALUE"""),"九年級")</f>
        <v>九年級</v>
      </c>
      <c r="G1224" s="14" t="str">
        <f>IFERROR(__xludf.DUMMYFUNCTION("""COMPUTED_VALUE"""),"●小禮物")</f>
        <v>●小禮物</v>
      </c>
      <c r="H1224" s="8"/>
    </row>
    <row r="1225">
      <c r="A1225" s="18"/>
      <c r="B1225" s="14">
        <f>IFERROR(__xludf.DUMMYFUNCTION("""COMPUTED_VALUE"""),720557.0)</f>
        <v>720557</v>
      </c>
      <c r="C1225" s="14" t="str">
        <f>IFERROR(__xludf.DUMMYFUNCTION("""COMPUTED_VALUE"""),"梁耕萍")</f>
        <v>梁耕萍</v>
      </c>
      <c r="D1225" s="16" t="str">
        <f>IFERROR(__xludf.DUMMYFUNCTION("""COMPUTED_VALUE"""),"109*****ljh.tyc.edu.tw")</f>
        <v>109*****ljh.tyc.edu.tw</v>
      </c>
      <c r="E1225" s="17" t="str">
        <f>IFERROR(__xludf.DUMMYFUNCTION("""COMPUTED_VALUE"""),"桃園市立大崙國民中學")</f>
        <v>桃園市立大崙國民中學</v>
      </c>
      <c r="F1225" s="14" t="str">
        <f>IFERROR(__xludf.DUMMYFUNCTION("""COMPUTED_VALUE"""),"九年級")</f>
        <v>九年級</v>
      </c>
      <c r="G1225" s="14" t="str">
        <f>IFERROR(__xludf.DUMMYFUNCTION("""COMPUTED_VALUE"""),"●小禮物")</f>
        <v>●小禮物</v>
      </c>
      <c r="H1225" s="8"/>
    </row>
    <row r="1226">
      <c r="A1226" s="18"/>
      <c r="B1226" s="14">
        <f>IFERROR(__xludf.DUMMYFUNCTION("""COMPUTED_VALUE"""),720558.0)</f>
        <v>720558</v>
      </c>
      <c r="C1226" s="14" t="str">
        <f>IFERROR(__xludf.DUMMYFUNCTION("""COMPUTED_VALUE"""),"曾莉淋")</f>
        <v>曾莉淋</v>
      </c>
      <c r="D1226" s="16" t="str">
        <f>IFERROR(__xludf.DUMMYFUNCTION("""COMPUTED_VALUE"""),"109*****ljh.tyc.edu.tw")</f>
        <v>109*****ljh.tyc.edu.tw</v>
      </c>
      <c r="E1226" s="17" t="str">
        <f>IFERROR(__xludf.DUMMYFUNCTION("""COMPUTED_VALUE"""),"桃園市立大崙國民中學")</f>
        <v>桃園市立大崙國民中學</v>
      </c>
      <c r="F1226" s="14" t="str">
        <f>IFERROR(__xludf.DUMMYFUNCTION("""COMPUTED_VALUE"""),"九年級")</f>
        <v>九年級</v>
      </c>
      <c r="G1226" s="14" t="str">
        <f>IFERROR(__xludf.DUMMYFUNCTION("""COMPUTED_VALUE"""),"●小禮物")</f>
        <v>●小禮物</v>
      </c>
      <c r="H1226" s="8"/>
    </row>
    <row r="1227">
      <c r="A1227" s="18"/>
      <c r="B1227" s="14">
        <f>IFERROR(__xludf.DUMMYFUNCTION("""COMPUTED_VALUE"""),720560.0)</f>
        <v>720560</v>
      </c>
      <c r="C1227" s="14" t="str">
        <f>IFERROR(__xludf.DUMMYFUNCTION("""COMPUTED_VALUE"""),"黃芷晴")</f>
        <v>黃芷晴</v>
      </c>
      <c r="D1227" s="16" t="str">
        <f>IFERROR(__xludf.DUMMYFUNCTION("""COMPUTED_VALUE"""),"109*****ljh.tyc.edu.tw")</f>
        <v>109*****ljh.tyc.edu.tw</v>
      </c>
      <c r="E1227" s="17" t="str">
        <f>IFERROR(__xludf.DUMMYFUNCTION("""COMPUTED_VALUE"""),"桃園市立大崙國民中學")</f>
        <v>桃園市立大崙國民中學</v>
      </c>
      <c r="F1227" s="14" t="str">
        <f>IFERROR(__xludf.DUMMYFUNCTION("""COMPUTED_VALUE"""),"九年級")</f>
        <v>九年級</v>
      </c>
      <c r="G1227" s="14" t="str">
        <f>IFERROR(__xludf.DUMMYFUNCTION("""COMPUTED_VALUE"""),"●小禮物")</f>
        <v>●小禮物</v>
      </c>
      <c r="H1227" s="8"/>
    </row>
    <row r="1228">
      <c r="A1228" s="18"/>
      <c r="B1228" s="14">
        <f>IFERROR(__xludf.DUMMYFUNCTION("""COMPUTED_VALUE"""),720545.0)</f>
        <v>720545</v>
      </c>
      <c r="C1228" s="14" t="str">
        <f>IFERROR(__xludf.DUMMYFUNCTION("""COMPUTED_VALUE"""),"黃義仁")</f>
        <v>黃義仁</v>
      </c>
      <c r="D1228" s="16" t="str">
        <f>IFERROR(__xludf.DUMMYFUNCTION("""COMPUTED_VALUE"""),"109*****ljh.tyc.edu.tw")</f>
        <v>109*****ljh.tyc.edu.tw</v>
      </c>
      <c r="E1228" s="17" t="str">
        <f>IFERROR(__xludf.DUMMYFUNCTION("""COMPUTED_VALUE"""),"桃園市立大崙國民中學")</f>
        <v>桃園市立大崙國民中學</v>
      </c>
      <c r="F1228" s="14" t="str">
        <f>IFERROR(__xludf.DUMMYFUNCTION("""COMPUTED_VALUE"""),"九年級")</f>
        <v>九年級</v>
      </c>
      <c r="G1228" s="14" t="str">
        <f>IFERROR(__xludf.DUMMYFUNCTION("""COMPUTED_VALUE"""),"●小禮物")</f>
        <v>●小禮物</v>
      </c>
      <c r="H1228" s="8"/>
    </row>
    <row r="1229">
      <c r="A1229" s="18"/>
      <c r="B1229" s="14">
        <f>IFERROR(__xludf.DUMMYFUNCTION("""COMPUTED_VALUE"""),720550.0)</f>
        <v>720550</v>
      </c>
      <c r="C1229" s="14" t="str">
        <f>IFERROR(__xludf.DUMMYFUNCTION("""COMPUTED_VALUE"""),"鄭宇翔")</f>
        <v>鄭宇翔</v>
      </c>
      <c r="D1229" s="16" t="str">
        <f>IFERROR(__xludf.DUMMYFUNCTION("""COMPUTED_VALUE"""),"109*****ljh.tyc.edu.tw")</f>
        <v>109*****ljh.tyc.edu.tw</v>
      </c>
      <c r="E1229" s="17" t="str">
        <f>IFERROR(__xludf.DUMMYFUNCTION("""COMPUTED_VALUE"""),"桃園市立大崙國民中學")</f>
        <v>桃園市立大崙國民中學</v>
      </c>
      <c r="F1229" s="14" t="str">
        <f>IFERROR(__xludf.DUMMYFUNCTION("""COMPUTED_VALUE"""),"九年級")</f>
        <v>九年級</v>
      </c>
      <c r="G1229" s="14" t="str">
        <f>IFERROR(__xludf.DUMMYFUNCTION("""COMPUTED_VALUE"""),"●小禮物")</f>
        <v>●小禮物</v>
      </c>
      <c r="H1229" s="8"/>
    </row>
    <row r="1230">
      <c r="A1230" s="18"/>
      <c r="B1230" s="14">
        <f>IFERROR(__xludf.DUMMYFUNCTION("""COMPUTED_VALUE"""),720553.0)</f>
        <v>720553</v>
      </c>
      <c r="C1230" s="14" t="str">
        <f>IFERROR(__xludf.DUMMYFUNCTION("""COMPUTED_VALUE"""),"吳佳芸")</f>
        <v>吳佳芸</v>
      </c>
      <c r="D1230" s="16" t="str">
        <f>IFERROR(__xludf.DUMMYFUNCTION("""COMPUTED_VALUE"""),"109*****ljh.tyc.edu.tw")</f>
        <v>109*****ljh.tyc.edu.tw</v>
      </c>
      <c r="E1230" s="17" t="str">
        <f>IFERROR(__xludf.DUMMYFUNCTION("""COMPUTED_VALUE"""),"桃園市立大崙國民中學")</f>
        <v>桃園市立大崙國民中學</v>
      </c>
      <c r="F1230" s="14" t="str">
        <f>IFERROR(__xludf.DUMMYFUNCTION("""COMPUTED_VALUE"""),"九年級")</f>
        <v>九年級</v>
      </c>
      <c r="G1230" s="14" t="str">
        <f>IFERROR(__xludf.DUMMYFUNCTION("""COMPUTED_VALUE"""),"獎狀")</f>
        <v>獎狀</v>
      </c>
      <c r="H1230" s="8"/>
    </row>
    <row r="1231">
      <c r="A1231" s="18"/>
      <c r="B1231" s="14">
        <f>IFERROR(__xludf.DUMMYFUNCTION("""COMPUTED_VALUE"""),720554.0)</f>
        <v>720554</v>
      </c>
      <c r="C1231" s="14" t="str">
        <f>IFERROR(__xludf.DUMMYFUNCTION("""COMPUTED_VALUE"""),"李慧欣")</f>
        <v>李慧欣</v>
      </c>
      <c r="D1231" s="16" t="str">
        <f>IFERROR(__xludf.DUMMYFUNCTION("""COMPUTED_VALUE"""),"109*****ljh.tyc.edu.tw")</f>
        <v>109*****ljh.tyc.edu.tw</v>
      </c>
      <c r="E1231" s="17" t="str">
        <f>IFERROR(__xludf.DUMMYFUNCTION("""COMPUTED_VALUE"""),"桃園市立大崙國民中學")</f>
        <v>桃園市立大崙國民中學</v>
      </c>
      <c r="F1231" s="14" t="str">
        <f>IFERROR(__xludf.DUMMYFUNCTION("""COMPUTED_VALUE"""),"九年級")</f>
        <v>九年級</v>
      </c>
      <c r="G1231" s="14" t="str">
        <f>IFERROR(__xludf.DUMMYFUNCTION("""COMPUTED_VALUE"""),"獎狀")</f>
        <v>獎狀</v>
      </c>
      <c r="H1231" s="8"/>
    </row>
    <row r="1232">
      <c r="A1232" s="18"/>
      <c r="B1232" s="14">
        <f>IFERROR(__xludf.DUMMYFUNCTION("""COMPUTED_VALUE"""),720540.0)</f>
        <v>720540</v>
      </c>
      <c r="C1232" s="14" t="str">
        <f>IFERROR(__xludf.DUMMYFUNCTION("""COMPUTED_VALUE"""),"張凱迪")</f>
        <v>張凱迪</v>
      </c>
      <c r="D1232" s="16" t="str">
        <f>IFERROR(__xludf.DUMMYFUNCTION("""COMPUTED_VALUE"""),"109*****ljh.tyc.edu.tw")</f>
        <v>109*****ljh.tyc.edu.tw</v>
      </c>
      <c r="E1232" s="17" t="str">
        <f>IFERROR(__xludf.DUMMYFUNCTION("""COMPUTED_VALUE"""),"桃園市立大崙國民中學")</f>
        <v>桃園市立大崙國民中學</v>
      </c>
      <c r="F1232" s="14" t="str">
        <f>IFERROR(__xludf.DUMMYFUNCTION("""COMPUTED_VALUE"""),"九年級")</f>
        <v>九年級</v>
      </c>
      <c r="G1232" s="14" t="str">
        <f>IFERROR(__xludf.DUMMYFUNCTION("""COMPUTED_VALUE"""),"獎狀")</f>
        <v>獎狀</v>
      </c>
      <c r="H1232" s="8"/>
    </row>
    <row r="1233">
      <c r="A1233" s="18"/>
      <c r="B1233" s="14">
        <f>IFERROR(__xludf.DUMMYFUNCTION("""COMPUTED_VALUE"""),720559.0)</f>
        <v>720559</v>
      </c>
      <c r="C1233" s="14" t="str">
        <f>IFERROR(__xludf.DUMMYFUNCTION("""COMPUTED_VALUE"""),"温子晴")</f>
        <v>温子晴</v>
      </c>
      <c r="D1233" s="16" t="str">
        <f>IFERROR(__xludf.DUMMYFUNCTION("""COMPUTED_VALUE"""),"109*****ljh.tyc.edu.tw")</f>
        <v>109*****ljh.tyc.edu.tw</v>
      </c>
      <c r="E1233" s="17" t="str">
        <f>IFERROR(__xludf.DUMMYFUNCTION("""COMPUTED_VALUE"""),"桃園市立大崙國民中學")</f>
        <v>桃園市立大崙國民中學</v>
      </c>
      <c r="F1233" s="14" t="str">
        <f>IFERROR(__xludf.DUMMYFUNCTION("""COMPUTED_VALUE"""),"九年級")</f>
        <v>九年級</v>
      </c>
      <c r="G1233" s="14" t="str">
        <f>IFERROR(__xludf.DUMMYFUNCTION("""COMPUTED_VALUE"""),"獎狀")</f>
        <v>獎狀</v>
      </c>
      <c r="H1233" s="8"/>
    </row>
    <row r="1234">
      <c r="A1234" s="18"/>
      <c r="B1234" s="14">
        <f>IFERROR(__xludf.DUMMYFUNCTION("""COMPUTED_VALUE"""),720548.0)</f>
        <v>720548</v>
      </c>
      <c r="C1234" s="14" t="str">
        <f>IFERROR(__xludf.DUMMYFUNCTION("""COMPUTED_VALUE"""),"詹哲宇")</f>
        <v>詹哲宇</v>
      </c>
      <c r="D1234" s="16" t="str">
        <f>IFERROR(__xludf.DUMMYFUNCTION("""COMPUTED_VALUE"""),"109*****ljh.tyc.edu.tw")</f>
        <v>109*****ljh.tyc.edu.tw</v>
      </c>
      <c r="E1234" s="17" t="str">
        <f>IFERROR(__xludf.DUMMYFUNCTION("""COMPUTED_VALUE"""),"桃園市立大崙國民中學")</f>
        <v>桃園市立大崙國民中學</v>
      </c>
      <c r="F1234" s="14" t="str">
        <f>IFERROR(__xludf.DUMMYFUNCTION("""COMPUTED_VALUE"""),"九年級")</f>
        <v>九年級</v>
      </c>
      <c r="G1234" s="14" t="str">
        <f>IFERROR(__xludf.DUMMYFUNCTION("""COMPUTED_VALUE"""),"獎狀")</f>
        <v>獎狀</v>
      </c>
      <c r="H1234" s="8"/>
    </row>
    <row r="1235">
      <c r="A1235" s="18"/>
      <c r="B1235" s="14">
        <f>IFERROR(__xludf.DUMMYFUNCTION("""COMPUTED_VALUE"""),720549.0)</f>
        <v>720549</v>
      </c>
      <c r="C1235" s="14" t="str">
        <f>IFERROR(__xludf.DUMMYFUNCTION("""COMPUTED_VALUE"""),"劉瓊祺")</f>
        <v>劉瓊祺</v>
      </c>
      <c r="D1235" s="16" t="str">
        <f>IFERROR(__xludf.DUMMYFUNCTION("""COMPUTED_VALUE"""),"109*****ljh.tyc.edu.tw")</f>
        <v>109*****ljh.tyc.edu.tw</v>
      </c>
      <c r="E1235" s="17" t="str">
        <f>IFERROR(__xludf.DUMMYFUNCTION("""COMPUTED_VALUE"""),"桃園市立大崙國民中學")</f>
        <v>桃園市立大崙國民中學</v>
      </c>
      <c r="F1235" s="14" t="str">
        <f>IFERROR(__xludf.DUMMYFUNCTION("""COMPUTED_VALUE"""),"九年級")</f>
        <v>九年級</v>
      </c>
      <c r="G1235" s="14" t="str">
        <f>IFERROR(__xludf.DUMMYFUNCTION("""COMPUTED_VALUE"""),"獎狀")</f>
        <v>獎狀</v>
      </c>
      <c r="H1235" s="8"/>
    </row>
    <row r="1236">
      <c r="A1236" s="18"/>
      <c r="B1236" s="14">
        <f>IFERROR(__xludf.DUMMYFUNCTION("""COMPUTED_VALUE"""),720570.0)</f>
        <v>720570</v>
      </c>
      <c r="C1236" s="14" t="str">
        <f>IFERROR(__xludf.DUMMYFUNCTION("""COMPUTED_VALUE"""),"姜禮冠")</f>
        <v>姜禮冠</v>
      </c>
      <c r="D1236" s="16" t="str">
        <f>IFERROR(__xludf.DUMMYFUNCTION("""COMPUTED_VALUE"""),"109*****ljh.tyc.edu.tw")</f>
        <v>109*****ljh.tyc.edu.tw</v>
      </c>
      <c r="E1236" s="17" t="str">
        <f>IFERROR(__xludf.DUMMYFUNCTION("""COMPUTED_VALUE"""),"桃園市立大崙國民中學")</f>
        <v>桃園市立大崙國民中學</v>
      </c>
      <c r="F1236" s="14" t="str">
        <f>IFERROR(__xludf.DUMMYFUNCTION("""COMPUTED_VALUE"""),"九年級")</f>
        <v>九年級</v>
      </c>
      <c r="G1236" s="14" t="str">
        <f>IFERROR(__xludf.DUMMYFUNCTION("""COMPUTED_VALUE"""),"獎狀")</f>
        <v>獎狀</v>
      </c>
      <c r="H1236" s="8"/>
    </row>
    <row r="1237">
      <c r="A1237" s="18"/>
      <c r="B1237" s="14">
        <f>IFERROR(__xludf.DUMMYFUNCTION("""COMPUTED_VALUE"""),720581.0)</f>
        <v>720581</v>
      </c>
      <c r="C1237" s="14" t="str">
        <f>IFERROR(__xludf.DUMMYFUNCTION("""COMPUTED_VALUE"""),"丁昱云")</f>
        <v>丁昱云</v>
      </c>
      <c r="D1237" s="16" t="str">
        <f>IFERROR(__xludf.DUMMYFUNCTION("""COMPUTED_VALUE"""),"109*****ljh.tyc.edu.tw")</f>
        <v>109*****ljh.tyc.edu.tw</v>
      </c>
      <c r="E1237" s="17" t="str">
        <f>IFERROR(__xludf.DUMMYFUNCTION("""COMPUTED_VALUE"""),"桃園市立大崙國民中學")</f>
        <v>桃園市立大崙國民中學</v>
      </c>
      <c r="F1237" s="14" t="str">
        <f>IFERROR(__xludf.DUMMYFUNCTION("""COMPUTED_VALUE"""),"九年級")</f>
        <v>九年級</v>
      </c>
      <c r="G1237" s="14" t="str">
        <f>IFERROR(__xludf.DUMMYFUNCTION("""COMPUTED_VALUE"""),"●小禮物")</f>
        <v>●小禮物</v>
      </c>
      <c r="H1237" s="8"/>
    </row>
    <row r="1238">
      <c r="A1238" s="18"/>
      <c r="B1238" s="14">
        <f>IFERROR(__xludf.DUMMYFUNCTION("""COMPUTED_VALUE"""),720582.0)</f>
        <v>720582</v>
      </c>
      <c r="C1238" s="14" t="str">
        <f>IFERROR(__xludf.DUMMYFUNCTION("""COMPUTED_VALUE"""),"江謝妤")</f>
        <v>江謝妤</v>
      </c>
      <c r="D1238" s="16" t="str">
        <f>IFERROR(__xludf.DUMMYFUNCTION("""COMPUTED_VALUE"""),"109*****ljh.tyc.edu.tw")</f>
        <v>109*****ljh.tyc.edu.tw</v>
      </c>
      <c r="E1238" s="17" t="str">
        <f>IFERROR(__xludf.DUMMYFUNCTION("""COMPUTED_VALUE"""),"桃園市立大崙國民中學")</f>
        <v>桃園市立大崙國民中學</v>
      </c>
      <c r="F1238" s="14" t="str">
        <f>IFERROR(__xludf.DUMMYFUNCTION("""COMPUTED_VALUE"""),"九年級")</f>
        <v>九年級</v>
      </c>
      <c r="G1238" s="14" t="str">
        <f>IFERROR(__xludf.DUMMYFUNCTION("""COMPUTED_VALUE"""),"●小禮物")</f>
        <v>●小禮物</v>
      </c>
      <c r="H1238" s="8"/>
    </row>
    <row r="1239">
      <c r="A1239" s="18"/>
      <c r="B1239" s="14">
        <f>IFERROR(__xludf.DUMMYFUNCTION("""COMPUTED_VALUE"""),720583.0)</f>
        <v>720583</v>
      </c>
      <c r="C1239" s="14" t="str">
        <f>IFERROR(__xludf.DUMMYFUNCTION("""COMPUTED_VALUE"""),"吳珮語")</f>
        <v>吳珮語</v>
      </c>
      <c r="D1239" s="16" t="str">
        <f>IFERROR(__xludf.DUMMYFUNCTION("""COMPUTED_VALUE"""),"109*****ljh.tyc.edu.tw")</f>
        <v>109*****ljh.tyc.edu.tw</v>
      </c>
      <c r="E1239" s="17" t="str">
        <f>IFERROR(__xludf.DUMMYFUNCTION("""COMPUTED_VALUE"""),"桃園市立大崙國民中學")</f>
        <v>桃園市立大崙國民中學</v>
      </c>
      <c r="F1239" s="14" t="str">
        <f>IFERROR(__xludf.DUMMYFUNCTION("""COMPUTED_VALUE"""),"九年級")</f>
        <v>九年級</v>
      </c>
      <c r="G1239" s="14" t="str">
        <f>IFERROR(__xludf.DUMMYFUNCTION("""COMPUTED_VALUE"""),"●小禮物")</f>
        <v>●小禮物</v>
      </c>
      <c r="H1239" s="8"/>
    </row>
    <row r="1240">
      <c r="A1240" s="18"/>
      <c r="B1240" s="14">
        <f>IFERROR(__xludf.DUMMYFUNCTION("""COMPUTED_VALUE"""),720568.0)</f>
        <v>720568</v>
      </c>
      <c r="C1240" s="14" t="str">
        <f>IFERROR(__xludf.DUMMYFUNCTION("""COMPUTED_VALUE"""),"吳驊升")</f>
        <v>吳驊升</v>
      </c>
      <c r="D1240" s="16" t="str">
        <f>IFERROR(__xludf.DUMMYFUNCTION("""COMPUTED_VALUE"""),"109*****ljh.tyc.edu.tw")</f>
        <v>109*****ljh.tyc.edu.tw</v>
      </c>
      <c r="E1240" s="17" t="str">
        <f>IFERROR(__xludf.DUMMYFUNCTION("""COMPUTED_VALUE"""),"桃園市立大崙國民中學")</f>
        <v>桃園市立大崙國民中學</v>
      </c>
      <c r="F1240" s="14" t="str">
        <f>IFERROR(__xludf.DUMMYFUNCTION("""COMPUTED_VALUE"""),"九年級")</f>
        <v>九年級</v>
      </c>
      <c r="G1240" s="14" t="str">
        <f>IFERROR(__xludf.DUMMYFUNCTION("""COMPUTED_VALUE"""),"●小禮物")</f>
        <v>●小禮物</v>
      </c>
      <c r="H1240" s="8"/>
    </row>
    <row r="1241">
      <c r="A1241" s="18"/>
      <c r="B1241" s="14">
        <f>IFERROR(__xludf.DUMMYFUNCTION("""COMPUTED_VALUE"""),720628.0)</f>
        <v>720628</v>
      </c>
      <c r="C1241" s="14" t="str">
        <f>IFERROR(__xludf.DUMMYFUNCTION("""COMPUTED_VALUE"""),"周凱昕")</f>
        <v>周凱昕</v>
      </c>
      <c r="D1241" s="16" t="str">
        <f>IFERROR(__xludf.DUMMYFUNCTION("""COMPUTED_VALUE"""),"109*****ljh.tyc.edu.tw")</f>
        <v>109*****ljh.tyc.edu.tw</v>
      </c>
      <c r="E1241" s="17" t="str">
        <f>IFERROR(__xludf.DUMMYFUNCTION("""COMPUTED_VALUE"""),"桃園市立大崙國民中學")</f>
        <v>桃園市立大崙國民中學</v>
      </c>
      <c r="F1241" s="14" t="str">
        <f>IFERROR(__xludf.DUMMYFUNCTION("""COMPUTED_VALUE"""),"九年級")</f>
        <v>九年級</v>
      </c>
      <c r="G1241" s="14" t="str">
        <f>IFERROR(__xludf.DUMMYFUNCTION("""COMPUTED_VALUE"""),"●小禮物")</f>
        <v>●小禮物</v>
      </c>
      <c r="H1241" s="8"/>
    </row>
    <row r="1242">
      <c r="A1242" s="18"/>
      <c r="B1242" s="14">
        <f>IFERROR(__xludf.DUMMYFUNCTION("""COMPUTED_VALUE"""),720569.0)</f>
        <v>720569</v>
      </c>
      <c r="C1242" s="14" t="str">
        <f>IFERROR(__xludf.DUMMYFUNCTION("""COMPUTED_VALUE"""),"林聖竣")</f>
        <v>林聖竣</v>
      </c>
      <c r="D1242" s="16" t="str">
        <f>IFERROR(__xludf.DUMMYFUNCTION("""COMPUTED_VALUE"""),"109*****ljh.tyc.edu.tw")</f>
        <v>109*****ljh.tyc.edu.tw</v>
      </c>
      <c r="E1242" s="17" t="str">
        <f>IFERROR(__xludf.DUMMYFUNCTION("""COMPUTED_VALUE"""),"桃園市立大崙國民中學")</f>
        <v>桃園市立大崙國民中學</v>
      </c>
      <c r="F1242" s="14" t="str">
        <f>IFERROR(__xludf.DUMMYFUNCTION("""COMPUTED_VALUE"""),"九年級")</f>
        <v>九年級</v>
      </c>
      <c r="G1242" s="14" t="str">
        <f>IFERROR(__xludf.DUMMYFUNCTION("""COMPUTED_VALUE"""),"●小禮物")</f>
        <v>●小禮物</v>
      </c>
      <c r="H1242" s="8"/>
    </row>
    <row r="1243">
      <c r="A1243" s="18"/>
      <c r="B1243" s="14">
        <f>IFERROR(__xludf.DUMMYFUNCTION("""COMPUTED_VALUE"""),720585.0)</f>
        <v>720585</v>
      </c>
      <c r="C1243" s="14" t="str">
        <f>IFERROR(__xludf.DUMMYFUNCTION("""COMPUTED_VALUE"""),"邱詩榕")</f>
        <v>邱詩榕</v>
      </c>
      <c r="D1243" s="16" t="str">
        <f>IFERROR(__xludf.DUMMYFUNCTION("""COMPUTED_VALUE"""),"109*****ljh.tyc.edu.tw")</f>
        <v>109*****ljh.tyc.edu.tw</v>
      </c>
      <c r="E1243" s="17" t="str">
        <f>IFERROR(__xludf.DUMMYFUNCTION("""COMPUTED_VALUE"""),"桃園市立大崙國民中學")</f>
        <v>桃園市立大崙國民中學</v>
      </c>
      <c r="F1243" s="14" t="str">
        <f>IFERROR(__xludf.DUMMYFUNCTION("""COMPUTED_VALUE"""),"九年級")</f>
        <v>九年級</v>
      </c>
      <c r="G1243" s="14" t="str">
        <f>IFERROR(__xludf.DUMMYFUNCTION("""COMPUTED_VALUE"""),"●小禮物")</f>
        <v>●小禮物</v>
      </c>
      <c r="H1243" s="8"/>
    </row>
    <row r="1244">
      <c r="A1244" s="18"/>
      <c r="B1244" s="14">
        <f>IFERROR(__xludf.DUMMYFUNCTION("""COMPUTED_VALUE"""),720571.0)</f>
        <v>720571</v>
      </c>
      <c r="C1244" s="14" t="str">
        <f>IFERROR(__xludf.DUMMYFUNCTION("""COMPUTED_VALUE"""),"張冠廷")</f>
        <v>張冠廷</v>
      </c>
      <c r="D1244" s="16" t="str">
        <f>IFERROR(__xludf.DUMMYFUNCTION("""COMPUTED_VALUE"""),"109*****ljh.tyc.edu.tw")</f>
        <v>109*****ljh.tyc.edu.tw</v>
      </c>
      <c r="E1244" s="17" t="str">
        <f>IFERROR(__xludf.DUMMYFUNCTION("""COMPUTED_VALUE"""),"桃園市立大崙國民中學")</f>
        <v>桃園市立大崙國民中學</v>
      </c>
      <c r="F1244" s="14" t="str">
        <f>IFERROR(__xludf.DUMMYFUNCTION("""COMPUTED_VALUE"""),"九年級")</f>
        <v>九年級</v>
      </c>
      <c r="G1244" s="14" t="str">
        <f>IFERROR(__xludf.DUMMYFUNCTION("""COMPUTED_VALUE"""),"●小禮物")</f>
        <v>●小禮物</v>
      </c>
      <c r="H1244" s="8"/>
    </row>
    <row r="1245">
      <c r="A1245" s="18"/>
      <c r="B1245" s="14">
        <f>IFERROR(__xludf.DUMMYFUNCTION("""COMPUTED_VALUE"""),720587.0)</f>
        <v>720587</v>
      </c>
      <c r="C1245" s="14" t="str">
        <f>IFERROR(__xludf.DUMMYFUNCTION("""COMPUTED_VALUE"""),"許紓裴")</f>
        <v>許紓裴</v>
      </c>
      <c r="D1245" s="16" t="str">
        <f>IFERROR(__xludf.DUMMYFUNCTION("""COMPUTED_VALUE"""),"109*****ljh.tyc.edu.tw")</f>
        <v>109*****ljh.tyc.edu.tw</v>
      </c>
      <c r="E1245" s="17" t="str">
        <f>IFERROR(__xludf.DUMMYFUNCTION("""COMPUTED_VALUE"""),"桃園市立大崙國民中學")</f>
        <v>桃園市立大崙國民中學</v>
      </c>
      <c r="F1245" s="14" t="str">
        <f>IFERROR(__xludf.DUMMYFUNCTION("""COMPUTED_VALUE"""),"九年級")</f>
        <v>九年級</v>
      </c>
      <c r="G1245" s="14" t="str">
        <f>IFERROR(__xludf.DUMMYFUNCTION("""COMPUTED_VALUE"""),"●小禮物")</f>
        <v>●小禮物</v>
      </c>
      <c r="H1245" s="8"/>
    </row>
    <row r="1246">
      <c r="A1246" s="18"/>
      <c r="B1246" s="14">
        <f>IFERROR(__xludf.DUMMYFUNCTION("""COMPUTED_VALUE"""),720574.0)</f>
        <v>720574</v>
      </c>
      <c r="C1246" s="14" t="str">
        <f>IFERROR(__xludf.DUMMYFUNCTION("""COMPUTED_VALUE"""),"黃子齊")</f>
        <v>黃子齊</v>
      </c>
      <c r="D1246" s="16" t="str">
        <f>IFERROR(__xludf.DUMMYFUNCTION("""COMPUTED_VALUE"""),"109*****ljh.tyc.edu.tw")</f>
        <v>109*****ljh.tyc.edu.tw</v>
      </c>
      <c r="E1246" s="17" t="str">
        <f>IFERROR(__xludf.DUMMYFUNCTION("""COMPUTED_VALUE"""),"桃園市立大崙國民中學")</f>
        <v>桃園市立大崙國民中學</v>
      </c>
      <c r="F1246" s="14" t="str">
        <f>IFERROR(__xludf.DUMMYFUNCTION("""COMPUTED_VALUE"""),"九年級")</f>
        <v>九年級</v>
      </c>
      <c r="G1246" s="14" t="str">
        <f>IFERROR(__xludf.DUMMYFUNCTION("""COMPUTED_VALUE"""),"●小禮物")</f>
        <v>●小禮物</v>
      </c>
      <c r="H1246" s="8"/>
    </row>
    <row r="1247">
      <c r="A1247" s="18"/>
      <c r="B1247" s="14">
        <f>IFERROR(__xludf.DUMMYFUNCTION("""COMPUTED_VALUE"""),720589.0)</f>
        <v>720589</v>
      </c>
      <c r="C1247" s="14" t="str">
        <f>IFERROR(__xludf.DUMMYFUNCTION("""COMPUTED_VALUE"""),"楊佩菁")</f>
        <v>楊佩菁</v>
      </c>
      <c r="D1247" s="16" t="str">
        <f>IFERROR(__xludf.DUMMYFUNCTION("""COMPUTED_VALUE"""),"109*****ljh.tyc.edu.tw")</f>
        <v>109*****ljh.tyc.edu.tw</v>
      </c>
      <c r="E1247" s="17" t="str">
        <f>IFERROR(__xludf.DUMMYFUNCTION("""COMPUTED_VALUE"""),"桃園市立大崙國民中學")</f>
        <v>桃園市立大崙國民中學</v>
      </c>
      <c r="F1247" s="14" t="str">
        <f>IFERROR(__xludf.DUMMYFUNCTION("""COMPUTED_VALUE"""),"九年級")</f>
        <v>九年級</v>
      </c>
      <c r="G1247" s="14" t="str">
        <f>IFERROR(__xludf.DUMMYFUNCTION("""COMPUTED_VALUE"""),"●小禮物")</f>
        <v>●小禮物</v>
      </c>
      <c r="H1247" s="8"/>
    </row>
    <row r="1248">
      <c r="A1248" s="18"/>
      <c r="B1248" s="14">
        <f>IFERROR(__xludf.DUMMYFUNCTION("""COMPUTED_VALUE"""),720576.0)</f>
        <v>720576</v>
      </c>
      <c r="C1248" s="14" t="str">
        <f>IFERROR(__xludf.DUMMYFUNCTION("""COMPUTED_VALUE"""),"葉柏毅")</f>
        <v>葉柏毅</v>
      </c>
      <c r="D1248" s="16" t="str">
        <f>IFERROR(__xludf.DUMMYFUNCTION("""COMPUTED_VALUE"""),"109*****ljh.tyc.edu.tw")</f>
        <v>109*****ljh.tyc.edu.tw</v>
      </c>
      <c r="E1248" s="17" t="str">
        <f>IFERROR(__xludf.DUMMYFUNCTION("""COMPUTED_VALUE"""),"桃園市立大崙國民中學")</f>
        <v>桃園市立大崙國民中學</v>
      </c>
      <c r="F1248" s="14" t="str">
        <f>IFERROR(__xludf.DUMMYFUNCTION("""COMPUTED_VALUE"""),"九年級")</f>
        <v>九年級</v>
      </c>
      <c r="G1248" s="14" t="str">
        <f>IFERROR(__xludf.DUMMYFUNCTION("""COMPUTED_VALUE"""),"●小禮物")</f>
        <v>●小禮物</v>
      </c>
      <c r="H1248" s="8"/>
    </row>
    <row r="1249">
      <c r="A1249" s="18"/>
      <c r="B1249" s="14">
        <f>IFERROR(__xludf.DUMMYFUNCTION("""COMPUTED_VALUE"""),720591.0)</f>
        <v>720591</v>
      </c>
      <c r="C1249" s="14" t="str">
        <f>IFERROR(__xludf.DUMMYFUNCTION("""COMPUTED_VALUE"""),"劉芸伊")</f>
        <v>劉芸伊</v>
      </c>
      <c r="D1249" s="16" t="str">
        <f>IFERROR(__xludf.DUMMYFUNCTION("""COMPUTED_VALUE"""),"109*****ljh.tyc.edu.tw")</f>
        <v>109*****ljh.tyc.edu.tw</v>
      </c>
      <c r="E1249" s="17" t="str">
        <f>IFERROR(__xludf.DUMMYFUNCTION("""COMPUTED_VALUE"""),"桃園市立大崙國民中學")</f>
        <v>桃園市立大崙國民中學</v>
      </c>
      <c r="F1249" s="14" t="str">
        <f>IFERROR(__xludf.DUMMYFUNCTION("""COMPUTED_VALUE"""),"九年級")</f>
        <v>九年級</v>
      </c>
      <c r="G1249" s="14" t="str">
        <f>IFERROR(__xludf.DUMMYFUNCTION("""COMPUTED_VALUE"""),"●小禮物")</f>
        <v>●小禮物</v>
      </c>
      <c r="H1249" s="8"/>
    </row>
    <row r="1250">
      <c r="A1250" s="18"/>
      <c r="B1250" s="14">
        <f>IFERROR(__xludf.DUMMYFUNCTION("""COMPUTED_VALUE"""),720579.0)</f>
        <v>720579</v>
      </c>
      <c r="C1250" s="14" t="str">
        <f>IFERROR(__xludf.DUMMYFUNCTION("""COMPUTED_VALUE"""),"蔡宗澔")</f>
        <v>蔡宗澔</v>
      </c>
      <c r="D1250" s="16" t="str">
        <f>IFERROR(__xludf.DUMMYFUNCTION("""COMPUTED_VALUE"""),"109*****ljh.tyc.edu.tw")</f>
        <v>109*****ljh.tyc.edu.tw</v>
      </c>
      <c r="E1250" s="17" t="str">
        <f>IFERROR(__xludf.DUMMYFUNCTION("""COMPUTED_VALUE"""),"桃園市立大崙國民中學")</f>
        <v>桃園市立大崙國民中學</v>
      </c>
      <c r="F1250" s="14" t="str">
        <f>IFERROR(__xludf.DUMMYFUNCTION("""COMPUTED_VALUE"""),"九年級")</f>
        <v>九年級</v>
      </c>
      <c r="G1250" s="14" t="str">
        <f>IFERROR(__xludf.DUMMYFUNCTION("""COMPUTED_VALUE"""),"●小禮物")</f>
        <v>●小禮物</v>
      </c>
      <c r="H1250" s="8"/>
    </row>
    <row r="1251">
      <c r="A1251" s="18"/>
      <c r="B1251" s="14">
        <f>IFERROR(__xludf.DUMMYFUNCTION("""COMPUTED_VALUE"""),720580.0)</f>
        <v>720580</v>
      </c>
      <c r="C1251" s="14" t="str">
        <f>IFERROR(__xludf.DUMMYFUNCTION("""COMPUTED_VALUE"""),"謝秉君")</f>
        <v>謝秉君</v>
      </c>
      <c r="D1251" s="16" t="str">
        <f>IFERROR(__xludf.DUMMYFUNCTION("""COMPUTED_VALUE"""),"109*****ljh.tyc.edu.tw")</f>
        <v>109*****ljh.tyc.edu.tw</v>
      </c>
      <c r="E1251" s="17" t="str">
        <f>IFERROR(__xludf.DUMMYFUNCTION("""COMPUTED_VALUE"""),"桃園市立大崙國民中學")</f>
        <v>桃園市立大崙國民中學</v>
      </c>
      <c r="F1251" s="14" t="str">
        <f>IFERROR(__xludf.DUMMYFUNCTION("""COMPUTED_VALUE"""),"九年級")</f>
        <v>九年級</v>
      </c>
      <c r="G1251" s="14" t="str">
        <f>IFERROR(__xludf.DUMMYFUNCTION("""COMPUTED_VALUE"""),"●小禮物")</f>
        <v>●小禮物</v>
      </c>
      <c r="H1251" s="8"/>
    </row>
    <row r="1252">
      <c r="A1252" s="18"/>
      <c r="B1252" s="14">
        <f>IFERROR(__xludf.DUMMYFUNCTION("""COMPUTED_VALUE"""),720567.0)</f>
        <v>720567</v>
      </c>
      <c r="C1252" s="14" t="str">
        <f>IFERROR(__xludf.DUMMYFUNCTION("""COMPUTED_VALUE"""),"吳樹澄")</f>
        <v>吳樹澄</v>
      </c>
      <c r="D1252" s="16" t="str">
        <f>IFERROR(__xludf.DUMMYFUNCTION("""COMPUTED_VALUE"""),"109*****ljh.tyc.edu.tw")</f>
        <v>109*****ljh.tyc.edu.tw</v>
      </c>
      <c r="E1252" s="17" t="str">
        <f>IFERROR(__xludf.DUMMYFUNCTION("""COMPUTED_VALUE"""),"桃園市立大崙國民中學")</f>
        <v>桃園市立大崙國民中學</v>
      </c>
      <c r="F1252" s="14" t="str">
        <f>IFERROR(__xludf.DUMMYFUNCTION("""COMPUTED_VALUE"""),"九年級")</f>
        <v>九年級</v>
      </c>
      <c r="G1252" s="14" t="str">
        <f>IFERROR(__xludf.DUMMYFUNCTION("""COMPUTED_VALUE"""),"★禮券$1000")</f>
        <v>★禮券$1000</v>
      </c>
      <c r="H1252" s="8"/>
    </row>
    <row r="1253">
      <c r="A1253" s="18"/>
      <c r="B1253" s="14">
        <f>IFERROR(__xludf.DUMMYFUNCTION("""COMPUTED_VALUE"""),720588.0)</f>
        <v>720588</v>
      </c>
      <c r="C1253" s="14" t="str">
        <f>IFERROR(__xludf.DUMMYFUNCTION("""COMPUTED_VALUE"""),"彭舒唯")</f>
        <v>彭舒唯</v>
      </c>
      <c r="D1253" s="16" t="str">
        <f>IFERROR(__xludf.DUMMYFUNCTION("""COMPUTED_VALUE"""),"109*****ljh.tyc.edu.tw")</f>
        <v>109*****ljh.tyc.edu.tw</v>
      </c>
      <c r="E1253" s="17" t="str">
        <f>IFERROR(__xludf.DUMMYFUNCTION("""COMPUTED_VALUE"""),"桃園市立大崙國民中學")</f>
        <v>桃園市立大崙國民中學</v>
      </c>
      <c r="F1253" s="14" t="str">
        <f>IFERROR(__xludf.DUMMYFUNCTION("""COMPUTED_VALUE"""),"九年級")</f>
        <v>九年級</v>
      </c>
      <c r="G1253" s="14" t="str">
        <f>IFERROR(__xludf.DUMMYFUNCTION("""COMPUTED_VALUE"""),"★禮券$200")</f>
        <v>★禮券$200</v>
      </c>
      <c r="H1253" s="8"/>
    </row>
    <row r="1254">
      <c r="A1254" s="18"/>
      <c r="B1254" s="14">
        <f>IFERROR(__xludf.DUMMYFUNCTION("""COMPUTED_VALUE"""),720566.0)</f>
        <v>720566</v>
      </c>
      <c r="C1254" s="14" t="str">
        <f>IFERROR(__xludf.DUMMYFUNCTION("""COMPUTED_VALUE"""),"吳家昇")</f>
        <v>吳家昇</v>
      </c>
      <c r="D1254" s="16" t="str">
        <f>IFERROR(__xludf.DUMMYFUNCTION("""COMPUTED_VALUE"""),"109*****ljh.tyc.edu.tw")</f>
        <v>109*****ljh.tyc.edu.tw</v>
      </c>
      <c r="E1254" s="17" t="str">
        <f>IFERROR(__xludf.DUMMYFUNCTION("""COMPUTED_VALUE"""),"桃園市立大崙國民中學")</f>
        <v>桃園市立大崙國民中學</v>
      </c>
      <c r="F1254" s="14" t="str">
        <f>IFERROR(__xludf.DUMMYFUNCTION("""COMPUTED_VALUE"""),"九年級")</f>
        <v>九年級</v>
      </c>
      <c r="G1254" s="14" t="str">
        <f>IFERROR(__xludf.DUMMYFUNCTION("""COMPUTED_VALUE"""),"獎狀")</f>
        <v>獎狀</v>
      </c>
      <c r="H1254" s="8"/>
    </row>
    <row r="1255">
      <c r="A1255" s="18"/>
      <c r="B1255" s="14">
        <f>IFERROR(__xludf.DUMMYFUNCTION("""COMPUTED_VALUE"""),720584.0)</f>
        <v>720584</v>
      </c>
      <c r="C1255" s="14" t="str">
        <f>IFERROR(__xludf.DUMMYFUNCTION("""COMPUTED_VALUE"""),"邱詩婷")</f>
        <v>邱詩婷</v>
      </c>
      <c r="D1255" s="16" t="str">
        <f>IFERROR(__xludf.DUMMYFUNCTION("""COMPUTED_VALUE"""),"109*****ljh.tyc.edu.tw")</f>
        <v>109*****ljh.tyc.edu.tw</v>
      </c>
      <c r="E1255" s="17" t="str">
        <f>IFERROR(__xludf.DUMMYFUNCTION("""COMPUTED_VALUE"""),"桃園市立大崙國民中學")</f>
        <v>桃園市立大崙國民中學</v>
      </c>
      <c r="F1255" s="14" t="str">
        <f>IFERROR(__xludf.DUMMYFUNCTION("""COMPUTED_VALUE"""),"九年級")</f>
        <v>九年級</v>
      </c>
      <c r="G1255" s="14" t="str">
        <f>IFERROR(__xludf.DUMMYFUNCTION("""COMPUTED_VALUE"""),"獎狀")</f>
        <v>獎狀</v>
      </c>
      <c r="H1255" s="8"/>
    </row>
    <row r="1256">
      <c r="A1256" s="18"/>
      <c r="B1256" s="14">
        <f>IFERROR(__xludf.DUMMYFUNCTION("""COMPUTED_VALUE"""),720586.0)</f>
        <v>720586</v>
      </c>
      <c r="C1256" s="14" t="str">
        <f>IFERROR(__xludf.DUMMYFUNCTION("""COMPUTED_VALUE"""),"張婕薰")</f>
        <v>張婕薰</v>
      </c>
      <c r="D1256" s="16" t="str">
        <f>IFERROR(__xludf.DUMMYFUNCTION("""COMPUTED_VALUE"""),"109*****ljh.tyc.edu.tw")</f>
        <v>109*****ljh.tyc.edu.tw</v>
      </c>
      <c r="E1256" s="17" t="str">
        <f>IFERROR(__xludf.DUMMYFUNCTION("""COMPUTED_VALUE"""),"桃園市立大崙國民中學")</f>
        <v>桃園市立大崙國民中學</v>
      </c>
      <c r="F1256" s="14" t="str">
        <f>IFERROR(__xludf.DUMMYFUNCTION("""COMPUTED_VALUE"""),"九年級")</f>
        <v>九年級</v>
      </c>
      <c r="G1256" s="14" t="str">
        <f>IFERROR(__xludf.DUMMYFUNCTION("""COMPUTED_VALUE"""),"獎狀")</f>
        <v>獎狀</v>
      </c>
      <c r="H1256" s="8"/>
    </row>
    <row r="1257">
      <c r="A1257" s="18"/>
      <c r="B1257" s="14">
        <f>IFERROR(__xludf.DUMMYFUNCTION("""COMPUTED_VALUE"""),720572.0)</f>
        <v>720572</v>
      </c>
      <c r="C1257" s="14" t="str">
        <f>IFERROR(__xludf.DUMMYFUNCTION("""COMPUTED_VALUE"""),"莊英宏")</f>
        <v>莊英宏</v>
      </c>
      <c r="D1257" s="16" t="str">
        <f>IFERROR(__xludf.DUMMYFUNCTION("""COMPUTED_VALUE"""),"109*****ljh.tyc.edu.tw")</f>
        <v>109*****ljh.tyc.edu.tw</v>
      </c>
      <c r="E1257" s="17" t="str">
        <f>IFERROR(__xludf.DUMMYFUNCTION("""COMPUTED_VALUE"""),"桃園市立大崙國民中學")</f>
        <v>桃園市立大崙國民中學</v>
      </c>
      <c r="F1257" s="14" t="str">
        <f>IFERROR(__xludf.DUMMYFUNCTION("""COMPUTED_VALUE"""),"九年級")</f>
        <v>九年級</v>
      </c>
      <c r="G1257" s="14" t="str">
        <f>IFERROR(__xludf.DUMMYFUNCTION("""COMPUTED_VALUE"""),"獎狀")</f>
        <v>獎狀</v>
      </c>
      <c r="H1257" s="8"/>
    </row>
    <row r="1258">
      <c r="A1258" s="18"/>
      <c r="B1258" s="14">
        <f>IFERROR(__xludf.DUMMYFUNCTION("""COMPUTED_VALUE"""),720575.0)</f>
        <v>720575</v>
      </c>
      <c r="C1258" s="14" t="str">
        <f>IFERROR(__xludf.DUMMYFUNCTION("""COMPUTED_VALUE"""),"黃宇辰")</f>
        <v>黃宇辰</v>
      </c>
      <c r="D1258" s="16" t="str">
        <f>IFERROR(__xludf.DUMMYFUNCTION("""COMPUTED_VALUE"""),"109*****ljh.tyc.edu.tw")</f>
        <v>109*****ljh.tyc.edu.tw</v>
      </c>
      <c r="E1258" s="17" t="str">
        <f>IFERROR(__xludf.DUMMYFUNCTION("""COMPUTED_VALUE"""),"桃園市立大崙國民中學")</f>
        <v>桃園市立大崙國民中學</v>
      </c>
      <c r="F1258" s="14" t="str">
        <f>IFERROR(__xludf.DUMMYFUNCTION("""COMPUTED_VALUE"""),"九年級")</f>
        <v>九年級</v>
      </c>
      <c r="G1258" s="14" t="str">
        <f>IFERROR(__xludf.DUMMYFUNCTION("""COMPUTED_VALUE"""),"獎狀")</f>
        <v>獎狀</v>
      </c>
      <c r="H1258" s="8"/>
    </row>
    <row r="1259">
      <c r="A1259" s="18"/>
      <c r="B1259" s="14">
        <f>IFERROR(__xludf.DUMMYFUNCTION("""COMPUTED_VALUE"""),720577.0)</f>
        <v>720577</v>
      </c>
      <c r="C1259" s="14" t="str">
        <f>IFERROR(__xludf.DUMMYFUNCTION("""COMPUTED_VALUE"""),"詹皇恩")</f>
        <v>詹皇恩</v>
      </c>
      <c r="D1259" s="16" t="str">
        <f>IFERROR(__xludf.DUMMYFUNCTION("""COMPUTED_VALUE"""),"109*****ljh.tyc.edu.tw")</f>
        <v>109*****ljh.tyc.edu.tw</v>
      </c>
      <c r="E1259" s="17" t="str">
        <f>IFERROR(__xludf.DUMMYFUNCTION("""COMPUTED_VALUE"""),"桃園市立大崙國民中學")</f>
        <v>桃園市立大崙國民中學</v>
      </c>
      <c r="F1259" s="14" t="str">
        <f>IFERROR(__xludf.DUMMYFUNCTION("""COMPUTED_VALUE"""),"九年級")</f>
        <v>九年級</v>
      </c>
      <c r="G1259" s="14" t="str">
        <f>IFERROR(__xludf.DUMMYFUNCTION("""COMPUTED_VALUE"""),"獎狀")</f>
        <v>獎狀</v>
      </c>
      <c r="H1259" s="8"/>
    </row>
    <row r="1260">
      <c r="A1260" s="18"/>
      <c r="B1260" s="14">
        <f>IFERROR(__xludf.DUMMYFUNCTION("""COMPUTED_VALUE"""),720578.0)</f>
        <v>720578</v>
      </c>
      <c r="C1260" s="14" t="str">
        <f>IFERROR(__xludf.DUMMYFUNCTION("""COMPUTED_VALUE"""),"劉冠倫")</f>
        <v>劉冠倫</v>
      </c>
      <c r="D1260" s="16" t="str">
        <f>IFERROR(__xludf.DUMMYFUNCTION("""COMPUTED_VALUE"""),"109*****ljh.tyc.edu.tw")</f>
        <v>109*****ljh.tyc.edu.tw</v>
      </c>
      <c r="E1260" s="17" t="str">
        <f>IFERROR(__xludf.DUMMYFUNCTION("""COMPUTED_VALUE"""),"桃園市立大崙國民中學")</f>
        <v>桃園市立大崙國民中學</v>
      </c>
      <c r="F1260" s="14" t="str">
        <f>IFERROR(__xludf.DUMMYFUNCTION("""COMPUTED_VALUE"""),"九年級")</f>
        <v>九年級</v>
      </c>
      <c r="G1260" s="14" t="str">
        <f>IFERROR(__xludf.DUMMYFUNCTION("""COMPUTED_VALUE"""),"獎狀")</f>
        <v>獎狀</v>
      </c>
      <c r="H1260" s="8"/>
    </row>
    <row r="1261">
      <c r="A1261" s="18"/>
      <c r="B1261" s="14">
        <f>IFERROR(__xludf.DUMMYFUNCTION("""COMPUTED_VALUE"""),720592.0)</f>
        <v>720592</v>
      </c>
      <c r="C1261" s="14" t="str">
        <f>IFERROR(__xludf.DUMMYFUNCTION("""COMPUTED_VALUE"""),"謝語喬")</f>
        <v>謝語喬</v>
      </c>
      <c r="D1261" s="16" t="str">
        <f>IFERROR(__xludf.DUMMYFUNCTION("""COMPUTED_VALUE"""),"109*****ljh.tyc.edu.tw")</f>
        <v>109*****ljh.tyc.edu.tw</v>
      </c>
      <c r="E1261" s="17" t="str">
        <f>IFERROR(__xludf.DUMMYFUNCTION("""COMPUTED_VALUE"""),"桃園市立大崙國民中學")</f>
        <v>桃園市立大崙國民中學</v>
      </c>
      <c r="F1261" s="14" t="str">
        <f>IFERROR(__xludf.DUMMYFUNCTION("""COMPUTED_VALUE"""),"九年級")</f>
        <v>九年級</v>
      </c>
      <c r="G1261" s="14" t="str">
        <f>IFERROR(__xludf.DUMMYFUNCTION("""COMPUTED_VALUE"""),"獎狀")</f>
        <v>獎狀</v>
      </c>
      <c r="H1261" s="8"/>
    </row>
    <row r="1262">
      <c r="A1262" s="18"/>
      <c r="B1262" s="14">
        <f>IFERROR(__xludf.DUMMYFUNCTION("""COMPUTED_VALUE"""),720626.0)</f>
        <v>720626</v>
      </c>
      <c r="C1262" s="14" t="str">
        <f>IFERROR(__xludf.DUMMYFUNCTION("""COMPUTED_VALUE"""),"江烽帆")</f>
        <v>江烽帆</v>
      </c>
      <c r="D1262" s="16" t="str">
        <f>IFERROR(__xludf.DUMMYFUNCTION("""COMPUTED_VALUE"""),"109*****ljh.tyc.edu.tw")</f>
        <v>109*****ljh.tyc.edu.tw</v>
      </c>
      <c r="E1262" s="17" t="str">
        <f>IFERROR(__xludf.DUMMYFUNCTION("""COMPUTED_VALUE"""),"桃園市立大崙國民中學")</f>
        <v>桃園市立大崙國民中學</v>
      </c>
      <c r="F1262" s="14" t="str">
        <f>IFERROR(__xludf.DUMMYFUNCTION("""COMPUTED_VALUE"""),"九年級")</f>
        <v>九年級</v>
      </c>
      <c r="G1262" s="14" t="str">
        <f>IFERROR(__xludf.DUMMYFUNCTION("""COMPUTED_VALUE"""),"●小禮物")</f>
        <v>●小禮物</v>
      </c>
      <c r="H1262" s="8"/>
    </row>
    <row r="1263">
      <c r="A1263" s="18"/>
      <c r="B1263" s="14">
        <f>IFERROR(__xludf.DUMMYFUNCTION("""COMPUTED_VALUE"""),720640.0)</f>
        <v>720640</v>
      </c>
      <c r="C1263" s="14" t="str">
        <f>IFERROR(__xludf.DUMMYFUNCTION("""COMPUTED_VALUE"""),"江謝家均")</f>
        <v>江謝家均</v>
      </c>
      <c r="D1263" s="16" t="str">
        <f>IFERROR(__xludf.DUMMYFUNCTION("""COMPUTED_VALUE"""),"109*****ljh.tyc.edu.tw")</f>
        <v>109*****ljh.tyc.edu.tw</v>
      </c>
      <c r="E1263" s="17" t="str">
        <f>IFERROR(__xludf.DUMMYFUNCTION("""COMPUTED_VALUE"""),"桃園市立大崙國民中學")</f>
        <v>桃園市立大崙國民中學</v>
      </c>
      <c r="F1263" s="14" t="str">
        <f>IFERROR(__xludf.DUMMYFUNCTION("""COMPUTED_VALUE"""),"九年級")</f>
        <v>九年級</v>
      </c>
      <c r="G1263" s="14" t="str">
        <f>IFERROR(__xludf.DUMMYFUNCTION("""COMPUTED_VALUE"""),"●小禮物")</f>
        <v>●小禮物</v>
      </c>
      <c r="H1263" s="8"/>
    </row>
    <row r="1264">
      <c r="A1264" s="18"/>
      <c r="B1264" s="14">
        <f>IFERROR(__xludf.DUMMYFUNCTION("""COMPUTED_VALUE"""),720641.0)</f>
        <v>720641</v>
      </c>
      <c r="C1264" s="14" t="str">
        <f>IFERROR(__xludf.DUMMYFUNCTION("""COMPUTED_VALUE"""),"吳可婕")</f>
        <v>吳可婕</v>
      </c>
      <c r="D1264" s="16" t="str">
        <f>IFERROR(__xludf.DUMMYFUNCTION("""COMPUTED_VALUE"""),"109*****ljh.tyc.edu.tw")</f>
        <v>109*****ljh.tyc.edu.tw</v>
      </c>
      <c r="E1264" s="17" t="str">
        <f>IFERROR(__xludf.DUMMYFUNCTION("""COMPUTED_VALUE"""),"桃園市立大崙國民中學")</f>
        <v>桃園市立大崙國民中學</v>
      </c>
      <c r="F1264" s="14" t="str">
        <f>IFERROR(__xludf.DUMMYFUNCTION("""COMPUTED_VALUE"""),"九年級")</f>
        <v>九年級</v>
      </c>
      <c r="G1264" s="14" t="str">
        <f>IFERROR(__xludf.DUMMYFUNCTION("""COMPUTED_VALUE"""),"●小禮物")</f>
        <v>●小禮物</v>
      </c>
      <c r="H1264" s="8"/>
    </row>
    <row r="1265">
      <c r="A1265" s="18"/>
      <c r="B1265" s="14">
        <f>IFERROR(__xludf.DUMMYFUNCTION("""COMPUTED_VALUE"""),720627.0)</f>
        <v>720627</v>
      </c>
      <c r="C1265" s="14" t="str">
        <f>IFERROR(__xludf.DUMMYFUNCTION("""COMPUTED_VALUE"""),"吳立暘")</f>
        <v>吳立暘</v>
      </c>
      <c r="D1265" s="16" t="str">
        <f>IFERROR(__xludf.DUMMYFUNCTION("""COMPUTED_VALUE"""),"109*****ljh.tyc.edu.tw")</f>
        <v>109*****ljh.tyc.edu.tw</v>
      </c>
      <c r="E1265" s="17" t="str">
        <f>IFERROR(__xludf.DUMMYFUNCTION("""COMPUTED_VALUE"""),"桃園市立大崙國民中學")</f>
        <v>桃園市立大崙國民中學</v>
      </c>
      <c r="F1265" s="14" t="str">
        <f>IFERROR(__xludf.DUMMYFUNCTION("""COMPUTED_VALUE"""),"九年級")</f>
        <v>九年級</v>
      </c>
      <c r="G1265" s="14" t="str">
        <f>IFERROR(__xludf.DUMMYFUNCTION("""COMPUTED_VALUE"""),"●小禮物")</f>
        <v>●小禮物</v>
      </c>
      <c r="H1265" s="8"/>
    </row>
    <row r="1266">
      <c r="A1266" s="18"/>
      <c r="B1266" s="14">
        <f>IFERROR(__xludf.DUMMYFUNCTION("""COMPUTED_VALUE"""),720644.0)</f>
        <v>720644</v>
      </c>
      <c r="C1266" s="14" t="str">
        <f>IFERROR(__xludf.DUMMYFUNCTION("""COMPUTED_VALUE"""),"張梓瑜")</f>
        <v>張梓瑜</v>
      </c>
      <c r="D1266" s="16" t="str">
        <f>IFERROR(__xludf.DUMMYFUNCTION("""COMPUTED_VALUE"""),"109*****ljh.tyc.edu.tw")</f>
        <v>109*****ljh.tyc.edu.tw</v>
      </c>
      <c r="E1266" s="17" t="str">
        <f>IFERROR(__xludf.DUMMYFUNCTION("""COMPUTED_VALUE"""),"桃園市立大崙國民中學")</f>
        <v>桃園市立大崙國民中學</v>
      </c>
      <c r="F1266" s="14" t="str">
        <f>IFERROR(__xludf.DUMMYFUNCTION("""COMPUTED_VALUE"""),"九年級")</f>
        <v>九年級</v>
      </c>
      <c r="G1266" s="14" t="str">
        <f>IFERROR(__xludf.DUMMYFUNCTION("""COMPUTED_VALUE"""),"●小禮物")</f>
        <v>●小禮物</v>
      </c>
      <c r="H1266" s="8"/>
    </row>
    <row r="1267">
      <c r="A1267" s="18"/>
      <c r="B1267" s="14">
        <f>IFERROR(__xludf.DUMMYFUNCTION("""COMPUTED_VALUE"""),720632.0)</f>
        <v>720632</v>
      </c>
      <c r="C1267" s="14" t="str">
        <f>IFERROR(__xludf.DUMMYFUNCTION("""COMPUTED_VALUE"""),"張博智")</f>
        <v>張博智</v>
      </c>
      <c r="D1267" s="16" t="str">
        <f>IFERROR(__xludf.DUMMYFUNCTION("""COMPUTED_VALUE"""),"109*****ljh.tyc.edu.tw")</f>
        <v>109*****ljh.tyc.edu.tw</v>
      </c>
      <c r="E1267" s="17" t="str">
        <f>IFERROR(__xludf.DUMMYFUNCTION("""COMPUTED_VALUE"""),"桃園市立大崙國民中學")</f>
        <v>桃園市立大崙國民中學</v>
      </c>
      <c r="F1267" s="14" t="str">
        <f>IFERROR(__xludf.DUMMYFUNCTION("""COMPUTED_VALUE"""),"九年級")</f>
        <v>九年級</v>
      </c>
      <c r="G1267" s="14" t="str">
        <f>IFERROR(__xludf.DUMMYFUNCTION("""COMPUTED_VALUE"""),"●小禮物")</f>
        <v>●小禮物</v>
      </c>
      <c r="H1267" s="8"/>
    </row>
    <row r="1268">
      <c r="A1268" s="18"/>
      <c r="B1268" s="14">
        <f>IFERROR(__xludf.DUMMYFUNCTION("""COMPUTED_VALUE"""),720634.0)</f>
        <v>720634</v>
      </c>
      <c r="C1268" s="14" t="str">
        <f>IFERROR(__xludf.DUMMYFUNCTION("""COMPUTED_VALUE"""),"郭誠傑")</f>
        <v>郭誠傑</v>
      </c>
      <c r="D1268" s="16" t="str">
        <f>IFERROR(__xludf.DUMMYFUNCTION("""COMPUTED_VALUE"""),"109*****ljh.tyc.edu.tw")</f>
        <v>109*****ljh.tyc.edu.tw</v>
      </c>
      <c r="E1268" s="17" t="str">
        <f>IFERROR(__xludf.DUMMYFUNCTION("""COMPUTED_VALUE"""),"桃園市立大崙國民中學")</f>
        <v>桃園市立大崙國民中學</v>
      </c>
      <c r="F1268" s="14" t="str">
        <f>IFERROR(__xludf.DUMMYFUNCTION("""COMPUTED_VALUE"""),"九年級")</f>
        <v>九年級</v>
      </c>
      <c r="G1268" s="14" t="str">
        <f>IFERROR(__xludf.DUMMYFUNCTION("""COMPUTED_VALUE"""),"●小禮物")</f>
        <v>●小禮物</v>
      </c>
      <c r="H1268" s="8"/>
    </row>
    <row r="1269">
      <c r="A1269" s="18"/>
      <c r="B1269" s="14">
        <f>IFERROR(__xludf.DUMMYFUNCTION("""COMPUTED_VALUE"""),720636.0)</f>
        <v>720636</v>
      </c>
      <c r="C1269" s="14" t="str">
        <f>IFERROR(__xludf.DUMMYFUNCTION("""COMPUTED_VALUE"""),"黃敬源")</f>
        <v>黃敬源</v>
      </c>
      <c r="D1269" s="16" t="str">
        <f>IFERROR(__xludf.DUMMYFUNCTION("""COMPUTED_VALUE"""),"109*****ljh.tyc.edu.tw")</f>
        <v>109*****ljh.tyc.edu.tw</v>
      </c>
      <c r="E1269" s="17" t="str">
        <f>IFERROR(__xludf.DUMMYFUNCTION("""COMPUTED_VALUE"""),"桃園市立大崙國民中學")</f>
        <v>桃園市立大崙國民中學</v>
      </c>
      <c r="F1269" s="14" t="str">
        <f>IFERROR(__xludf.DUMMYFUNCTION("""COMPUTED_VALUE"""),"九年級")</f>
        <v>九年級</v>
      </c>
      <c r="G1269" s="14" t="str">
        <f>IFERROR(__xludf.DUMMYFUNCTION("""COMPUTED_VALUE"""),"●小禮物")</f>
        <v>●小禮物</v>
      </c>
      <c r="H1269" s="8"/>
    </row>
    <row r="1270">
      <c r="A1270" s="18"/>
      <c r="B1270" s="14">
        <f>IFERROR(__xludf.DUMMYFUNCTION("""COMPUTED_VALUE"""),720647.0)</f>
        <v>720647</v>
      </c>
      <c r="C1270" s="14" t="str">
        <f>IFERROR(__xludf.DUMMYFUNCTION("""COMPUTED_VALUE"""),"詹梓伶")</f>
        <v>詹梓伶</v>
      </c>
      <c r="D1270" s="16" t="str">
        <f>IFERROR(__xludf.DUMMYFUNCTION("""COMPUTED_VALUE"""),"109*****ljh.tyc.edu.tw")</f>
        <v>109*****ljh.tyc.edu.tw</v>
      </c>
      <c r="E1270" s="17" t="str">
        <f>IFERROR(__xludf.DUMMYFUNCTION("""COMPUTED_VALUE"""),"桃園市立大崙國民中學")</f>
        <v>桃園市立大崙國民中學</v>
      </c>
      <c r="F1270" s="14" t="str">
        <f>IFERROR(__xludf.DUMMYFUNCTION("""COMPUTED_VALUE"""),"九年級")</f>
        <v>九年級</v>
      </c>
      <c r="G1270" s="14" t="str">
        <f>IFERROR(__xludf.DUMMYFUNCTION("""COMPUTED_VALUE"""),"●小禮物")</f>
        <v>●小禮物</v>
      </c>
      <c r="H1270" s="8"/>
    </row>
    <row r="1271">
      <c r="A1271" s="18"/>
      <c r="B1271" s="14">
        <f>IFERROR(__xludf.DUMMYFUNCTION("""COMPUTED_VALUE"""),720648.0)</f>
        <v>720648</v>
      </c>
      <c r="C1271" s="14" t="str">
        <f>IFERROR(__xludf.DUMMYFUNCTION("""COMPUTED_VALUE"""),"劉羿霈")</f>
        <v>劉羿霈</v>
      </c>
      <c r="D1271" s="16" t="str">
        <f>IFERROR(__xludf.DUMMYFUNCTION("""COMPUTED_VALUE"""),"109*****ljh.tyc.edu.tw")</f>
        <v>109*****ljh.tyc.edu.tw</v>
      </c>
      <c r="E1271" s="17" t="str">
        <f>IFERROR(__xludf.DUMMYFUNCTION("""COMPUTED_VALUE"""),"桃園市立大崙國民中學")</f>
        <v>桃園市立大崙國民中學</v>
      </c>
      <c r="F1271" s="14" t="str">
        <f>IFERROR(__xludf.DUMMYFUNCTION("""COMPUTED_VALUE"""),"九年級")</f>
        <v>九年級</v>
      </c>
      <c r="G1271" s="14" t="str">
        <f>IFERROR(__xludf.DUMMYFUNCTION("""COMPUTED_VALUE"""),"●小禮物")</f>
        <v>●小禮物</v>
      </c>
      <c r="H1271" s="8"/>
    </row>
    <row r="1272">
      <c r="A1272" s="18"/>
      <c r="B1272" s="14">
        <f>IFERROR(__xludf.DUMMYFUNCTION("""COMPUTED_VALUE"""),720635.0)</f>
        <v>720635</v>
      </c>
      <c r="C1272" s="14" t="str">
        <f>IFERROR(__xludf.DUMMYFUNCTION("""COMPUTED_VALUE"""),"黃斌權")</f>
        <v>黃斌權</v>
      </c>
      <c r="D1272" s="16" t="str">
        <f>IFERROR(__xludf.DUMMYFUNCTION("""COMPUTED_VALUE"""),"109*****ljh.tyc.edu.tw")</f>
        <v>109*****ljh.tyc.edu.tw</v>
      </c>
      <c r="E1272" s="17" t="str">
        <f>IFERROR(__xludf.DUMMYFUNCTION("""COMPUTED_VALUE"""),"桃園市立大崙國民中學")</f>
        <v>桃園市立大崙國民中學</v>
      </c>
      <c r="F1272" s="14" t="str">
        <f>IFERROR(__xludf.DUMMYFUNCTION("""COMPUTED_VALUE"""),"九年級")</f>
        <v>九年級</v>
      </c>
      <c r="G1272" s="14" t="str">
        <f>IFERROR(__xludf.DUMMYFUNCTION("""COMPUTED_VALUE"""),"★禮券$1000")</f>
        <v>★禮券$1000</v>
      </c>
      <c r="H1272" s="8"/>
    </row>
    <row r="1273">
      <c r="A1273" s="18"/>
      <c r="B1273" s="14">
        <f>IFERROR(__xludf.DUMMYFUNCTION("""COMPUTED_VALUE"""),720624.0)</f>
        <v>720624</v>
      </c>
      <c r="C1273" s="14" t="str">
        <f>IFERROR(__xludf.DUMMYFUNCTION("""COMPUTED_VALUE"""),"王冠翔")</f>
        <v>王冠翔</v>
      </c>
      <c r="D1273" s="16" t="str">
        <f>IFERROR(__xludf.DUMMYFUNCTION("""COMPUTED_VALUE"""),"109*****ljh.tyc.edu.tw")</f>
        <v>109*****ljh.tyc.edu.tw</v>
      </c>
      <c r="E1273" s="17" t="str">
        <f>IFERROR(__xludf.DUMMYFUNCTION("""COMPUTED_VALUE"""),"桃園市立大崙國民中學")</f>
        <v>桃園市立大崙國民中學</v>
      </c>
      <c r="F1273" s="14" t="str">
        <f>IFERROR(__xludf.DUMMYFUNCTION("""COMPUTED_VALUE"""),"九年級")</f>
        <v>九年級</v>
      </c>
      <c r="G1273" s="14" t="str">
        <f>IFERROR(__xludf.DUMMYFUNCTION("""COMPUTED_VALUE"""),"獎狀")</f>
        <v>獎狀</v>
      </c>
      <c r="H1273" s="8"/>
    </row>
    <row r="1274">
      <c r="A1274" s="18"/>
      <c r="B1274" s="14">
        <f>IFERROR(__xludf.DUMMYFUNCTION("""COMPUTED_VALUE"""),720642.0)</f>
        <v>720642</v>
      </c>
      <c r="C1274" s="14" t="str">
        <f>IFERROR(__xludf.DUMMYFUNCTION("""COMPUTED_VALUE"""),"李于欣")</f>
        <v>李于欣</v>
      </c>
      <c r="D1274" s="16" t="str">
        <f>IFERROR(__xludf.DUMMYFUNCTION("""COMPUTED_VALUE"""),"109*****ljh.tyc.edu.tw")</f>
        <v>109*****ljh.tyc.edu.tw</v>
      </c>
      <c r="E1274" s="17" t="str">
        <f>IFERROR(__xludf.DUMMYFUNCTION("""COMPUTED_VALUE"""),"桃園市立大崙國民中學")</f>
        <v>桃園市立大崙國民中學</v>
      </c>
      <c r="F1274" s="14" t="str">
        <f>IFERROR(__xludf.DUMMYFUNCTION("""COMPUTED_VALUE"""),"九年級")</f>
        <v>九年級</v>
      </c>
      <c r="G1274" s="14" t="str">
        <f>IFERROR(__xludf.DUMMYFUNCTION("""COMPUTED_VALUE"""),"獎狀")</f>
        <v>獎狀</v>
      </c>
      <c r="H1274" s="8"/>
    </row>
    <row r="1275">
      <c r="A1275" s="18"/>
      <c r="B1275" s="14">
        <f>IFERROR(__xludf.DUMMYFUNCTION("""COMPUTED_VALUE"""),720643.0)</f>
        <v>720643</v>
      </c>
      <c r="C1275" s="14" t="str">
        <f>IFERROR(__xludf.DUMMYFUNCTION("""COMPUTED_VALUE"""),"林彤恩")</f>
        <v>林彤恩</v>
      </c>
      <c r="D1275" s="16" t="str">
        <f>IFERROR(__xludf.DUMMYFUNCTION("""COMPUTED_VALUE"""),"109*****ljh.tyc.edu.tw")</f>
        <v>109*****ljh.tyc.edu.tw</v>
      </c>
      <c r="E1275" s="17" t="str">
        <f>IFERROR(__xludf.DUMMYFUNCTION("""COMPUTED_VALUE"""),"桃園市立大崙國民中學")</f>
        <v>桃園市立大崙國民中學</v>
      </c>
      <c r="F1275" s="14" t="str">
        <f>IFERROR(__xludf.DUMMYFUNCTION("""COMPUTED_VALUE"""),"九年級")</f>
        <v>九年級</v>
      </c>
      <c r="G1275" s="14" t="str">
        <f>IFERROR(__xludf.DUMMYFUNCTION("""COMPUTED_VALUE"""),"獎狀")</f>
        <v>獎狀</v>
      </c>
      <c r="H1275" s="8"/>
    </row>
    <row r="1276">
      <c r="A1276" s="18"/>
      <c r="B1276" s="14">
        <f>IFERROR(__xludf.DUMMYFUNCTION("""COMPUTED_VALUE"""),720629.0)</f>
        <v>720629</v>
      </c>
      <c r="C1276" s="14" t="str">
        <f>IFERROR(__xludf.DUMMYFUNCTION("""COMPUTED_VALUE"""),"林鈞正")</f>
        <v>林鈞正</v>
      </c>
      <c r="D1276" s="16" t="str">
        <f>IFERROR(__xludf.DUMMYFUNCTION("""COMPUTED_VALUE"""),"109*****ljh.tyc.edu.tw")</f>
        <v>109*****ljh.tyc.edu.tw</v>
      </c>
      <c r="E1276" s="17" t="str">
        <f>IFERROR(__xludf.DUMMYFUNCTION("""COMPUTED_VALUE"""),"桃園市立大崙國民中學")</f>
        <v>桃園市立大崙國民中學</v>
      </c>
      <c r="F1276" s="14" t="str">
        <f>IFERROR(__xludf.DUMMYFUNCTION("""COMPUTED_VALUE"""),"九年級")</f>
        <v>九年級</v>
      </c>
      <c r="G1276" s="14" t="str">
        <f>IFERROR(__xludf.DUMMYFUNCTION("""COMPUTED_VALUE"""),"獎狀")</f>
        <v>獎狀</v>
      </c>
      <c r="H1276" s="8"/>
    </row>
    <row r="1277">
      <c r="A1277" s="18"/>
      <c r="B1277" s="14">
        <f>IFERROR(__xludf.DUMMYFUNCTION("""COMPUTED_VALUE"""),720630.0)</f>
        <v>720630</v>
      </c>
      <c r="C1277" s="14" t="str">
        <f>IFERROR(__xludf.DUMMYFUNCTION("""COMPUTED_VALUE"""),"邱博宇")</f>
        <v>邱博宇</v>
      </c>
      <c r="D1277" s="16" t="str">
        <f>IFERROR(__xludf.DUMMYFUNCTION("""COMPUTED_VALUE"""),"109*****ljh.tyc.edu.tw")</f>
        <v>109*****ljh.tyc.edu.tw</v>
      </c>
      <c r="E1277" s="17" t="str">
        <f>IFERROR(__xludf.DUMMYFUNCTION("""COMPUTED_VALUE"""),"桃園市立大崙國民中學")</f>
        <v>桃園市立大崙國民中學</v>
      </c>
      <c r="F1277" s="14" t="str">
        <f>IFERROR(__xludf.DUMMYFUNCTION("""COMPUTED_VALUE"""),"九年級")</f>
        <v>九年級</v>
      </c>
      <c r="G1277" s="14" t="str">
        <f>IFERROR(__xludf.DUMMYFUNCTION("""COMPUTED_VALUE"""),"獎狀")</f>
        <v>獎狀</v>
      </c>
      <c r="H1277" s="8"/>
    </row>
    <row r="1278">
      <c r="A1278" s="18"/>
      <c r="B1278" s="14">
        <f>IFERROR(__xludf.DUMMYFUNCTION("""COMPUTED_VALUE"""),720631.0)</f>
        <v>720631</v>
      </c>
      <c r="C1278" s="14" t="str">
        <f>IFERROR(__xludf.DUMMYFUNCTION("""COMPUTED_VALUE"""),"張兆崴")</f>
        <v>張兆崴</v>
      </c>
      <c r="D1278" s="16" t="str">
        <f>IFERROR(__xludf.DUMMYFUNCTION("""COMPUTED_VALUE"""),"109*****ljh.tyc.edu.tw")</f>
        <v>109*****ljh.tyc.edu.tw</v>
      </c>
      <c r="E1278" s="17" t="str">
        <f>IFERROR(__xludf.DUMMYFUNCTION("""COMPUTED_VALUE"""),"桃園市立大崙國民中學")</f>
        <v>桃園市立大崙國民中學</v>
      </c>
      <c r="F1278" s="14" t="str">
        <f>IFERROR(__xludf.DUMMYFUNCTION("""COMPUTED_VALUE"""),"九年級")</f>
        <v>九年級</v>
      </c>
      <c r="G1278" s="14" t="str">
        <f>IFERROR(__xludf.DUMMYFUNCTION("""COMPUTED_VALUE"""),"獎狀")</f>
        <v>獎狀</v>
      </c>
      <c r="H1278" s="8"/>
    </row>
    <row r="1279">
      <c r="A1279" s="18"/>
      <c r="B1279" s="14">
        <f>IFERROR(__xludf.DUMMYFUNCTION("""COMPUTED_VALUE"""),720645.0)</f>
        <v>720645</v>
      </c>
      <c r="C1279" s="14" t="str">
        <f>IFERROR(__xludf.DUMMYFUNCTION("""COMPUTED_VALUE"""),"黃昱晨")</f>
        <v>黃昱晨</v>
      </c>
      <c r="D1279" s="16" t="str">
        <f>IFERROR(__xludf.DUMMYFUNCTION("""COMPUTED_VALUE"""),"109*****ljh.tyc.edu.tw")</f>
        <v>109*****ljh.tyc.edu.tw</v>
      </c>
      <c r="E1279" s="17" t="str">
        <f>IFERROR(__xludf.DUMMYFUNCTION("""COMPUTED_VALUE"""),"桃園市立大崙國民中學")</f>
        <v>桃園市立大崙國民中學</v>
      </c>
      <c r="F1279" s="14" t="str">
        <f>IFERROR(__xludf.DUMMYFUNCTION("""COMPUTED_VALUE"""),"九年級")</f>
        <v>九年級</v>
      </c>
      <c r="G1279" s="14" t="str">
        <f>IFERROR(__xludf.DUMMYFUNCTION("""COMPUTED_VALUE"""),"獎狀")</f>
        <v>獎狀</v>
      </c>
      <c r="H1279" s="8"/>
    </row>
    <row r="1280">
      <c r="A1280" s="18"/>
      <c r="B1280" s="14">
        <f>IFERROR(__xludf.DUMMYFUNCTION("""COMPUTED_VALUE"""),720646.0)</f>
        <v>720646</v>
      </c>
      <c r="C1280" s="14" t="str">
        <f>IFERROR(__xludf.DUMMYFUNCTION("""COMPUTED_VALUE"""),"黃園貽")</f>
        <v>黃園貽</v>
      </c>
      <c r="D1280" s="16" t="str">
        <f>IFERROR(__xludf.DUMMYFUNCTION("""COMPUTED_VALUE"""),"109*****ljh.tyc.edu.tw")</f>
        <v>109*****ljh.tyc.edu.tw</v>
      </c>
      <c r="E1280" s="17" t="str">
        <f>IFERROR(__xludf.DUMMYFUNCTION("""COMPUTED_VALUE"""),"桃園市立大崙國民中學")</f>
        <v>桃園市立大崙國民中學</v>
      </c>
      <c r="F1280" s="14" t="str">
        <f>IFERROR(__xludf.DUMMYFUNCTION("""COMPUTED_VALUE"""),"九年級")</f>
        <v>九年級</v>
      </c>
      <c r="G1280" s="14" t="str">
        <f>IFERROR(__xludf.DUMMYFUNCTION("""COMPUTED_VALUE"""),"獎狀")</f>
        <v>獎狀</v>
      </c>
      <c r="H1280" s="8"/>
    </row>
    <row r="1281">
      <c r="A1281" s="18"/>
      <c r="B1281" s="14">
        <f>IFERROR(__xludf.DUMMYFUNCTION("""COMPUTED_VALUE"""),720637.0)</f>
        <v>720637</v>
      </c>
      <c r="C1281" s="14" t="str">
        <f>IFERROR(__xludf.DUMMYFUNCTION("""COMPUTED_VALUE"""),"蔡世浚")</f>
        <v>蔡世浚</v>
      </c>
      <c r="D1281" s="16" t="str">
        <f>IFERROR(__xludf.DUMMYFUNCTION("""COMPUTED_VALUE"""),"109*****ljh.tyc.edu.tw")</f>
        <v>109*****ljh.tyc.edu.tw</v>
      </c>
      <c r="E1281" s="17" t="str">
        <f>IFERROR(__xludf.DUMMYFUNCTION("""COMPUTED_VALUE"""),"桃園市立大崙國民中學")</f>
        <v>桃園市立大崙國民中學</v>
      </c>
      <c r="F1281" s="14" t="str">
        <f>IFERROR(__xludf.DUMMYFUNCTION("""COMPUTED_VALUE"""),"九年級")</f>
        <v>九年級</v>
      </c>
      <c r="G1281" s="14" t="str">
        <f>IFERROR(__xludf.DUMMYFUNCTION("""COMPUTED_VALUE"""),"獎狀")</f>
        <v>獎狀</v>
      </c>
      <c r="H1281" s="8"/>
    </row>
    <row r="1282">
      <c r="A1282" s="18"/>
      <c r="B1282" s="14">
        <f>IFERROR(__xludf.DUMMYFUNCTION("""COMPUTED_VALUE"""),720638.0)</f>
        <v>720638</v>
      </c>
      <c r="C1282" s="14" t="str">
        <f>IFERROR(__xludf.DUMMYFUNCTION("""COMPUTED_VALUE"""),"賴冠諭")</f>
        <v>賴冠諭</v>
      </c>
      <c r="D1282" s="16" t="str">
        <f>IFERROR(__xludf.DUMMYFUNCTION("""COMPUTED_VALUE"""),"109*****ljh.tyc.edu.tw")</f>
        <v>109*****ljh.tyc.edu.tw</v>
      </c>
      <c r="E1282" s="17" t="str">
        <f>IFERROR(__xludf.DUMMYFUNCTION("""COMPUTED_VALUE"""),"桃園市立大崙國民中學")</f>
        <v>桃園市立大崙國民中學</v>
      </c>
      <c r="F1282" s="14" t="str">
        <f>IFERROR(__xludf.DUMMYFUNCTION("""COMPUTED_VALUE"""),"九年級")</f>
        <v>九年級</v>
      </c>
      <c r="G1282" s="14" t="str">
        <f>IFERROR(__xludf.DUMMYFUNCTION("""COMPUTED_VALUE"""),"獎狀")</f>
        <v>獎狀</v>
      </c>
      <c r="H1282" s="8"/>
    </row>
    <row r="1283">
      <c r="A1283" s="18"/>
      <c r="B1283" s="14">
        <f>IFERROR(__xludf.DUMMYFUNCTION("""COMPUTED_VALUE"""),720649.0)</f>
        <v>720649</v>
      </c>
      <c r="C1283" s="14" t="str">
        <f>IFERROR(__xludf.DUMMYFUNCTION("""COMPUTED_VALUE"""),"鍾沛盈")</f>
        <v>鍾沛盈</v>
      </c>
      <c r="D1283" s="16" t="str">
        <f>IFERROR(__xludf.DUMMYFUNCTION("""COMPUTED_VALUE"""),"109*****ljh.tyc.edu.tw")</f>
        <v>109*****ljh.tyc.edu.tw</v>
      </c>
      <c r="E1283" s="17" t="str">
        <f>IFERROR(__xludf.DUMMYFUNCTION("""COMPUTED_VALUE"""),"桃園市立大崙國民中學")</f>
        <v>桃園市立大崙國民中學</v>
      </c>
      <c r="F1283" s="14" t="str">
        <f>IFERROR(__xludf.DUMMYFUNCTION("""COMPUTED_VALUE"""),"九年級")</f>
        <v>九年級</v>
      </c>
      <c r="G1283" s="14" t="str">
        <f>IFERROR(__xludf.DUMMYFUNCTION("""COMPUTED_VALUE"""),"獎狀")</f>
        <v>獎狀</v>
      </c>
      <c r="H1283" s="8"/>
    </row>
    <row r="1284">
      <c r="A1284" s="18"/>
      <c r="B1284" s="14">
        <f>IFERROR(__xludf.DUMMYFUNCTION("""COMPUTED_VALUE"""),720650.0)</f>
        <v>720650</v>
      </c>
      <c r="C1284" s="14" t="str">
        <f>IFERROR(__xludf.DUMMYFUNCTION("""COMPUTED_VALUE"""),"蘇禹馨")</f>
        <v>蘇禹馨</v>
      </c>
      <c r="D1284" s="16" t="str">
        <f>IFERROR(__xludf.DUMMYFUNCTION("""COMPUTED_VALUE"""),"109*****ljh.tyc.edu.tw")</f>
        <v>109*****ljh.tyc.edu.tw</v>
      </c>
      <c r="E1284" s="17" t="str">
        <f>IFERROR(__xludf.DUMMYFUNCTION("""COMPUTED_VALUE"""),"桃園市立大崙國民中學")</f>
        <v>桃園市立大崙國民中學</v>
      </c>
      <c r="F1284" s="14" t="str">
        <f>IFERROR(__xludf.DUMMYFUNCTION("""COMPUTED_VALUE"""),"九年級")</f>
        <v>九年級</v>
      </c>
      <c r="G1284" s="14" t="str">
        <f>IFERROR(__xludf.DUMMYFUNCTION("""COMPUTED_VALUE"""),"獎狀")</f>
        <v>獎狀</v>
      </c>
      <c r="H1284" s="8"/>
    </row>
    <row r="1285">
      <c r="A1285" s="18"/>
      <c r="B1285" s="14">
        <f>IFERROR(__xludf.DUMMYFUNCTION("""COMPUTED_VALUE"""),720625.0)</f>
        <v>720625</v>
      </c>
      <c r="C1285" s="14" t="str">
        <f>IFERROR(__xludf.DUMMYFUNCTION("""COMPUTED_VALUE"""),"王彥鈞")</f>
        <v>王彥鈞</v>
      </c>
      <c r="D1285" s="16" t="str">
        <f>IFERROR(__xludf.DUMMYFUNCTION("""COMPUTED_VALUE"""),"109*****ljh.tyc.edu.tw")</f>
        <v>109*****ljh.tyc.edu.tw</v>
      </c>
      <c r="E1285" s="17" t="str">
        <f>IFERROR(__xludf.DUMMYFUNCTION("""COMPUTED_VALUE"""),"桃園市立大崙國民中學")</f>
        <v>桃園市立大崙國民中學</v>
      </c>
      <c r="F1285" s="14" t="str">
        <f>IFERROR(__xludf.DUMMYFUNCTION("""COMPUTED_VALUE"""),"九年級")</f>
        <v>九年級</v>
      </c>
      <c r="G1285" s="14" t="str">
        <f>IFERROR(__xludf.DUMMYFUNCTION("""COMPUTED_VALUE"""),"獎狀")</f>
        <v>獎狀</v>
      </c>
      <c r="H1285" s="8"/>
    </row>
    <row r="1286">
      <c r="A1286" s="18"/>
      <c r="B1286" s="14">
        <f>IFERROR(__xludf.DUMMYFUNCTION("""COMPUTED_VALUE"""),720611.0)</f>
        <v>720611</v>
      </c>
      <c r="C1286" s="14" t="str">
        <f>IFERROR(__xludf.DUMMYFUNCTION("""COMPUTED_VALUE"""),"李沛倢")</f>
        <v>李沛倢</v>
      </c>
      <c r="D1286" s="16" t="str">
        <f>IFERROR(__xludf.DUMMYFUNCTION("""COMPUTED_VALUE"""),"109*****ljh.tyc.edu.tw")</f>
        <v>109*****ljh.tyc.edu.tw</v>
      </c>
      <c r="E1286" s="17" t="str">
        <f>IFERROR(__xludf.DUMMYFUNCTION("""COMPUTED_VALUE"""),"桃園市立大崙國民中學")</f>
        <v>桃園市立大崙國民中學</v>
      </c>
      <c r="F1286" s="14" t="str">
        <f>IFERROR(__xludf.DUMMYFUNCTION("""COMPUTED_VALUE"""),"九年級")</f>
        <v>九年級</v>
      </c>
      <c r="G1286" s="14" t="str">
        <f>IFERROR(__xludf.DUMMYFUNCTION("""COMPUTED_VALUE"""),"●小禮物")</f>
        <v>●小禮物</v>
      </c>
      <c r="H1286" s="8"/>
    </row>
    <row r="1287">
      <c r="A1287" s="18"/>
      <c r="B1287" s="14">
        <f>IFERROR(__xludf.DUMMYFUNCTION("""COMPUTED_VALUE"""),720596.0)</f>
        <v>720596</v>
      </c>
      <c r="C1287" s="14" t="str">
        <f>IFERROR(__xludf.DUMMYFUNCTION("""COMPUTED_VALUE"""),"林宥澄")</f>
        <v>林宥澄</v>
      </c>
      <c r="D1287" s="16" t="str">
        <f>IFERROR(__xludf.DUMMYFUNCTION("""COMPUTED_VALUE"""),"109*****ljh.tyc.edu.tw")</f>
        <v>109*****ljh.tyc.edu.tw</v>
      </c>
      <c r="E1287" s="17" t="str">
        <f>IFERROR(__xludf.DUMMYFUNCTION("""COMPUTED_VALUE"""),"桃園市立大崙國民中學")</f>
        <v>桃園市立大崙國民中學</v>
      </c>
      <c r="F1287" s="14" t="str">
        <f>IFERROR(__xludf.DUMMYFUNCTION("""COMPUTED_VALUE"""),"九年級")</f>
        <v>九年級</v>
      </c>
      <c r="G1287" s="14" t="str">
        <f>IFERROR(__xludf.DUMMYFUNCTION("""COMPUTED_VALUE"""),"●小禮物")</f>
        <v>●小禮物</v>
      </c>
      <c r="H1287" s="8"/>
    </row>
    <row r="1288">
      <c r="A1288" s="18"/>
      <c r="B1288" s="14">
        <f>IFERROR(__xludf.DUMMYFUNCTION("""COMPUTED_VALUE"""),720612.0)</f>
        <v>720612</v>
      </c>
      <c r="C1288" s="14" t="str">
        <f>IFERROR(__xludf.DUMMYFUNCTION("""COMPUTED_VALUE"""),"邵榆蓁")</f>
        <v>邵榆蓁</v>
      </c>
      <c r="D1288" s="16" t="str">
        <f>IFERROR(__xludf.DUMMYFUNCTION("""COMPUTED_VALUE"""),"109*****ljh.tyc.edu.tw")</f>
        <v>109*****ljh.tyc.edu.tw</v>
      </c>
      <c r="E1288" s="17" t="str">
        <f>IFERROR(__xludf.DUMMYFUNCTION("""COMPUTED_VALUE"""),"桃園市立大崙國民中學")</f>
        <v>桃園市立大崙國民中學</v>
      </c>
      <c r="F1288" s="14" t="str">
        <f>IFERROR(__xludf.DUMMYFUNCTION("""COMPUTED_VALUE"""),"九年級")</f>
        <v>九年級</v>
      </c>
      <c r="G1288" s="14" t="str">
        <f>IFERROR(__xludf.DUMMYFUNCTION("""COMPUTED_VALUE"""),"●小禮物")</f>
        <v>●小禮物</v>
      </c>
      <c r="H1288" s="8"/>
    </row>
    <row r="1289">
      <c r="A1289" s="18"/>
      <c r="B1289" s="14">
        <f>IFERROR(__xludf.DUMMYFUNCTION("""COMPUTED_VALUE"""),720598.0)</f>
        <v>720598</v>
      </c>
      <c r="C1289" s="14" t="str">
        <f>IFERROR(__xludf.DUMMYFUNCTION("""COMPUTED_VALUE"""),"袁庭譽")</f>
        <v>袁庭譽</v>
      </c>
      <c r="D1289" s="16" t="str">
        <f>IFERROR(__xludf.DUMMYFUNCTION("""COMPUTED_VALUE"""),"109*****ljh.tyc.edu.tw")</f>
        <v>109*****ljh.tyc.edu.tw</v>
      </c>
      <c r="E1289" s="17" t="str">
        <f>IFERROR(__xludf.DUMMYFUNCTION("""COMPUTED_VALUE"""),"桃園市立大崙國民中學")</f>
        <v>桃園市立大崙國民中學</v>
      </c>
      <c r="F1289" s="14" t="str">
        <f>IFERROR(__xludf.DUMMYFUNCTION("""COMPUTED_VALUE"""),"九年級")</f>
        <v>九年級</v>
      </c>
      <c r="G1289" s="14" t="str">
        <f>IFERROR(__xludf.DUMMYFUNCTION("""COMPUTED_VALUE"""),"●小禮物")</f>
        <v>●小禮物</v>
      </c>
      <c r="H1289" s="8"/>
    </row>
    <row r="1290">
      <c r="A1290" s="18"/>
      <c r="B1290" s="14">
        <f>IFERROR(__xludf.DUMMYFUNCTION("""COMPUTED_VALUE"""),720614.0)</f>
        <v>720614</v>
      </c>
      <c r="C1290" s="14" t="str">
        <f>IFERROR(__xludf.DUMMYFUNCTION("""COMPUTED_VALUE"""),"張芸庭")</f>
        <v>張芸庭</v>
      </c>
      <c r="D1290" s="16" t="str">
        <f>IFERROR(__xludf.DUMMYFUNCTION("""COMPUTED_VALUE"""),"109*****ljh.tyc.edu.tw")</f>
        <v>109*****ljh.tyc.edu.tw</v>
      </c>
      <c r="E1290" s="17" t="str">
        <f>IFERROR(__xludf.DUMMYFUNCTION("""COMPUTED_VALUE"""),"桃園市立大崙國民中學")</f>
        <v>桃園市立大崙國民中學</v>
      </c>
      <c r="F1290" s="14" t="str">
        <f>IFERROR(__xludf.DUMMYFUNCTION("""COMPUTED_VALUE"""),"九年級")</f>
        <v>九年級</v>
      </c>
      <c r="G1290" s="14" t="str">
        <f>IFERROR(__xludf.DUMMYFUNCTION("""COMPUTED_VALUE"""),"●小禮物")</f>
        <v>●小禮物</v>
      </c>
      <c r="H1290" s="8"/>
    </row>
    <row r="1291">
      <c r="A1291" s="18"/>
      <c r="B1291" s="14">
        <f>IFERROR(__xludf.DUMMYFUNCTION("""COMPUTED_VALUE"""),946433.0)</f>
        <v>946433</v>
      </c>
      <c r="C1291" s="14" t="str">
        <f>IFERROR(__xludf.DUMMYFUNCTION("""COMPUTED_VALUE"""),"莊妍華")</f>
        <v>莊妍華</v>
      </c>
      <c r="D1291" s="16" t="str">
        <f>IFERROR(__xludf.DUMMYFUNCTION("""COMPUTED_VALUE"""),"109*****ljh.tyc.edu.tw")</f>
        <v>109*****ljh.tyc.edu.tw</v>
      </c>
      <c r="E1291" s="17" t="str">
        <f>IFERROR(__xludf.DUMMYFUNCTION("""COMPUTED_VALUE"""),"桃園市立大崙國民中學")</f>
        <v>桃園市立大崙國民中學</v>
      </c>
      <c r="F1291" s="14" t="str">
        <f>IFERROR(__xludf.DUMMYFUNCTION("""COMPUTED_VALUE"""),"九年級")</f>
        <v>九年級</v>
      </c>
      <c r="G1291" s="14" t="str">
        <f>IFERROR(__xludf.DUMMYFUNCTION("""COMPUTED_VALUE"""),"●小禮物")</f>
        <v>●小禮物</v>
      </c>
      <c r="H1291" s="8"/>
    </row>
    <row r="1292">
      <c r="A1292" s="18"/>
      <c r="B1292" s="14">
        <f>IFERROR(__xludf.DUMMYFUNCTION("""COMPUTED_VALUE"""),720602.0)</f>
        <v>720602</v>
      </c>
      <c r="C1292" s="14" t="str">
        <f>IFERROR(__xludf.DUMMYFUNCTION("""COMPUTED_VALUE"""),"許宏謙")</f>
        <v>許宏謙</v>
      </c>
      <c r="D1292" s="16" t="str">
        <f>IFERROR(__xludf.DUMMYFUNCTION("""COMPUTED_VALUE"""),"109*****ljh.tyc.edu.tw")</f>
        <v>109*****ljh.tyc.edu.tw</v>
      </c>
      <c r="E1292" s="17" t="str">
        <f>IFERROR(__xludf.DUMMYFUNCTION("""COMPUTED_VALUE"""),"桃園市立大崙國民中學")</f>
        <v>桃園市立大崙國民中學</v>
      </c>
      <c r="F1292" s="14" t="str">
        <f>IFERROR(__xludf.DUMMYFUNCTION("""COMPUTED_VALUE"""),"九年級")</f>
        <v>九年級</v>
      </c>
      <c r="G1292" s="14" t="str">
        <f>IFERROR(__xludf.DUMMYFUNCTION("""COMPUTED_VALUE"""),"●小禮物")</f>
        <v>●小禮物</v>
      </c>
      <c r="H1292" s="8"/>
    </row>
    <row r="1293">
      <c r="A1293" s="18"/>
      <c r="B1293" s="14">
        <f>IFERROR(__xludf.DUMMYFUNCTION("""COMPUTED_VALUE"""),720617.0)</f>
        <v>720617</v>
      </c>
      <c r="C1293" s="14" t="str">
        <f>IFERROR(__xludf.DUMMYFUNCTION("""COMPUTED_VALUE"""),"楊芊沛")</f>
        <v>楊芊沛</v>
      </c>
      <c r="D1293" s="16" t="str">
        <f>IFERROR(__xludf.DUMMYFUNCTION("""COMPUTED_VALUE"""),"109*****ljh.tyc.edu.tw")</f>
        <v>109*****ljh.tyc.edu.tw</v>
      </c>
      <c r="E1293" s="17" t="str">
        <f>IFERROR(__xludf.DUMMYFUNCTION("""COMPUTED_VALUE"""),"桃園市立大崙國民中學")</f>
        <v>桃園市立大崙國民中學</v>
      </c>
      <c r="F1293" s="14" t="str">
        <f>IFERROR(__xludf.DUMMYFUNCTION("""COMPUTED_VALUE"""),"九年級")</f>
        <v>九年級</v>
      </c>
      <c r="G1293" s="14" t="str">
        <f>IFERROR(__xludf.DUMMYFUNCTION("""COMPUTED_VALUE"""),"●小禮物")</f>
        <v>●小禮物</v>
      </c>
      <c r="H1293" s="8"/>
    </row>
    <row r="1294">
      <c r="A1294" s="18"/>
      <c r="B1294" s="14">
        <f>IFERROR(__xludf.DUMMYFUNCTION("""COMPUTED_VALUE"""),720606.0)</f>
        <v>720606</v>
      </c>
      <c r="C1294" s="14" t="str">
        <f>IFERROR(__xludf.DUMMYFUNCTION("""COMPUTED_VALUE"""),"詹普")</f>
        <v>詹普</v>
      </c>
      <c r="D1294" s="16" t="str">
        <f>IFERROR(__xludf.DUMMYFUNCTION("""COMPUTED_VALUE"""),"109*****ljh.tyc.edu.tw")</f>
        <v>109*****ljh.tyc.edu.tw</v>
      </c>
      <c r="E1294" s="17" t="str">
        <f>IFERROR(__xludf.DUMMYFUNCTION("""COMPUTED_VALUE"""),"桃園市立大崙國民中學")</f>
        <v>桃園市立大崙國民中學</v>
      </c>
      <c r="F1294" s="14" t="str">
        <f>IFERROR(__xludf.DUMMYFUNCTION("""COMPUTED_VALUE"""),"九年級")</f>
        <v>九年級</v>
      </c>
      <c r="G1294" s="14" t="str">
        <f>IFERROR(__xludf.DUMMYFUNCTION("""COMPUTED_VALUE"""),"●小禮物")</f>
        <v>●小禮物</v>
      </c>
      <c r="H1294" s="8"/>
    </row>
    <row r="1295">
      <c r="A1295" s="18"/>
      <c r="B1295" s="14">
        <f>IFERROR(__xludf.DUMMYFUNCTION("""COMPUTED_VALUE"""),720618.0)</f>
        <v>720618</v>
      </c>
      <c r="C1295" s="14" t="str">
        <f>IFERROR(__xludf.DUMMYFUNCTION("""COMPUTED_VALUE"""),"廖怡嘉")</f>
        <v>廖怡嘉</v>
      </c>
      <c r="D1295" s="16" t="str">
        <f>IFERROR(__xludf.DUMMYFUNCTION("""COMPUTED_VALUE"""),"109*****ljh.tyc.edu.tw")</f>
        <v>109*****ljh.tyc.edu.tw</v>
      </c>
      <c r="E1295" s="17" t="str">
        <f>IFERROR(__xludf.DUMMYFUNCTION("""COMPUTED_VALUE"""),"桃園市立大崙國民中學")</f>
        <v>桃園市立大崙國民中學</v>
      </c>
      <c r="F1295" s="14" t="str">
        <f>IFERROR(__xludf.DUMMYFUNCTION("""COMPUTED_VALUE"""),"九年級")</f>
        <v>九年級</v>
      </c>
      <c r="G1295" s="14" t="str">
        <f>IFERROR(__xludf.DUMMYFUNCTION("""COMPUTED_VALUE"""),"●小禮物")</f>
        <v>●小禮物</v>
      </c>
      <c r="H1295" s="8"/>
    </row>
    <row r="1296">
      <c r="A1296" s="18"/>
      <c r="B1296" s="14">
        <f>IFERROR(__xludf.DUMMYFUNCTION("""COMPUTED_VALUE"""),720619.0)</f>
        <v>720619</v>
      </c>
      <c r="C1296" s="14" t="str">
        <f>IFERROR(__xludf.DUMMYFUNCTION("""COMPUTED_VALUE"""),"趙家妤")</f>
        <v>趙家妤</v>
      </c>
      <c r="D1296" s="16" t="str">
        <f>IFERROR(__xludf.DUMMYFUNCTION("""COMPUTED_VALUE"""),"109*****ljh.tyc.edu.tw")</f>
        <v>109*****ljh.tyc.edu.tw</v>
      </c>
      <c r="E1296" s="17" t="str">
        <f>IFERROR(__xludf.DUMMYFUNCTION("""COMPUTED_VALUE"""),"桃園市立大崙國民中學")</f>
        <v>桃園市立大崙國民中學</v>
      </c>
      <c r="F1296" s="14" t="str">
        <f>IFERROR(__xludf.DUMMYFUNCTION("""COMPUTED_VALUE"""),"九年級")</f>
        <v>九年級</v>
      </c>
      <c r="G1296" s="14" t="str">
        <f>IFERROR(__xludf.DUMMYFUNCTION("""COMPUTED_VALUE"""),"●小禮物")</f>
        <v>●小禮物</v>
      </c>
      <c r="H1296" s="8"/>
    </row>
    <row r="1297">
      <c r="A1297" s="18"/>
      <c r="B1297" s="14">
        <f>IFERROR(__xludf.DUMMYFUNCTION("""COMPUTED_VALUE"""),720608.0)</f>
        <v>720608</v>
      </c>
      <c r="C1297" s="14" t="str">
        <f>IFERROR(__xludf.DUMMYFUNCTION("""COMPUTED_VALUE"""),"潘彥霖")</f>
        <v>潘彥霖</v>
      </c>
      <c r="D1297" s="16" t="str">
        <f>IFERROR(__xludf.DUMMYFUNCTION("""COMPUTED_VALUE"""),"109*****ljh.tyc.edu.tw")</f>
        <v>109*****ljh.tyc.edu.tw</v>
      </c>
      <c r="E1297" s="17" t="str">
        <f>IFERROR(__xludf.DUMMYFUNCTION("""COMPUTED_VALUE"""),"桃園市立大崙國民中學")</f>
        <v>桃園市立大崙國民中學</v>
      </c>
      <c r="F1297" s="14" t="str">
        <f>IFERROR(__xludf.DUMMYFUNCTION("""COMPUTED_VALUE"""),"九年級")</f>
        <v>九年級</v>
      </c>
      <c r="G1297" s="14" t="str">
        <f>IFERROR(__xludf.DUMMYFUNCTION("""COMPUTED_VALUE"""),"●小禮物")</f>
        <v>●小禮物</v>
      </c>
      <c r="H1297" s="8"/>
    </row>
    <row r="1298">
      <c r="A1298" s="18"/>
      <c r="B1298" s="14">
        <f>IFERROR(__xludf.DUMMYFUNCTION("""COMPUTED_VALUE"""),720609.0)</f>
        <v>720609</v>
      </c>
      <c r="C1298" s="14" t="str">
        <f>IFERROR(__xludf.DUMMYFUNCTION("""COMPUTED_VALUE"""),"賴柏辰")</f>
        <v>賴柏辰</v>
      </c>
      <c r="D1298" s="16" t="str">
        <f>IFERROR(__xludf.DUMMYFUNCTION("""COMPUTED_VALUE"""),"109*****ljh.tyc.edu.tw")</f>
        <v>109*****ljh.tyc.edu.tw</v>
      </c>
      <c r="E1298" s="17" t="str">
        <f>IFERROR(__xludf.DUMMYFUNCTION("""COMPUTED_VALUE"""),"桃園市立大崙國民中學")</f>
        <v>桃園市立大崙國民中學</v>
      </c>
      <c r="F1298" s="14" t="str">
        <f>IFERROR(__xludf.DUMMYFUNCTION("""COMPUTED_VALUE"""),"九年級")</f>
        <v>九年級</v>
      </c>
      <c r="G1298" s="14" t="str">
        <f>IFERROR(__xludf.DUMMYFUNCTION("""COMPUTED_VALUE"""),"●小禮物")</f>
        <v>●小禮物</v>
      </c>
      <c r="H1298" s="8"/>
    </row>
    <row r="1299">
      <c r="A1299" s="18"/>
      <c r="B1299" s="14">
        <f>IFERROR(__xludf.DUMMYFUNCTION("""COMPUTED_VALUE"""),720610.0)</f>
        <v>720610</v>
      </c>
      <c r="C1299" s="14" t="str">
        <f>IFERROR(__xludf.DUMMYFUNCTION("""COMPUTED_VALUE"""),"王宇侖")</f>
        <v>王宇侖</v>
      </c>
      <c r="D1299" s="16" t="str">
        <f>IFERROR(__xludf.DUMMYFUNCTION("""COMPUTED_VALUE"""),"109*****ljh.tyc.edu.tw")</f>
        <v>109*****ljh.tyc.edu.tw</v>
      </c>
      <c r="E1299" s="17" t="str">
        <f>IFERROR(__xludf.DUMMYFUNCTION("""COMPUTED_VALUE"""),"桃園市立大崙國民中學")</f>
        <v>桃園市立大崙國民中學</v>
      </c>
      <c r="F1299" s="14" t="str">
        <f>IFERROR(__xludf.DUMMYFUNCTION("""COMPUTED_VALUE"""),"九年級")</f>
        <v>九年級</v>
      </c>
      <c r="G1299" s="14" t="str">
        <f>IFERROR(__xludf.DUMMYFUNCTION("""COMPUTED_VALUE"""),"獎狀")</f>
        <v>獎狀</v>
      </c>
      <c r="H1299" s="8"/>
    </row>
    <row r="1300">
      <c r="A1300" s="18"/>
      <c r="B1300" s="14">
        <f>IFERROR(__xludf.DUMMYFUNCTION("""COMPUTED_VALUE"""),720595.0)</f>
        <v>720595</v>
      </c>
      <c r="C1300" s="14" t="str">
        <f>IFERROR(__xludf.DUMMYFUNCTION("""COMPUTED_VALUE"""),"吳聲賢")</f>
        <v>吳聲賢</v>
      </c>
      <c r="D1300" s="16" t="str">
        <f>IFERROR(__xludf.DUMMYFUNCTION("""COMPUTED_VALUE"""),"109*****ljh.tyc.edu.tw")</f>
        <v>109*****ljh.tyc.edu.tw</v>
      </c>
      <c r="E1300" s="17" t="str">
        <f>IFERROR(__xludf.DUMMYFUNCTION("""COMPUTED_VALUE"""),"桃園市立大崙國民中學")</f>
        <v>桃園市立大崙國民中學</v>
      </c>
      <c r="F1300" s="14" t="str">
        <f>IFERROR(__xludf.DUMMYFUNCTION("""COMPUTED_VALUE"""),"九年級")</f>
        <v>九年級</v>
      </c>
      <c r="G1300" s="14" t="str">
        <f>IFERROR(__xludf.DUMMYFUNCTION("""COMPUTED_VALUE"""),"獎狀")</f>
        <v>獎狀</v>
      </c>
      <c r="H1300" s="8"/>
    </row>
    <row r="1301">
      <c r="A1301" s="18"/>
      <c r="B1301" s="14">
        <f>IFERROR(__xludf.DUMMYFUNCTION("""COMPUTED_VALUE"""),720597.0)</f>
        <v>720597</v>
      </c>
      <c r="C1301" s="14" t="str">
        <f>IFERROR(__xludf.DUMMYFUNCTION("""COMPUTED_VALUE"""),"邱奕瑋")</f>
        <v>邱奕瑋</v>
      </c>
      <c r="D1301" s="16" t="str">
        <f>IFERROR(__xludf.DUMMYFUNCTION("""COMPUTED_VALUE"""),"109*****ljh.tyc.edu.tw")</f>
        <v>109*****ljh.tyc.edu.tw</v>
      </c>
      <c r="E1301" s="17" t="str">
        <f>IFERROR(__xludf.DUMMYFUNCTION("""COMPUTED_VALUE"""),"桃園市立大崙國民中學")</f>
        <v>桃園市立大崙國民中學</v>
      </c>
      <c r="F1301" s="14" t="str">
        <f>IFERROR(__xludf.DUMMYFUNCTION("""COMPUTED_VALUE"""),"九年級")</f>
        <v>九年級</v>
      </c>
      <c r="G1301" s="14" t="str">
        <f>IFERROR(__xludf.DUMMYFUNCTION("""COMPUTED_VALUE"""),"獎狀")</f>
        <v>獎狀</v>
      </c>
      <c r="H1301" s="8"/>
    </row>
    <row r="1302">
      <c r="A1302" s="18"/>
      <c r="B1302" s="14">
        <f>IFERROR(__xludf.DUMMYFUNCTION("""COMPUTED_VALUE"""),720613.0)</f>
        <v>720613</v>
      </c>
      <c r="C1302" s="14" t="str">
        <f>IFERROR(__xludf.DUMMYFUNCTION("""COMPUTED_VALUE"""),"范雅君")</f>
        <v>范雅君</v>
      </c>
      <c r="D1302" s="16" t="str">
        <f>IFERROR(__xludf.DUMMYFUNCTION("""COMPUTED_VALUE"""),"109*****ljh.tyc.edu.tw")</f>
        <v>109*****ljh.tyc.edu.tw</v>
      </c>
      <c r="E1302" s="17" t="str">
        <f>IFERROR(__xludf.DUMMYFUNCTION("""COMPUTED_VALUE"""),"桃園市立大崙國民中學")</f>
        <v>桃園市立大崙國民中學</v>
      </c>
      <c r="F1302" s="14" t="str">
        <f>IFERROR(__xludf.DUMMYFUNCTION("""COMPUTED_VALUE"""),"九年級")</f>
        <v>九年級</v>
      </c>
      <c r="G1302" s="14" t="str">
        <f>IFERROR(__xludf.DUMMYFUNCTION("""COMPUTED_VALUE"""),"獎狀")</f>
        <v>獎狀</v>
      </c>
      <c r="H1302" s="8"/>
    </row>
    <row r="1303">
      <c r="A1303" s="18"/>
      <c r="B1303" s="14">
        <f>IFERROR(__xludf.DUMMYFUNCTION("""COMPUTED_VALUE"""),720599.0)</f>
        <v>720599</v>
      </c>
      <c r="C1303" s="14" t="str">
        <f>IFERROR(__xludf.DUMMYFUNCTION("""COMPUTED_VALUE"""),"張文齊")</f>
        <v>張文齊</v>
      </c>
      <c r="D1303" s="16" t="str">
        <f>IFERROR(__xludf.DUMMYFUNCTION("""COMPUTED_VALUE"""),"109*****ljh.tyc.edu.tw")</f>
        <v>109*****ljh.tyc.edu.tw</v>
      </c>
      <c r="E1303" s="17" t="str">
        <f>IFERROR(__xludf.DUMMYFUNCTION("""COMPUTED_VALUE"""),"桃園市立大崙國民中學")</f>
        <v>桃園市立大崙國民中學</v>
      </c>
      <c r="F1303" s="14" t="str">
        <f>IFERROR(__xludf.DUMMYFUNCTION("""COMPUTED_VALUE"""),"九年級")</f>
        <v>九年級</v>
      </c>
      <c r="G1303" s="14" t="str">
        <f>IFERROR(__xludf.DUMMYFUNCTION("""COMPUTED_VALUE"""),"獎狀")</f>
        <v>獎狀</v>
      </c>
      <c r="H1303" s="8"/>
    </row>
    <row r="1304">
      <c r="A1304" s="18"/>
      <c r="B1304" s="14">
        <f>IFERROR(__xludf.DUMMYFUNCTION("""COMPUTED_VALUE"""),720600.0)</f>
        <v>720600</v>
      </c>
      <c r="C1304" s="14" t="str">
        <f>IFERROR(__xludf.DUMMYFUNCTION("""COMPUTED_VALUE"""),"梁鈞朋")</f>
        <v>梁鈞朋</v>
      </c>
      <c r="D1304" s="16" t="str">
        <f>IFERROR(__xludf.DUMMYFUNCTION("""COMPUTED_VALUE"""),"109*****ljh.tyc.edu.tw")</f>
        <v>109*****ljh.tyc.edu.tw</v>
      </c>
      <c r="E1304" s="17" t="str">
        <f>IFERROR(__xludf.DUMMYFUNCTION("""COMPUTED_VALUE"""),"桃園市立大崙國民中學")</f>
        <v>桃園市立大崙國民中學</v>
      </c>
      <c r="F1304" s="14" t="str">
        <f>IFERROR(__xludf.DUMMYFUNCTION("""COMPUTED_VALUE"""),"九年級")</f>
        <v>九年級</v>
      </c>
      <c r="G1304" s="14" t="str">
        <f>IFERROR(__xludf.DUMMYFUNCTION("""COMPUTED_VALUE"""),"獎狀")</f>
        <v>獎狀</v>
      </c>
      <c r="H1304" s="8"/>
    </row>
    <row r="1305">
      <c r="A1305" s="18"/>
      <c r="B1305" s="14">
        <f>IFERROR(__xludf.DUMMYFUNCTION("""COMPUTED_VALUE"""),720616.0)</f>
        <v>720616</v>
      </c>
      <c r="C1305" s="14" t="str">
        <f>IFERROR(__xludf.DUMMYFUNCTION("""COMPUTED_VALUE"""),"許慧臻")</f>
        <v>許慧臻</v>
      </c>
      <c r="D1305" s="16" t="str">
        <f>IFERROR(__xludf.DUMMYFUNCTION("""COMPUTED_VALUE"""),"109*****ljh.tyc.edu.tw")</f>
        <v>109*****ljh.tyc.edu.tw</v>
      </c>
      <c r="E1305" s="17" t="str">
        <f>IFERROR(__xludf.DUMMYFUNCTION("""COMPUTED_VALUE"""),"桃園市立大崙國民中學")</f>
        <v>桃園市立大崙國民中學</v>
      </c>
      <c r="F1305" s="14" t="str">
        <f>IFERROR(__xludf.DUMMYFUNCTION("""COMPUTED_VALUE"""),"九年級")</f>
        <v>九年級</v>
      </c>
      <c r="G1305" s="14" t="str">
        <f>IFERROR(__xludf.DUMMYFUNCTION("""COMPUTED_VALUE"""),"獎狀")</f>
        <v>獎狀</v>
      </c>
      <c r="H1305" s="8"/>
    </row>
    <row r="1306">
      <c r="A1306" s="18"/>
      <c r="B1306" s="14">
        <f>IFERROR(__xludf.DUMMYFUNCTION("""COMPUTED_VALUE"""),720603.0)</f>
        <v>720603</v>
      </c>
      <c r="C1306" s="14" t="str">
        <f>IFERROR(__xludf.DUMMYFUNCTION("""COMPUTED_VALUE"""),"陳信安")</f>
        <v>陳信安</v>
      </c>
      <c r="D1306" s="16" t="str">
        <f>IFERROR(__xludf.DUMMYFUNCTION("""COMPUTED_VALUE"""),"109*****ljh.tyc.edu.tw")</f>
        <v>109*****ljh.tyc.edu.tw</v>
      </c>
      <c r="E1306" s="17" t="str">
        <f>IFERROR(__xludf.DUMMYFUNCTION("""COMPUTED_VALUE"""),"桃園市立大崙國民中學")</f>
        <v>桃園市立大崙國民中學</v>
      </c>
      <c r="F1306" s="14" t="str">
        <f>IFERROR(__xludf.DUMMYFUNCTION("""COMPUTED_VALUE"""),"九年級")</f>
        <v>九年級</v>
      </c>
      <c r="G1306" s="14" t="str">
        <f>IFERROR(__xludf.DUMMYFUNCTION("""COMPUTED_VALUE"""),"獎狀")</f>
        <v>獎狀</v>
      </c>
      <c r="H1306" s="8"/>
    </row>
    <row r="1307">
      <c r="A1307" s="18"/>
      <c r="B1307" s="14">
        <f>IFERROR(__xludf.DUMMYFUNCTION("""COMPUTED_VALUE"""),720604.0)</f>
        <v>720604</v>
      </c>
      <c r="C1307" s="14" t="str">
        <f>IFERROR(__xludf.DUMMYFUNCTION("""COMPUTED_VALUE"""),"陳品蓀")</f>
        <v>陳品蓀</v>
      </c>
      <c r="D1307" s="16" t="str">
        <f>IFERROR(__xludf.DUMMYFUNCTION("""COMPUTED_VALUE"""),"109*****ljh.tyc.edu.tw")</f>
        <v>109*****ljh.tyc.edu.tw</v>
      </c>
      <c r="E1307" s="17" t="str">
        <f>IFERROR(__xludf.DUMMYFUNCTION("""COMPUTED_VALUE"""),"桃園市立大崙國民中學")</f>
        <v>桃園市立大崙國民中學</v>
      </c>
      <c r="F1307" s="14" t="str">
        <f>IFERROR(__xludf.DUMMYFUNCTION("""COMPUTED_VALUE"""),"九年級")</f>
        <v>九年級</v>
      </c>
      <c r="G1307" s="14" t="str">
        <f>IFERROR(__xludf.DUMMYFUNCTION("""COMPUTED_VALUE"""),"獎狀")</f>
        <v>獎狀</v>
      </c>
      <c r="H1307" s="8"/>
    </row>
    <row r="1308">
      <c r="A1308" s="18"/>
      <c r="B1308" s="14">
        <f>IFERROR(__xludf.DUMMYFUNCTION("""COMPUTED_VALUE"""),720605.0)</f>
        <v>720605</v>
      </c>
      <c r="C1308" s="14" t="str">
        <f>IFERROR(__xludf.DUMMYFUNCTION("""COMPUTED_VALUE"""),"彭健傑")</f>
        <v>彭健傑</v>
      </c>
      <c r="D1308" s="16" t="str">
        <f>IFERROR(__xludf.DUMMYFUNCTION("""COMPUTED_VALUE"""),"109*****ljh.tyc.edu.tw")</f>
        <v>109*****ljh.tyc.edu.tw</v>
      </c>
      <c r="E1308" s="17" t="str">
        <f>IFERROR(__xludf.DUMMYFUNCTION("""COMPUTED_VALUE"""),"桃園市立大崙國民中學")</f>
        <v>桃園市立大崙國民中學</v>
      </c>
      <c r="F1308" s="14" t="str">
        <f>IFERROR(__xludf.DUMMYFUNCTION("""COMPUTED_VALUE"""),"九年級")</f>
        <v>九年級</v>
      </c>
      <c r="G1308" s="14" t="str">
        <f>IFERROR(__xludf.DUMMYFUNCTION("""COMPUTED_VALUE"""),"獎狀")</f>
        <v>獎狀</v>
      </c>
      <c r="H1308" s="8"/>
    </row>
    <row r="1309">
      <c r="A1309" s="18"/>
      <c r="B1309" s="14">
        <f>IFERROR(__xludf.DUMMYFUNCTION("""COMPUTED_VALUE"""),720008.0)</f>
        <v>720008</v>
      </c>
      <c r="C1309" s="14" t="str">
        <f>IFERROR(__xludf.DUMMYFUNCTION("""COMPUTED_VALUE"""),"許夏菲")</f>
        <v>許夏菲</v>
      </c>
      <c r="D1309" s="16" t="str">
        <f>IFERROR(__xludf.DUMMYFUNCTION("""COMPUTED_VALUE"""),"sop*****u0911@mail.edu.tw")</f>
        <v>sop*****u0911@mail.edu.tw</v>
      </c>
      <c r="E1309" s="17" t="str">
        <f>IFERROR(__xludf.DUMMYFUNCTION("""COMPUTED_VALUE"""),"桃園市立青埔國民中學")</f>
        <v>桃園市立青埔國民中學</v>
      </c>
      <c r="F1309" s="14" t="str">
        <f>IFERROR(__xludf.DUMMYFUNCTION("""COMPUTED_VALUE"""),"七年級")</f>
        <v>七年級</v>
      </c>
      <c r="G1309" s="14" t="str">
        <f>IFERROR(__xludf.DUMMYFUNCTION("""COMPUTED_VALUE"""),"獎狀")</f>
        <v>獎狀</v>
      </c>
      <c r="H1309" s="8"/>
    </row>
    <row r="1310">
      <c r="A1310" s="18"/>
      <c r="B1310" s="14">
        <f>IFERROR(__xludf.DUMMYFUNCTION("""COMPUTED_VALUE"""),1063709.0)</f>
        <v>1063709</v>
      </c>
      <c r="C1310" s="14" t="str">
        <f>IFERROR(__xludf.DUMMYFUNCTION("""COMPUTED_VALUE"""),"張子芯")</f>
        <v>張子芯</v>
      </c>
      <c r="D1310" s="16" t="str">
        <f>IFERROR(__xludf.DUMMYFUNCTION("""COMPUTED_VALUE"""),"109*****dsjhs.tyc.edu.tw")</f>
        <v>109*****dsjhs.tyc.edu.tw</v>
      </c>
      <c r="E1310" s="17" t="str">
        <f>IFERROR(__xludf.DUMMYFUNCTION("""COMPUTED_VALUE"""),"桃園市立東興國民中學")</f>
        <v>桃園市立東興國民中學</v>
      </c>
      <c r="F1310" s="14" t="str">
        <f>IFERROR(__xludf.DUMMYFUNCTION("""COMPUTED_VALUE"""),"九年級")</f>
        <v>九年級</v>
      </c>
      <c r="G1310" s="14" t="str">
        <f>IFERROR(__xludf.DUMMYFUNCTION("""COMPUTED_VALUE"""),"●小禮物")</f>
        <v>●小禮物</v>
      </c>
      <c r="H1310" s="8"/>
    </row>
    <row r="1311">
      <c r="A1311" s="18"/>
      <c r="B1311" s="14">
        <f>IFERROR(__xludf.DUMMYFUNCTION("""COMPUTED_VALUE"""),1062841.0)</f>
        <v>1062841</v>
      </c>
      <c r="C1311" s="14" t="str">
        <f>IFERROR(__xludf.DUMMYFUNCTION("""COMPUTED_VALUE"""),"許舒涵")</f>
        <v>許舒涵</v>
      </c>
      <c r="D1311" s="16" t="str">
        <f>IFERROR(__xludf.DUMMYFUNCTION("""COMPUTED_VALUE"""),"109*****dsjhs.tyc.edu.tw")</f>
        <v>109*****dsjhs.tyc.edu.tw</v>
      </c>
      <c r="E1311" s="17" t="str">
        <f>IFERROR(__xludf.DUMMYFUNCTION("""COMPUTED_VALUE"""),"桃園市立東興國民中學")</f>
        <v>桃園市立東興國民中學</v>
      </c>
      <c r="F1311" s="14" t="str">
        <f>IFERROR(__xludf.DUMMYFUNCTION("""COMPUTED_VALUE"""),"九年級")</f>
        <v>九年級</v>
      </c>
      <c r="G1311" s="14" t="str">
        <f>IFERROR(__xludf.DUMMYFUNCTION("""COMPUTED_VALUE"""),"●小禮物")</f>
        <v>●小禮物</v>
      </c>
      <c r="H1311" s="8"/>
    </row>
    <row r="1312">
      <c r="A1312" s="18"/>
      <c r="B1312" s="14">
        <f>IFERROR(__xludf.DUMMYFUNCTION("""COMPUTED_VALUE"""),1062843.0)</f>
        <v>1062843</v>
      </c>
      <c r="C1312" s="14" t="str">
        <f>IFERROR(__xludf.DUMMYFUNCTION("""COMPUTED_VALUE"""),"隋秉宸")</f>
        <v>隋秉宸</v>
      </c>
      <c r="D1312" s="16" t="str">
        <f>IFERROR(__xludf.DUMMYFUNCTION("""COMPUTED_VALUE"""),"109*****dsjhs.tyc.edu.tw")</f>
        <v>109*****dsjhs.tyc.edu.tw</v>
      </c>
      <c r="E1312" s="17" t="str">
        <f>IFERROR(__xludf.DUMMYFUNCTION("""COMPUTED_VALUE"""),"桃園市立東興國民中學")</f>
        <v>桃園市立東興國民中學</v>
      </c>
      <c r="F1312" s="14" t="str">
        <f>IFERROR(__xludf.DUMMYFUNCTION("""COMPUTED_VALUE"""),"九年級")</f>
        <v>九年級</v>
      </c>
      <c r="G1312" s="14" t="str">
        <f>IFERROR(__xludf.DUMMYFUNCTION("""COMPUTED_VALUE"""),"●小禮物")</f>
        <v>●小禮物</v>
      </c>
      <c r="H1312" s="8"/>
    </row>
    <row r="1313">
      <c r="A1313" s="18"/>
      <c r="B1313" s="14">
        <f>IFERROR(__xludf.DUMMYFUNCTION("""COMPUTED_VALUE"""),1062851.0)</f>
        <v>1062851</v>
      </c>
      <c r="C1313" s="14" t="str">
        <f>IFERROR(__xludf.DUMMYFUNCTION("""COMPUTED_VALUE"""),"劉展瑞")</f>
        <v>劉展瑞</v>
      </c>
      <c r="D1313" s="16" t="str">
        <f>IFERROR(__xludf.DUMMYFUNCTION("""COMPUTED_VALUE"""),"109*****dsjhs.tyc.edu.tw")</f>
        <v>109*****dsjhs.tyc.edu.tw</v>
      </c>
      <c r="E1313" s="17" t="str">
        <f>IFERROR(__xludf.DUMMYFUNCTION("""COMPUTED_VALUE"""),"桃園市立東興國民中學")</f>
        <v>桃園市立東興國民中學</v>
      </c>
      <c r="F1313" s="14" t="str">
        <f>IFERROR(__xludf.DUMMYFUNCTION("""COMPUTED_VALUE"""),"九年級")</f>
        <v>九年級</v>
      </c>
      <c r="G1313" s="14" t="str">
        <f>IFERROR(__xludf.DUMMYFUNCTION("""COMPUTED_VALUE"""),"★禮券$200")</f>
        <v>★禮券$200</v>
      </c>
      <c r="H1313" s="8"/>
    </row>
    <row r="1314">
      <c r="A1314" s="18"/>
      <c r="B1314" s="14">
        <f>IFERROR(__xludf.DUMMYFUNCTION("""COMPUTED_VALUE"""),1177733.0)</f>
        <v>1177733</v>
      </c>
      <c r="C1314" s="14" t="str">
        <f>IFERROR(__xludf.DUMMYFUNCTION("""COMPUTED_VALUE"""),"鍾昀恩")</f>
        <v>鍾昀恩</v>
      </c>
      <c r="D1314" s="16" t="str">
        <f>IFERROR(__xludf.DUMMYFUNCTION("""COMPUTED_VALUE"""),"111*****ljh.tyc.edu.tw")</f>
        <v>111*****ljh.tyc.edu.tw</v>
      </c>
      <c r="E1314" s="17" t="str">
        <f>IFERROR(__xludf.DUMMYFUNCTION("""COMPUTED_VALUE"""),"桃園市立中壢國民中學")</f>
        <v>桃園市立中壢國民中學</v>
      </c>
      <c r="F1314" s="14" t="str">
        <f>IFERROR(__xludf.DUMMYFUNCTION("""COMPUTED_VALUE"""),"七年級")</f>
        <v>七年級</v>
      </c>
      <c r="G1314" s="14" t="str">
        <f>IFERROR(__xludf.DUMMYFUNCTION("""COMPUTED_VALUE"""),"★禮券$200")</f>
        <v>★禮券$200</v>
      </c>
      <c r="H1314" s="8"/>
    </row>
    <row r="1315">
      <c r="A1315" s="18"/>
      <c r="B1315" s="14">
        <f>IFERROR(__xludf.DUMMYFUNCTION("""COMPUTED_VALUE"""),1074067.0)</f>
        <v>1074067</v>
      </c>
      <c r="C1315" s="14" t="str">
        <f>IFERROR(__xludf.DUMMYFUNCTION("""COMPUTED_VALUE"""),"趙苙芸")</f>
        <v>趙苙芸</v>
      </c>
      <c r="D1315" s="16" t="str">
        <f>IFERROR(__xludf.DUMMYFUNCTION("""COMPUTED_VALUE"""),"197*****gmail.com")</f>
        <v>197*****gmail.com</v>
      </c>
      <c r="E1315" s="17" t="str">
        <f>IFERROR(__xludf.DUMMYFUNCTION("""COMPUTED_VALUE"""),"桃園市立中壢國民中學")</f>
        <v>桃園市立中壢國民中學</v>
      </c>
      <c r="F1315" s="14" t="str">
        <f>IFERROR(__xludf.DUMMYFUNCTION("""COMPUTED_VALUE"""),"七年級")</f>
        <v>七年級</v>
      </c>
      <c r="G1315" s="14" t="str">
        <f>IFERROR(__xludf.DUMMYFUNCTION("""COMPUTED_VALUE"""),"獎狀")</f>
        <v>獎狀</v>
      </c>
      <c r="H1315" s="8"/>
    </row>
    <row r="1316">
      <c r="A1316" s="18"/>
      <c r="B1316" s="14">
        <f>IFERROR(__xludf.DUMMYFUNCTION("""COMPUTED_VALUE"""),273919.0)</f>
        <v>273919</v>
      </c>
      <c r="C1316" s="14" t="str">
        <f>IFERROR(__xludf.DUMMYFUNCTION("""COMPUTED_VALUE"""),"宋瑞斌")</f>
        <v>宋瑞斌</v>
      </c>
      <c r="D1316" s="16" t="str">
        <f>IFERROR(__xludf.DUMMYFUNCTION("""COMPUTED_VALUE"""),"tyc*****13@mail.edu.tw")</f>
        <v>tyc*****13@mail.edu.tw</v>
      </c>
      <c r="E1316" s="17" t="str">
        <f>IFERROR(__xludf.DUMMYFUNCTION("""COMPUTED_VALUE"""),"桃園市立中壢國民中學")</f>
        <v>桃園市立中壢國民中學</v>
      </c>
      <c r="F1316" s="14" t="str">
        <f>IFERROR(__xludf.DUMMYFUNCTION("""COMPUTED_VALUE"""),"八年級")</f>
        <v>八年級</v>
      </c>
      <c r="G1316" s="14" t="str">
        <f>IFERROR(__xludf.DUMMYFUNCTION("""COMPUTED_VALUE"""),"●小禮物")</f>
        <v>●小禮物</v>
      </c>
      <c r="H1316" s="8"/>
    </row>
    <row r="1317">
      <c r="A1317" s="18"/>
      <c r="B1317" s="14">
        <f>IFERROR(__xludf.DUMMYFUNCTION("""COMPUTED_VALUE"""),1208988.0)</f>
        <v>1208988</v>
      </c>
      <c r="C1317" s="14" t="str">
        <f>IFERROR(__xludf.DUMMYFUNCTION("""COMPUTED_VALUE"""),"曾于庭")</f>
        <v>曾于庭</v>
      </c>
      <c r="D1317" s="16" t="str">
        <f>IFERROR(__xludf.DUMMYFUNCTION("""COMPUTED_VALUE"""),"111*****s.lhvs.tyc.edu.tw")</f>
        <v>111*****s.lhvs.tyc.edu.tw</v>
      </c>
      <c r="E1317" s="17" t="str">
        <f>IFERROR(__xludf.DUMMYFUNCTION("""COMPUTED_VALUE"""),"六和學校財團法人桃園市六和高級中等學校附設國中部")</f>
        <v>六和學校財團法人桃園市六和高級中等學校附設國中部</v>
      </c>
      <c r="F1317" s="14" t="str">
        <f>IFERROR(__xludf.DUMMYFUNCTION("""COMPUTED_VALUE"""),"七年級")</f>
        <v>七年級</v>
      </c>
      <c r="G1317" s="14" t="str">
        <f>IFERROR(__xludf.DUMMYFUNCTION("""COMPUTED_VALUE"""),"獎狀")</f>
        <v>獎狀</v>
      </c>
      <c r="H1317" s="8"/>
    </row>
    <row r="1318">
      <c r="A1318" s="18"/>
      <c r="B1318" s="14">
        <f>IFERROR(__xludf.DUMMYFUNCTION("""COMPUTED_VALUE"""),1199174.0)</f>
        <v>1199174</v>
      </c>
      <c r="C1318" s="14" t="str">
        <f>IFERROR(__xludf.DUMMYFUNCTION("""COMPUTED_VALUE"""),"王婉如")</f>
        <v>王婉如</v>
      </c>
      <c r="D1318" s="16" t="str">
        <f>IFERROR(__xludf.DUMMYFUNCTION("""COMPUTED_VALUE"""),"wan*****u39@gmail.com")</f>
        <v>wan*****u39@gmail.com</v>
      </c>
      <c r="E1318" s="17" t="str">
        <f>IFERROR(__xludf.DUMMYFUNCTION("""COMPUTED_VALUE"""),"六和學校財團法人桃園市六和高級中等學校附設國中部")</f>
        <v>六和學校財團法人桃園市六和高級中等學校附設國中部</v>
      </c>
      <c r="F1318" s="14" t="str">
        <f>IFERROR(__xludf.DUMMYFUNCTION("""COMPUTED_VALUE"""),"七年級")</f>
        <v>七年級</v>
      </c>
      <c r="G1318" s="14" t="str">
        <f>IFERROR(__xludf.DUMMYFUNCTION("""COMPUTED_VALUE"""),"●小禮物")</f>
        <v>●小禮物</v>
      </c>
      <c r="H1318" s="8"/>
    </row>
    <row r="1319">
      <c r="A1319" s="18"/>
      <c r="B1319" s="14">
        <f>IFERROR(__xludf.DUMMYFUNCTION("""COMPUTED_VALUE"""),1208113.0)</f>
        <v>1208113</v>
      </c>
      <c r="C1319" s="14" t="str">
        <f>IFERROR(__xludf.DUMMYFUNCTION("""COMPUTED_VALUE"""),"林聰宜")</f>
        <v>林聰宜</v>
      </c>
      <c r="D1319" s="16" t="str">
        <f>IFERROR(__xludf.DUMMYFUNCTION("""COMPUTED_VALUE"""),"111*****s.lhvs.tyc.edu.tw")</f>
        <v>111*****s.lhvs.tyc.edu.tw</v>
      </c>
      <c r="E1319" s="17" t="str">
        <f>IFERROR(__xludf.DUMMYFUNCTION("""COMPUTED_VALUE"""),"六和學校財團法人桃園市六和高級中等學校附設國中部")</f>
        <v>六和學校財團法人桃園市六和高級中等學校附設國中部</v>
      </c>
      <c r="F1319" s="14" t="str">
        <f>IFERROR(__xludf.DUMMYFUNCTION("""COMPUTED_VALUE"""),"七年級")</f>
        <v>七年級</v>
      </c>
      <c r="G1319" s="14" t="str">
        <f>IFERROR(__xludf.DUMMYFUNCTION("""COMPUTED_VALUE"""),"●小禮物")</f>
        <v>●小禮物</v>
      </c>
      <c r="H1319" s="8"/>
    </row>
    <row r="1320">
      <c r="A1320" s="18"/>
      <c r="B1320" s="14">
        <f>IFERROR(__xludf.DUMMYFUNCTION("""COMPUTED_VALUE"""),1198979.0)</f>
        <v>1198979</v>
      </c>
      <c r="C1320" s="14" t="str">
        <f>IFERROR(__xludf.DUMMYFUNCTION("""COMPUTED_VALUE"""),"蔡卉雯")</f>
        <v>蔡卉雯</v>
      </c>
      <c r="D1320" s="16" t="str">
        <f>IFERROR(__xludf.DUMMYFUNCTION("""COMPUTED_VALUE"""),"wen*****12@gmail.com")</f>
        <v>wen*****12@gmail.com</v>
      </c>
      <c r="E1320" s="17" t="str">
        <f>IFERROR(__xludf.DUMMYFUNCTION("""COMPUTED_VALUE"""),"六和學校財團法人桃園市六和高級中等學校附設國中部")</f>
        <v>六和學校財團法人桃園市六和高級中等學校附設國中部</v>
      </c>
      <c r="F1320" s="14" t="str">
        <f>IFERROR(__xludf.DUMMYFUNCTION("""COMPUTED_VALUE"""),"七年級")</f>
        <v>七年級</v>
      </c>
      <c r="G1320" s="14" t="str">
        <f>IFERROR(__xludf.DUMMYFUNCTION("""COMPUTED_VALUE"""),"●小禮物")</f>
        <v>●小禮物</v>
      </c>
      <c r="H1320" s="8"/>
    </row>
    <row r="1321">
      <c r="A1321" s="18"/>
      <c r="B1321" s="14">
        <f>IFERROR(__xludf.DUMMYFUNCTION("""COMPUTED_VALUE"""),1198982.0)</f>
        <v>1198982</v>
      </c>
      <c r="C1321" s="14" t="str">
        <f>IFERROR(__xludf.DUMMYFUNCTION("""COMPUTED_VALUE"""),"林定澧")</f>
        <v>林定澧</v>
      </c>
      <c r="D1321" s="16" t="str">
        <f>IFERROR(__xludf.DUMMYFUNCTION("""COMPUTED_VALUE"""),"111*****s.lhvs.tyc.edu.tw")</f>
        <v>111*****s.lhvs.tyc.edu.tw</v>
      </c>
      <c r="E1321" s="17" t="str">
        <f>IFERROR(__xludf.DUMMYFUNCTION("""COMPUTED_VALUE"""),"六和學校財團法人桃園市六和高級中等學校附設國中部")</f>
        <v>六和學校財團法人桃園市六和高級中等學校附設國中部</v>
      </c>
      <c r="F1321" s="14" t="str">
        <f>IFERROR(__xludf.DUMMYFUNCTION("""COMPUTED_VALUE"""),"七年級")</f>
        <v>七年級</v>
      </c>
      <c r="G1321" s="14" t="str">
        <f>IFERROR(__xludf.DUMMYFUNCTION("""COMPUTED_VALUE"""),"獎狀")</f>
        <v>獎狀</v>
      </c>
      <c r="H1321" s="8"/>
    </row>
    <row r="1322">
      <c r="A1322" s="18"/>
      <c r="B1322" s="14">
        <f>IFERROR(__xludf.DUMMYFUNCTION("""COMPUTED_VALUE"""),1208231.0)</f>
        <v>1208231</v>
      </c>
      <c r="C1322" s="14" t="str">
        <f>IFERROR(__xludf.DUMMYFUNCTION("""COMPUTED_VALUE"""),"許舒涵")</f>
        <v>許舒涵</v>
      </c>
      <c r="D1322" s="16" t="str">
        <f>IFERROR(__xludf.DUMMYFUNCTION("""COMPUTED_VALUE"""),"111*****s.lhvs.tyc.edu.tw")</f>
        <v>111*****s.lhvs.tyc.edu.tw</v>
      </c>
      <c r="E1322" s="17" t="str">
        <f>IFERROR(__xludf.DUMMYFUNCTION("""COMPUTED_VALUE"""),"六和學校財團法人桃園市六和高級中等學校附設國中部")</f>
        <v>六和學校財團法人桃園市六和高級中等學校附設國中部</v>
      </c>
      <c r="F1322" s="14" t="str">
        <f>IFERROR(__xludf.DUMMYFUNCTION("""COMPUTED_VALUE"""),"七年級")</f>
        <v>七年級</v>
      </c>
      <c r="G1322" s="14" t="str">
        <f>IFERROR(__xludf.DUMMYFUNCTION("""COMPUTED_VALUE"""),"獎狀")</f>
        <v>獎狀</v>
      </c>
      <c r="H1322" s="8"/>
    </row>
    <row r="1323">
      <c r="A1323" s="18"/>
      <c r="B1323" s="14">
        <f>IFERROR(__xludf.DUMMYFUNCTION("""COMPUTED_VALUE"""),1218796.0)</f>
        <v>1218796</v>
      </c>
      <c r="C1323" s="14" t="str">
        <f>IFERROR(__xludf.DUMMYFUNCTION("""COMPUTED_VALUE"""),"謝雅竹")</f>
        <v>謝雅竹</v>
      </c>
      <c r="D1323" s="16" t="str">
        <f>IFERROR(__xludf.DUMMYFUNCTION("""COMPUTED_VALUE"""),"111*****s.lhvs.tyc.edu.tw")</f>
        <v>111*****s.lhvs.tyc.edu.tw</v>
      </c>
      <c r="E1323" s="17" t="str">
        <f>IFERROR(__xludf.DUMMYFUNCTION("""COMPUTED_VALUE"""),"六和學校財團法人桃園市六和高級中等學校附設國中部")</f>
        <v>六和學校財團法人桃園市六和高級中等學校附設國中部</v>
      </c>
      <c r="F1323" s="14" t="str">
        <f>IFERROR(__xludf.DUMMYFUNCTION("""COMPUTED_VALUE"""),"七年級")</f>
        <v>七年級</v>
      </c>
      <c r="G1323" s="14" t="str">
        <f>IFERROR(__xludf.DUMMYFUNCTION("""COMPUTED_VALUE"""),"獎狀")</f>
        <v>獎狀</v>
      </c>
      <c r="H1323" s="8"/>
    </row>
    <row r="1324">
      <c r="A1324" s="18"/>
      <c r="B1324" s="14">
        <f>IFERROR(__xludf.DUMMYFUNCTION("""COMPUTED_VALUE"""),1218761.0)</f>
        <v>1218761</v>
      </c>
      <c r="C1324" s="14" t="str">
        <f>IFERROR(__xludf.DUMMYFUNCTION("""COMPUTED_VALUE"""),"王璟宸")</f>
        <v>王璟宸</v>
      </c>
      <c r="D1324" s="16" t="str">
        <f>IFERROR(__xludf.DUMMYFUNCTION("""COMPUTED_VALUE"""),"111*****s.lhvs.tyc.edu.tw")</f>
        <v>111*****s.lhvs.tyc.edu.tw</v>
      </c>
      <c r="E1324" s="17" t="str">
        <f>IFERROR(__xludf.DUMMYFUNCTION("""COMPUTED_VALUE"""),"六和學校財團法人桃園市六和高級中等學校附設國中部")</f>
        <v>六和學校財團法人桃園市六和高級中等學校附設國中部</v>
      </c>
      <c r="F1324" s="14" t="str">
        <f>IFERROR(__xludf.DUMMYFUNCTION("""COMPUTED_VALUE"""),"七年級")</f>
        <v>七年級</v>
      </c>
      <c r="G1324" s="14" t="str">
        <f>IFERROR(__xludf.DUMMYFUNCTION("""COMPUTED_VALUE"""),"●小禮物")</f>
        <v>●小禮物</v>
      </c>
      <c r="H1324" s="8"/>
    </row>
    <row r="1325">
      <c r="A1325" s="18"/>
      <c r="B1325" s="14">
        <f>IFERROR(__xludf.DUMMYFUNCTION("""COMPUTED_VALUE"""),1208449.0)</f>
        <v>1208449</v>
      </c>
      <c r="C1325" s="14" t="str">
        <f>IFERROR(__xludf.DUMMYFUNCTION("""COMPUTED_VALUE"""),"李杰恩")</f>
        <v>李杰恩</v>
      </c>
      <c r="D1325" s="16" t="str">
        <f>IFERROR(__xludf.DUMMYFUNCTION("""COMPUTED_VALUE"""),"111*****s.lhvs.tyc.edu.tw")</f>
        <v>111*****s.lhvs.tyc.edu.tw</v>
      </c>
      <c r="E1325" s="17" t="str">
        <f>IFERROR(__xludf.DUMMYFUNCTION("""COMPUTED_VALUE"""),"六和學校財團法人桃園市六和高級中等學校附設國中部")</f>
        <v>六和學校財團法人桃園市六和高級中等學校附設國中部</v>
      </c>
      <c r="F1325" s="14" t="str">
        <f>IFERROR(__xludf.DUMMYFUNCTION("""COMPUTED_VALUE"""),"七年級")</f>
        <v>七年級</v>
      </c>
      <c r="G1325" s="14" t="str">
        <f>IFERROR(__xludf.DUMMYFUNCTION("""COMPUTED_VALUE"""),"●小禮物")</f>
        <v>●小禮物</v>
      </c>
      <c r="H1325" s="8"/>
    </row>
    <row r="1326">
      <c r="A1326" s="18"/>
      <c r="B1326" s="14">
        <f>IFERROR(__xludf.DUMMYFUNCTION("""COMPUTED_VALUE"""),1209010.0)</f>
        <v>1209010</v>
      </c>
      <c r="C1326" s="14" t="str">
        <f>IFERROR(__xludf.DUMMYFUNCTION("""COMPUTED_VALUE"""),"林琝峸")</f>
        <v>林琝峸</v>
      </c>
      <c r="D1326" s="16" t="str">
        <f>IFERROR(__xludf.DUMMYFUNCTION("""COMPUTED_VALUE"""),"111*****s.lhvs.tyc.edu.tw")</f>
        <v>111*****s.lhvs.tyc.edu.tw</v>
      </c>
      <c r="E1326" s="17" t="str">
        <f>IFERROR(__xludf.DUMMYFUNCTION("""COMPUTED_VALUE"""),"六和學校財團法人桃園市六和高級中等學校附設國中部")</f>
        <v>六和學校財團法人桃園市六和高級中等學校附設國中部</v>
      </c>
      <c r="F1326" s="14" t="str">
        <f>IFERROR(__xludf.DUMMYFUNCTION("""COMPUTED_VALUE"""),"七年級")</f>
        <v>七年級</v>
      </c>
      <c r="G1326" s="14" t="str">
        <f>IFERROR(__xludf.DUMMYFUNCTION("""COMPUTED_VALUE"""),"●小禮物")</f>
        <v>●小禮物</v>
      </c>
      <c r="H1326" s="8"/>
    </row>
    <row r="1327">
      <c r="A1327" s="18"/>
      <c r="B1327" s="14">
        <f>IFERROR(__xludf.DUMMYFUNCTION("""COMPUTED_VALUE"""),1209954.0)</f>
        <v>1209954</v>
      </c>
      <c r="C1327" s="14" t="str">
        <f>IFERROR(__xludf.DUMMYFUNCTION("""COMPUTED_VALUE"""),"洪萱容")</f>
        <v>洪萱容</v>
      </c>
      <c r="D1327" s="16" t="str">
        <f>IFERROR(__xludf.DUMMYFUNCTION("""COMPUTED_VALUE"""),"111*****s.lhvs.tyc.edu.tw")</f>
        <v>111*****s.lhvs.tyc.edu.tw</v>
      </c>
      <c r="E1327" s="17" t="str">
        <f>IFERROR(__xludf.DUMMYFUNCTION("""COMPUTED_VALUE"""),"六和學校財團法人桃園市六和高級中等學校附設國中部")</f>
        <v>六和學校財團法人桃園市六和高級中等學校附設國中部</v>
      </c>
      <c r="F1327" s="14" t="str">
        <f>IFERROR(__xludf.DUMMYFUNCTION("""COMPUTED_VALUE"""),"七年級")</f>
        <v>七年級</v>
      </c>
      <c r="G1327" s="14" t="str">
        <f>IFERROR(__xludf.DUMMYFUNCTION("""COMPUTED_VALUE"""),"●小禮物")</f>
        <v>●小禮物</v>
      </c>
      <c r="H1327" s="8"/>
    </row>
    <row r="1328">
      <c r="A1328" s="18"/>
      <c r="B1328" s="14">
        <f>IFERROR(__xludf.DUMMYFUNCTION("""COMPUTED_VALUE"""),1209301.0)</f>
        <v>1209301</v>
      </c>
      <c r="C1328" s="14" t="str">
        <f>IFERROR(__xludf.DUMMYFUNCTION("""COMPUTED_VALUE"""),"洪萱祐")</f>
        <v>洪萱祐</v>
      </c>
      <c r="D1328" s="16" t="str">
        <f>IFERROR(__xludf.DUMMYFUNCTION("""COMPUTED_VALUE"""),"111*****s.lhvs.tyc.edu.tw")</f>
        <v>111*****s.lhvs.tyc.edu.tw</v>
      </c>
      <c r="E1328" s="17" t="str">
        <f>IFERROR(__xludf.DUMMYFUNCTION("""COMPUTED_VALUE"""),"六和學校財團法人桃園市六和高級中等學校附設國中部")</f>
        <v>六和學校財團法人桃園市六和高級中等學校附設國中部</v>
      </c>
      <c r="F1328" s="14" t="str">
        <f>IFERROR(__xludf.DUMMYFUNCTION("""COMPUTED_VALUE"""),"七年級")</f>
        <v>七年級</v>
      </c>
      <c r="G1328" s="14" t="str">
        <f>IFERROR(__xludf.DUMMYFUNCTION("""COMPUTED_VALUE"""),"●小禮物")</f>
        <v>●小禮物</v>
      </c>
      <c r="H1328" s="8"/>
    </row>
    <row r="1329">
      <c r="A1329" s="18"/>
      <c r="B1329" s="14">
        <f>IFERROR(__xludf.DUMMYFUNCTION("""COMPUTED_VALUE"""),1213867.0)</f>
        <v>1213867</v>
      </c>
      <c r="C1329" s="14" t="str">
        <f>IFERROR(__xludf.DUMMYFUNCTION("""COMPUTED_VALUE"""),"范愛瑄")</f>
        <v>范愛瑄</v>
      </c>
      <c r="D1329" s="16" t="str">
        <f>IFERROR(__xludf.DUMMYFUNCTION("""COMPUTED_VALUE"""),"111*****s.lhvs.tyc.edu.tw")</f>
        <v>111*****s.lhvs.tyc.edu.tw</v>
      </c>
      <c r="E1329" s="17" t="str">
        <f>IFERROR(__xludf.DUMMYFUNCTION("""COMPUTED_VALUE"""),"六和學校財團法人桃園市六和高級中等學校附設國中部")</f>
        <v>六和學校財團法人桃園市六和高級中等學校附設國中部</v>
      </c>
      <c r="F1329" s="14" t="str">
        <f>IFERROR(__xludf.DUMMYFUNCTION("""COMPUTED_VALUE"""),"七年級")</f>
        <v>七年級</v>
      </c>
      <c r="G1329" s="14" t="str">
        <f>IFERROR(__xludf.DUMMYFUNCTION("""COMPUTED_VALUE"""),"●小禮物")</f>
        <v>●小禮物</v>
      </c>
      <c r="H1329" s="8"/>
    </row>
    <row r="1330">
      <c r="A1330" s="18"/>
      <c r="B1330" s="14">
        <f>IFERROR(__xludf.DUMMYFUNCTION("""COMPUTED_VALUE"""),1210823.0)</f>
        <v>1210823</v>
      </c>
      <c r="C1330" s="14" t="str">
        <f>IFERROR(__xludf.DUMMYFUNCTION("""COMPUTED_VALUE"""),"梁芷苓")</f>
        <v>梁芷苓</v>
      </c>
      <c r="D1330" s="16" t="str">
        <f>IFERROR(__xludf.DUMMYFUNCTION("""COMPUTED_VALUE"""),"lin*****99@gmail.com")</f>
        <v>lin*****99@gmail.com</v>
      </c>
      <c r="E1330" s="17" t="str">
        <f>IFERROR(__xludf.DUMMYFUNCTION("""COMPUTED_VALUE"""),"六和學校財團法人桃園市六和高級中等學校附設國中部")</f>
        <v>六和學校財團法人桃園市六和高級中等學校附設國中部</v>
      </c>
      <c r="F1330" s="14" t="str">
        <f>IFERROR(__xludf.DUMMYFUNCTION("""COMPUTED_VALUE"""),"七年級")</f>
        <v>七年級</v>
      </c>
      <c r="G1330" s="14" t="str">
        <f>IFERROR(__xludf.DUMMYFUNCTION("""COMPUTED_VALUE"""),"●小禮物")</f>
        <v>●小禮物</v>
      </c>
      <c r="H1330" s="8"/>
    </row>
    <row r="1331">
      <c r="A1331" s="18"/>
      <c r="B1331" s="14">
        <f>IFERROR(__xludf.DUMMYFUNCTION("""COMPUTED_VALUE"""),1218654.0)</f>
        <v>1218654</v>
      </c>
      <c r="C1331" s="14" t="str">
        <f>IFERROR(__xludf.DUMMYFUNCTION("""COMPUTED_VALUE"""),"劉丞芸")</f>
        <v>劉丞芸</v>
      </c>
      <c r="D1331" s="16" t="str">
        <f>IFERROR(__xludf.DUMMYFUNCTION("""COMPUTED_VALUE"""),"111*****s.lhvs.tyc.edu.tw")</f>
        <v>111*****s.lhvs.tyc.edu.tw</v>
      </c>
      <c r="E1331" s="17" t="str">
        <f>IFERROR(__xludf.DUMMYFUNCTION("""COMPUTED_VALUE"""),"六和學校財團法人桃園市六和高級中等學校附設國中部")</f>
        <v>六和學校財團法人桃園市六和高級中等學校附設國中部</v>
      </c>
      <c r="F1331" s="14" t="str">
        <f>IFERROR(__xludf.DUMMYFUNCTION("""COMPUTED_VALUE"""),"七年級")</f>
        <v>七年級</v>
      </c>
      <c r="G1331" s="14" t="str">
        <f>IFERROR(__xludf.DUMMYFUNCTION("""COMPUTED_VALUE"""),"●小禮物")</f>
        <v>●小禮物</v>
      </c>
      <c r="H1331" s="8"/>
    </row>
    <row r="1332">
      <c r="A1332" s="18"/>
      <c r="B1332" s="14">
        <f>IFERROR(__xludf.DUMMYFUNCTION("""COMPUTED_VALUE"""),1208603.0)</f>
        <v>1208603</v>
      </c>
      <c r="C1332" s="14" t="str">
        <f>IFERROR(__xludf.DUMMYFUNCTION("""COMPUTED_VALUE"""),"周言")</f>
        <v>周言</v>
      </c>
      <c r="D1332" s="16" t="str">
        <f>IFERROR(__xludf.DUMMYFUNCTION("""COMPUTED_VALUE"""),"111*****s.lhvs.tyc.edu.tw")</f>
        <v>111*****s.lhvs.tyc.edu.tw</v>
      </c>
      <c r="E1332" s="17" t="str">
        <f>IFERROR(__xludf.DUMMYFUNCTION("""COMPUTED_VALUE"""),"六和學校財團法人桃園市六和高級中等學校附設國中部")</f>
        <v>六和學校財團法人桃園市六和高級中等學校附設國中部</v>
      </c>
      <c r="F1332" s="14" t="str">
        <f>IFERROR(__xludf.DUMMYFUNCTION("""COMPUTED_VALUE"""),"七年級")</f>
        <v>七年級</v>
      </c>
      <c r="G1332" s="14" t="str">
        <f>IFERROR(__xludf.DUMMYFUNCTION("""COMPUTED_VALUE"""),"獎狀")</f>
        <v>獎狀</v>
      </c>
      <c r="H1332" s="8"/>
    </row>
    <row r="1333">
      <c r="A1333" s="18"/>
      <c r="B1333" s="14">
        <f>IFERROR(__xludf.DUMMYFUNCTION("""COMPUTED_VALUE"""),1218680.0)</f>
        <v>1218680</v>
      </c>
      <c r="C1333" s="14" t="str">
        <f>IFERROR(__xludf.DUMMYFUNCTION("""COMPUTED_VALUE"""),"孫幼敏")</f>
        <v>孫幼敏</v>
      </c>
      <c r="D1333" s="16" t="str">
        <f>IFERROR(__xludf.DUMMYFUNCTION("""COMPUTED_VALUE"""),"111*****s.lhvs.tyc.edu.tw")</f>
        <v>111*****s.lhvs.tyc.edu.tw</v>
      </c>
      <c r="E1333" s="17" t="str">
        <f>IFERROR(__xludf.DUMMYFUNCTION("""COMPUTED_VALUE"""),"六和學校財團法人桃園市六和高級中等學校附設國中部")</f>
        <v>六和學校財團法人桃園市六和高級中等學校附設國中部</v>
      </c>
      <c r="F1333" s="14" t="str">
        <f>IFERROR(__xludf.DUMMYFUNCTION("""COMPUTED_VALUE"""),"七年級")</f>
        <v>七年級</v>
      </c>
      <c r="G1333" s="14" t="str">
        <f>IFERROR(__xludf.DUMMYFUNCTION("""COMPUTED_VALUE"""),"獎狀")</f>
        <v>獎狀</v>
      </c>
      <c r="H1333" s="8"/>
    </row>
    <row r="1334">
      <c r="A1334" s="18"/>
      <c r="B1334" s="14">
        <f>IFERROR(__xludf.DUMMYFUNCTION("""COMPUTED_VALUE"""),1208506.0)</f>
        <v>1208506</v>
      </c>
      <c r="C1334" s="14" t="str">
        <f>IFERROR(__xludf.DUMMYFUNCTION("""COMPUTED_VALUE"""),"彭秉濂")</f>
        <v>彭秉濂</v>
      </c>
      <c r="D1334" s="16" t="str">
        <f>IFERROR(__xludf.DUMMYFUNCTION("""COMPUTED_VALUE"""),"111*****s.lhvs.tyc.edu.tw")</f>
        <v>111*****s.lhvs.tyc.edu.tw</v>
      </c>
      <c r="E1334" s="17" t="str">
        <f>IFERROR(__xludf.DUMMYFUNCTION("""COMPUTED_VALUE"""),"六和學校財團法人桃園市六和高級中等學校附設國中部")</f>
        <v>六和學校財團法人桃園市六和高級中等學校附設國中部</v>
      </c>
      <c r="F1334" s="14" t="str">
        <f>IFERROR(__xludf.DUMMYFUNCTION("""COMPUTED_VALUE"""),"七年級")</f>
        <v>七年級</v>
      </c>
      <c r="G1334" s="14" t="str">
        <f>IFERROR(__xludf.DUMMYFUNCTION("""COMPUTED_VALUE"""),"獎狀")</f>
        <v>獎狀</v>
      </c>
      <c r="H1334" s="8"/>
    </row>
    <row r="1335">
      <c r="A1335" s="18"/>
      <c r="B1335" s="14">
        <f>IFERROR(__xludf.DUMMYFUNCTION("""COMPUTED_VALUE"""),1217589.0)</f>
        <v>1217589</v>
      </c>
      <c r="C1335" s="14" t="str">
        <f>IFERROR(__xludf.DUMMYFUNCTION("""COMPUTED_VALUE"""),"楊允萱")</f>
        <v>楊允萱</v>
      </c>
      <c r="D1335" s="16" t="str">
        <f>IFERROR(__xludf.DUMMYFUNCTION("""COMPUTED_VALUE"""),"111*****s.lhvs.tyc.edu.tw")</f>
        <v>111*****s.lhvs.tyc.edu.tw</v>
      </c>
      <c r="E1335" s="17" t="str">
        <f>IFERROR(__xludf.DUMMYFUNCTION("""COMPUTED_VALUE"""),"六和學校財團法人桃園市六和高級中等學校附設國中部")</f>
        <v>六和學校財團法人桃園市六和高級中等學校附設國中部</v>
      </c>
      <c r="F1335" s="14" t="str">
        <f>IFERROR(__xludf.DUMMYFUNCTION("""COMPUTED_VALUE"""),"七年級")</f>
        <v>七年級</v>
      </c>
      <c r="G1335" s="14" t="str">
        <f>IFERROR(__xludf.DUMMYFUNCTION("""COMPUTED_VALUE"""),"獎狀")</f>
        <v>獎狀</v>
      </c>
      <c r="H1335" s="8"/>
    </row>
    <row r="1336">
      <c r="A1336" s="18"/>
      <c r="B1336" s="14">
        <f>IFERROR(__xludf.DUMMYFUNCTION("""COMPUTED_VALUE"""),1218770.0)</f>
        <v>1218770</v>
      </c>
      <c r="C1336" s="14" t="str">
        <f>IFERROR(__xludf.DUMMYFUNCTION("""COMPUTED_VALUE"""),"潘嶸志")</f>
        <v>潘嶸志</v>
      </c>
      <c r="D1336" s="16" t="str">
        <f>IFERROR(__xludf.DUMMYFUNCTION("""COMPUTED_VALUE"""),"111*****s.lhvs.tyc.edu.tw")</f>
        <v>111*****s.lhvs.tyc.edu.tw</v>
      </c>
      <c r="E1336" s="17" t="str">
        <f>IFERROR(__xludf.DUMMYFUNCTION("""COMPUTED_VALUE"""),"六和學校財團法人桃園市六和高級中等學校附設國中部")</f>
        <v>六和學校財團法人桃園市六和高級中等學校附設國中部</v>
      </c>
      <c r="F1336" s="14" t="str">
        <f>IFERROR(__xludf.DUMMYFUNCTION("""COMPUTED_VALUE"""),"七年級")</f>
        <v>七年級</v>
      </c>
      <c r="G1336" s="14" t="str">
        <f>IFERROR(__xludf.DUMMYFUNCTION("""COMPUTED_VALUE"""),"獎狀")</f>
        <v>獎狀</v>
      </c>
      <c r="H1336" s="8"/>
    </row>
    <row r="1337">
      <c r="A1337" s="18"/>
      <c r="B1337" s="14">
        <f>IFERROR(__xludf.DUMMYFUNCTION("""COMPUTED_VALUE"""),1218698.0)</f>
        <v>1218698</v>
      </c>
      <c r="C1337" s="14" t="str">
        <f>IFERROR(__xludf.DUMMYFUNCTION("""COMPUTED_VALUE"""),"簡國峰")</f>
        <v>簡國峰</v>
      </c>
      <c r="D1337" s="16" t="str">
        <f>IFERROR(__xludf.DUMMYFUNCTION("""COMPUTED_VALUE"""),"111*****s.lhvs.tyc.edu.tw")</f>
        <v>111*****s.lhvs.tyc.edu.tw</v>
      </c>
      <c r="E1337" s="17" t="str">
        <f>IFERROR(__xludf.DUMMYFUNCTION("""COMPUTED_VALUE"""),"六和學校財團法人桃園市六和高級中等學校附設國中部")</f>
        <v>六和學校財團法人桃園市六和高級中等學校附設國中部</v>
      </c>
      <c r="F1337" s="14" t="str">
        <f>IFERROR(__xludf.DUMMYFUNCTION("""COMPUTED_VALUE"""),"七年級")</f>
        <v>七年級</v>
      </c>
      <c r="G1337" s="14" t="str">
        <f>IFERROR(__xludf.DUMMYFUNCTION("""COMPUTED_VALUE"""),"獎狀")</f>
        <v>獎狀</v>
      </c>
      <c r="H1337" s="8"/>
    </row>
    <row r="1338">
      <c r="A1338" s="18"/>
      <c r="B1338" s="14">
        <f>IFERROR(__xludf.DUMMYFUNCTION("""COMPUTED_VALUE"""),1208911.0)</f>
        <v>1208911</v>
      </c>
      <c r="C1338" s="14" t="str">
        <f>IFERROR(__xludf.DUMMYFUNCTION("""COMPUTED_VALUE"""),"陳宥宇")</f>
        <v>陳宥宇</v>
      </c>
      <c r="D1338" s="16" t="str">
        <f>IFERROR(__xludf.DUMMYFUNCTION("""COMPUTED_VALUE"""),"110*****s.lhvs.tyc.edu.tw")</f>
        <v>110*****s.lhvs.tyc.edu.tw</v>
      </c>
      <c r="E1338" s="17" t="str">
        <f>IFERROR(__xludf.DUMMYFUNCTION("""COMPUTED_VALUE"""),"六和學校財團法人桃園市六和高級中等學校附設國中部")</f>
        <v>六和學校財團法人桃園市六和高級中等學校附設國中部</v>
      </c>
      <c r="F1338" s="14" t="str">
        <f>IFERROR(__xludf.DUMMYFUNCTION("""COMPUTED_VALUE"""),"八年級")</f>
        <v>八年級</v>
      </c>
      <c r="G1338" s="14" t="str">
        <f>IFERROR(__xludf.DUMMYFUNCTION("""COMPUTED_VALUE"""),"●小禮物")</f>
        <v>●小禮物</v>
      </c>
      <c r="H1338" s="8"/>
    </row>
    <row r="1339">
      <c r="A1339" s="18"/>
      <c r="B1339" s="14">
        <f>IFERROR(__xludf.DUMMYFUNCTION("""COMPUTED_VALUE"""),848941.0)</f>
        <v>848941</v>
      </c>
      <c r="C1339" s="14" t="str">
        <f>IFERROR(__xludf.DUMMYFUNCTION("""COMPUTED_VALUE"""),"吳庭媗")</f>
        <v>吳庭媗</v>
      </c>
      <c r="D1339" s="16" t="str">
        <f>IFERROR(__xludf.DUMMYFUNCTION("""COMPUTED_VALUE"""),"tin*****a@gmail.com")</f>
        <v>tin*****a@gmail.com</v>
      </c>
      <c r="E1339" s="17" t="str">
        <f>IFERROR(__xludf.DUMMYFUNCTION("""COMPUTED_VALUE"""),"六和學校財團法人桃園市六和高級中等學校附設國中部")</f>
        <v>六和學校財團法人桃園市六和高級中等學校附設國中部</v>
      </c>
      <c r="F1339" s="14" t="str">
        <f>IFERROR(__xludf.DUMMYFUNCTION("""COMPUTED_VALUE"""),"八年級")</f>
        <v>八年級</v>
      </c>
      <c r="G1339" s="14" t="str">
        <f>IFERROR(__xludf.DUMMYFUNCTION("""COMPUTED_VALUE"""),"獎狀")</f>
        <v>獎狀</v>
      </c>
      <c r="H1339" s="8"/>
    </row>
    <row r="1340">
      <c r="A1340" s="18"/>
      <c r="B1340" s="14">
        <f>IFERROR(__xludf.DUMMYFUNCTION("""COMPUTED_VALUE"""),866617.0)</f>
        <v>866617</v>
      </c>
      <c r="C1340" s="14" t="str">
        <f>IFERROR(__xludf.DUMMYFUNCTION("""COMPUTED_VALUE"""),"麥秋姍")</f>
        <v>麥秋姍</v>
      </c>
      <c r="D1340" s="16" t="str">
        <f>IFERROR(__xludf.DUMMYFUNCTION("""COMPUTED_VALUE"""),"110*****s.lhvs.tyc.edu.tw")</f>
        <v>110*****s.lhvs.tyc.edu.tw</v>
      </c>
      <c r="E1340" s="17" t="str">
        <f>IFERROR(__xludf.DUMMYFUNCTION("""COMPUTED_VALUE"""),"六和學校財團法人桃園市六和高級中等學校附設國中部")</f>
        <v>六和學校財團法人桃園市六和高級中等學校附設國中部</v>
      </c>
      <c r="F1340" s="14" t="str">
        <f>IFERROR(__xludf.DUMMYFUNCTION("""COMPUTED_VALUE"""),"八年級")</f>
        <v>八年級</v>
      </c>
      <c r="G1340" s="14" t="str">
        <f>IFERROR(__xludf.DUMMYFUNCTION("""COMPUTED_VALUE"""),"●小禮物")</f>
        <v>●小禮物</v>
      </c>
      <c r="H1340" s="8"/>
    </row>
    <row r="1341">
      <c r="A1341" s="18"/>
      <c r="B1341" s="14">
        <f>IFERROR(__xludf.DUMMYFUNCTION("""COMPUTED_VALUE"""),863041.0)</f>
        <v>863041</v>
      </c>
      <c r="C1341" s="14" t="str">
        <f>IFERROR(__xludf.DUMMYFUNCTION("""COMPUTED_VALUE"""),"舒筠喬")</f>
        <v>舒筠喬</v>
      </c>
      <c r="D1341" s="16" t="str">
        <f>IFERROR(__xludf.DUMMYFUNCTION("""COMPUTED_VALUE"""),"zon*****692@gmail.com")</f>
        <v>zon*****692@gmail.com</v>
      </c>
      <c r="E1341" s="17" t="str">
        <f>IFERROR(__xludf.DUMMYFUNCTION("""COMPUTED_VALUE"""),"六和學校財團法人桃園市六和高級中等學校附設國中部")</f>
        <v>六和學校財團法人桃園市六和高級中等學校附設國中部</v>
      </c>
      <c r="F1341" s="14" t="str">
        <f>IFERROR(__xludf.DUMMYFUNCTION("""COMPUTED_VALUE"""),"八年級")</f>
        <v>八年級</v>
      </c>
      <c r="G1341" s="14" t="str">
        <f>IFERROR(__xludf.DUMMYFUNCTION("""COMPUTED_VALUE"""),"●小禮物")</f>
        <v>●小禮物</v>
      </c>
      <c r="H1341" s="8"/>
    </row>
    <row r="1342">
      <c r="A1342" s="18"/>
      <c r="B1342" s="14">
        <f>IFERROR(__xludf.DUMMYFUNCTION("""COMPUTED_VALUE"""),863054.0)</f>
        <v>863054</v>
      </c>
      <c r="C1342" s="14" t="str">
        <f>IFERROR(__xludf.DUMMYFUNCTION("""COMPUTED_VALUE"""),"林鈺芮")</f>
        <v>林鈺芮</v>
      </c>
      <c r="D1342" s="16" t="str">
        <f>IFERROR(__xludf.DUMMYFUNCTION("""COMPUTED_VALUE"""),"can*****u05@gmail.com")</f>
        <v>can*****u05@gmail.com</v>
      </c>
      <c r="E1342" s="17" t="str">
        <f>IFERROR(__xludf.DUMMYFUNCTION("""COMPUTED_VALUE"""),"六和學校財團法人桃園市六和高級中等學校附設國中部")</f>
        <v>六和學校財團法人桃園市六和高級中等學校附設國中部</v>
      </c>
      <c r="F1342" s="14" t="str">
        <f>IFERROR(__xludf.DUMMYFUNCTION("""COMPUTED_VALUE"""),"八年級")</f>
        <v>八年級</v>
      </c>
      <c r="G1342" s="14" t="str">
        <f>IFERROR(__xludf.DUMMYFUNCTION("""COMPUTED_VALUE"""),"獎狀")</f>
        <v>獎狀</v>
      </c>
      <c r="H1342" s="8"/>
    </row>
    <row r="1343">
      <c r="A1343" s="18"/>
      <c r="B1343" s="14">
        <f>IFERROR(__xludf.DUMMYFUNCTION("""COMPUTED_VALUE"""),861305.0)</f>
        <v>861305</v>
      </c>
      <c r="C1343" s="14" t="str">
        <f>IFERROR(__xludf.DUMMYFUNCTION("""COMPUTED_VALUE"""),"施志濰")</f>
        <v>施志濰</v>
      </c>
      <c r="D1343" s="16" t="str">
        <f>IFERROR(__xludf.DUMMYFUNCTION("""COMPUTED_VALUE"""),"wis*****30shih@gmail.com")</f>
        <v>wis*****30shih@gmail.com</v>
      </c>
      <c r="E1343" s="17" t="str">
        <f>IFERROR(__xludf.DUMMYFUNCTION("""COMPUTED_VALUE"""),"六和學校財團法人桃園市六和高級中等學校附設國中部")</f>
        <v>六和學校財團法人桃園市六和高級中等學校附設國中部</v>
      </c>
      <c r="F1343" s="14" t="str">
        <f>IFERROR(__xludf.DUMMYFUNCTION("""COMPUTED_VALUE"""),"八年級")</f>
        <v>八年級</v>
      </c>
      <c r="G1343" s="14" t="str">
        <f>IFERROR(__xludf.DUMMYFUNCTION("""COMPUTED_VALUE"""),"獎狀")</f>
        <v>獎狀</v>
      </c>
      <c r="H1343" s="8"/>
    </row>
    <row r="1344">
      <c r="A1344" s="18"/>
      <c r="B1344" s="14">
        <f>IFERROR(__xludf.DUMMYFUNCTION("""COMPUTED_VALUE"""),877445.0)</f>
        <v>877445</v>
      </c>
      <c r="C1344" s="14" t="str">
        <f>IFERROR(__xludf.DUMMYFUNCTION("""COMPUTED_VALUE"""),"童立行")</f>
        <v>童立行</v>
      </c>
      <c r="D1344" s="16" t="str">
        <f>IFERROR(__xludf.DUMMYFUNCTION("""COMPUTED_VALUE"""),"110*****s.lhvs.tyc.edu.tw")</f>
        <v>110*****s.lhvs.tyc.edu.tw</v>
      </c>
      <c r="E1344" s="17" t="str">
        <f>IFERROR(__xludf.DUMMYFUNCTION("""COMPUTED_VALUE"""),"六和學校財團法人桃園市六和高級中等學校附設國中部")</f>
        <v>六和學校財團法人桃園市六和高級中等學校附設國中部</v>
      </c>
      <c r="F1344" s="14" t="str">
        <f>IFERROR(__xludf.DUMMYFUNCTION("""COMPUTED_VALUE"""),"八年級")</f>
        <v>八年級</v>
      </c>
      <c r="G1344" s="14" t="str">
        <f>IFERROR(__xludf.DUMMYFUNCTION("""COMPUTED_VALUE"""),"獎狀")</f>
        <v>獎狀</v>
      </c>
      <c r="H1344" s="8"/>
    </row>
    <row r="1345">
      <c r="A1345" s="18"/>
      <c r="B1345" s="14">
        <f>IFERROR(__xludf.DUMMYFUNCTION("""COMPUTED_VALUE"""),705196.0)</f>
        <v>705196</v>
      </c>
      <c r="C1345" s="14" t="str">
        <f>IFERROR(__xludf.DUMMYFUNCTION("""COMPUTED_VALUE"""),"黃千芮")</f>
        <v>黃千芮</v>
      </c>
      <c r="D1345" s="16" t="str">
        <f>IFERROR(__xludf.DUMMYFUNCTION("""COMPUTED_VALUE"""),"109*****s.lhvs.tyc.edu.tw")</f>
        <v>109*****s.lhvs.tyc.edu.tw</v>
      </c>
      <c r="E1345" s="17" t="str">
        <f>IFERROR(__xludf.DUMMYFUNCTION("""COMPUTED_VALUE"""),"六和學校財團法人桃園市六和高級中等學校附設國中部")</f>
        <v>六和學校財團法人桃園市六和高級中等學校附設國中部</v>
      </c>
      <c r="F1345" s="14" t="str">
        <f>IFERROR(__xludf.DUMMYFUNCTION("""COMPUTED_VALUE"""),"九年級")</f>
        <v>九年級</v>
      </c>
      <c r="G1345" s="14" t="str">
        <f>IFERROR(__xludf.DUMMYFUNCTION("""COMPUTED_VALUE"""),"獎狀")</f>
        <v>獎狀</v>
      </c>
      <c r="H1345" s="8"/>
    </row>
    <row r="1346">
      <c r="A1346" s="18"/>
      <c r="B1346" s="14">
        <f>IFERROR(__xludf.DUMMYFUNCTION("""COMPUTED_VALUE"""),705199.0)</f>
        <v>705199</v>
      </c>
      <c r="C1346" s="14" t="str">
        <f>IFERROR(__xludf.DUMMYFUNCTION("""COMPUTED_VALUE"""),"蕭羽芯")</f>
        <v>蕭羽芯</v>
      </c>
      <c r="D1346" s="16" t="str">
        <f>IFERROR(__xludf.DUMMYFUNCTION("""COMPUTED_VALUE"""),"109*****s.lhvs.tyc.edu.tw")</f>
        <v>109*****s.lhvs.tyc.edu.tw</v>
      </c>
      <c r="E1346" s="17" t="str">
        <f>IFERROR(__xludf.DUMMYFUNCTION("""COMPUTED_VALUE"""),"六和學校財團法人桃園市六和高級中等學校附設國中部")</f>
        <v>六和學校財團法人桃園市六和高級中等學校附設國中部</v>
      </c>
      <c r="F1346" s="14" t="str">
        <f>IFERROR(__xludf.DUMMYFUNCTION("""COMPUTED_VALUE"""),"九年級")</f>
        <v>九年級</v>
      </c>
      <c r="G1346" s="14" t="str">
        <f>IFERROR(__xludf.DUMMYFUNCTION("""COMPUTED_VALUE"""),"獎狀")</f>
        <v>獎狀</v>
      </c>
      <c r="H1346" s="8"/>
    </row>
    <row r="1347">
      <c r="A1347" s="18"/>
      <c r="B1347" s="14">
        <f>IFERROR(__xludf.DUMMYFUNCTION("""COMPUTED_VALUE"""),1183426.0)</f>
        <v>1183426</v>
      </c>
      <c r="C1347" s="14" t="str">
        <f>IFERROR(__xludf.DUMMYFUNCTION("""COMPUTED_VALUE"""),"洪梓晴")</f>
        <v>洪梓晴</v>
      </c>
      <c r="D1347" s="16" t="str">
        <f>IFERROR(__xludf.DUMMYFUNCTION("""COMPUTED_VALUE"""),"j11*****@gm.fdhs.tyc.edu.tw")</f>
        <v>j11*****@gm.fdhs.tyc.edu.tw</v>
      </c>
      <c r="E1347" s="17" t="str">
        <f>IFERROR(__xludf.DUMMYFUNCTION("""COMPUTED_VALUE"""),"復旦學校財團法人桃園市復旦高級中等學校附設國中部")</f>
        <v>復旦學校財團法人桃園市復旦高級中等學校附設國中部</v>
      </c>
      <c r="F1347" s="14" t="str">
        <f>IFERROR(__xludf.DUMMYFUNCTION("""COMPUTED_VALUE"""),"七年級")</f>
        <v>七年級</v>
      </c>
      <c r="G1347" s="14" t="str">
        <f>IFERROR(__xludf.DUMMYFUNCTION("""COMPUTED_VALUE"""),"●小禮物")</f>
        <v>●小禮物</v>
      </c>
      <c r="H1347" s="8"/>
    </row>
    <row r="1348">
      <c r="A1348" s="18"/>
      <c r="B1348" s="14">
        <f>IFERROR(__xludf.DUMMYFUNCTION("""COMPUTED_VALUE"""),1152066.0)</f>
        <v>1152066</v>
      </c>
      <c r="C1348" s="14" t="str">
        <f>IFERROR(__xludf.DUMMYFUNCTION("""COMPUTED_VALUE"""),"姜艾妗")</f>
        <v>姜艾妗</v>
      </c>
      <c r="D1348" s="16" t="str">
        <f>IFERROR(__xludf.DUMMYFUNCTION("""COMPUTED_VALUE"""),"j11*****@gm.fdhs.tyc.edu.tw")</f>
        <v>j11*****@gm.fdhs.tyc.edu.tw</v>
      </c>
      <c r="E1348" s="17" t="str">
        <f>IFERROR(__xludf.DUMMYFUNCTION("""COMPUTED_VALUE"""),"復旦學校財團法人桃園市復旦高級中等學校附設國中部")</f>
        <v>復旦學校財團法人桃園市復旦高級中等學校附設國中部</v>
      </c>
      <c r="F1348" s="14" t="str">
        <f>IFERROR(__xludf.DUMMYFUNCTION("""COMPUTED_VALUE"""),"七年級")</f>
        <v>七年級</v>
      </c>
      <c r="G1348" s="14" t="str">
        <f>IFERROR(__xludf.DUMMYFUNCTION("""COMPUTED_VALUE"""),"獎狀")</f>
        <v>獎狀</v>
      </c>
      <c r="H1348" s="8"/>
    </row>
    <row r="1349">
      <c r="A1349" s="18"/>
      <c r="B1349" s="14">
        <f>IFERROR(__xludf.DUMMYFUNCTION("""COMPUTED_VALUE"""),1217569.0)</f>
        <v>1217569</v>
      </c>
      <c r="C1349" s="14" t="str">
        <f>IFERROR(__xludf.DUMMYFUNCTION("""COMPUTED_VALUE"""),"呂絜")</f>
        <v>呂絜</v>
      </c>
      <c r="D1349" s="16" t="str">
        <f>IFERROR(__xludf.DUMMYFUNCTION("""COMPUTED_VALUE"""),"pjj*****206@pjjh.tyc.edu.tw")</f>
        <v>pjj*****206@pjjh.tyc.edu.tw</v>
      </c>
      <c r="E1349" s="17" t="str">
        <f>IFERROR(__xludf.DUMMYFUNCTION("""COMPUTED_VALUE"""),"桃園市立平鎮國民中學")</f>
        <v>桃園市立平鎮國民中學</v>
      </c>
      <c r="F1349" s="14" t="str">
        <f>IFERROR(__xludf.DUMMYFUNCTION("""COMPUTED_VALUE"""),"七年級")</f>
        <v>七年級</v>
      </c>
      <c r="G1349" s="14" t="str">
        <f>IFERROR(__xludf.DUMMYFUNCTION("""COMPUTED_VALUE"""),"●小禮物")</f>
        <v>●小禮物</v>
      </c>
      <c r="H1349" s="8"/>
    </row>
    <row r="1350">
      <c r="A1350" s="18"/>
      <c r="B1350" s="14">
        <f>IFERROR(__xludf.DUMMYFUNCTION("""COMPUTED_VALUE"""),977130.0)</f>
        <v>977130</v>
      </c>
      <c r="C1350" s="14" t="str">
        <f>IFERROR(__xludf.DUMMYFUNCTION("""COMPUTED_VALUE"""),"蔡欣渝")</f>
        <v>蔡欣渝</v>
      </c>
      <c r="D1350" s="16" t="str">
        <f>IFERROR(__xludf.DUMMYFUNCTION("""COMPUTED_VALUE"""),"syt*****@gmail.com")</f>
        <v>syt*****@gmail.com</v>
      </c>
      <c r="E1350" s="17" t="str">
        <f>IFERROR(__xludf.DUMMYFUNCTION("""COMPUTED_VALUE"""),"桃園市立平鎮國民中學")</f>
        <v>桃園市立平鎮國民中學</v>
      </c>
      <c r="F1350" s="14" t="str">
        <f>IFERROR(__xludf.DUMMYFUNCTION("""COMPUTED_VALUE"""),"八年級")</f>
        <v>八年級</v>
      </c>
      <c r="G1350" s="14" t="str">
        <f>IFERROR(__xludf.DUMMYFUNCTION("""COMPUTED_VALUE"""),"獎狀")</f>
        <v>獎狀</v>
      </c>
      <c r="H1350" s="8"/>
    </row>
    <row r="1351">
      <c r="A1351" s="18"/>
      <c r="B1351" s="14">
        <f>IFERROR(__xludf.DUMMYFUNCTION("""COMPUTED_VALUE"""),243007.0)</f>
        <v>243007</v>
      </c>
      <c r="C1351" s="14" t="str">
        <f>IFERROR(__xludf.DUMMYFUNCTION("""COMPUTED_VALUE"""),"吳柏辰")</f>
        <v>吳柏辰</v>
      </c>
      <c r="D1351" s="16" t="str">
        <f>IFERROR(__xludf.DUMMYFUNCTION("""COMPUTED_VALUE"""),"bbw*****78952@gmail.com")</f>
        <v>bbw*****78952@gmail.com</v>
      </c>
      <c r="E1351" s="17" t="str">
        <f>IFERROR(__xludf.DUMMYFUNCTION("""COMPUTED_VALUE"""),"桃園市立平鎮國民中學")</f>
        <v>桃園市立平鎮國民中學</v>
      </c>
      <c r="F1351" s="14" t="str">
        <f>IFERROR(__xludf.DUMMYFUNCTION("""COMPUTED_VALUE"""),"九年級")</f>
        <v>九年級</v>
      </c>
      <c r="G1351" s="14" t="str">
        <f>IFERROR(__xludf.DUMMYFUNCTION("""COMPUTED_VALUE"""),"●小禮物")</f>
        <v>●小禮物</v>
      </c>
      <c r="H1351" s="8"/>
    </row>
    <row r="1352">
      <c r="A1352" s="18"/>
      <c r="B1352" s="14">
        <f>IFERROR(__xludf.DUMMYFUNCTION("""COMPUTED_VALUE"""),1194901.0)</f>
        <v>1194901</v>
      </c>
      <c r="C1352" s="14" t="str">
        <f>IFERROR(__xludf.DUMMYFUNCTION("""COMPUTED_VALUE"""),"徐湘鈴")</f>
        <v>徐湘鈴</v>
      </c>
      <c r="D1352" s="16" t="str">
        <f>IFERROR(__xludf.DUMMYFUNCTION("""COMPUTED_VALUE"""),"111*****st.lyjh.tyc.edu.tw")</f>
        <v>111*****st.lyjh.tyc.edu.tw</v>
      </c>
      <c r="E1352" s="17" t="str">
        <f>IFERROR(__xludf.DUMMYFUNCTION("""COMPUTED_VALUE"""),"桃園市立凌雲國民中學")</f>
        <v>桃園市立凌雲國民中學</v>
      </c>
      <c r="F1352" s="14" t="str">
        <f>IFERROR(__xludf.DUMMYFUNCTION("""COMPUTED_VALUE"""),"七年級")</f>
        <v>七年級</v>
      </c>
      <c r="G1352" s="14" t="str">
        <f>IFERROR(__xludf.DUMMYFUNCTION("""COMPUTED_VALUE"""),"獎狀")</f>
        <v>獎狀</v>
      </c>
      <c r="H1352" s="8"/>
    </row>
    <row r="1353">
      <c r="A1353" s="18"/>
      <c r="B1353" s="14">
        <f>IFERROR(__xludf.DUMMYFUNCTION("""COMPUTED_VALUE"""),540212.0)</f>
        <v>540212</v>
      </c>
      <c r="C1353" s="14" t="str">
        <f>IFERROR(__xludf.DUMMYFUNCTION("""COMPUTED_VALUE"""),"徐佳琦")</f>
        <v>徐佳琦</v>
      </c>
      <c r="D1353" s="16" t="str">
        <f>IFERROR(__xludf.DUMMYFUNCTION("""COMPUTED_VALUE"""),"tyc*****50@mail.edu.tw")</f>
        <v>tyc*****50@mail.edu.tw</v>
      </c>
      <c r="E1353" s="17" t="str">
        <f>IFERROR(__xludf.DUMMYFUNCTION("""COMPUTED_VALUE"""),"桃園市立凌雲國民中學")</f>
        <v>桃園市立凌雲國民中學</v>
      </c>
      <c r="F1353" s="14" t="str">
        <f>IFERROR(__xludf.DUMMYFUNCTION("""COMPUTED_VALUE"""),"九年級")</f>
        <v>九年級</v>
      </c>
      <c r="G1353" s="14" t="str">
        <f>IFERROR(__xludf.DUMMYFUNCTION("""COMPUTED_VALUE"""),"●小禮物")</f>
        <v>●小禮物</v>
      </c>
      <c r="H1353" s="8"/>
    </row>
    <row r="1354">
      <c r="A1354" s="18"/>
      <c r="B1354" s="14">
        <f>IFERROR(__xludf.DUMMYFUNCTION("""COMPUTED_VALUE"""),542741.0)</f>
        <v>542741</v>
      </c>
      <c r="C1354" s="14" t="str">
        <f>IFERROR(__xludf.DUMMYFUNCTION("""COMPUTED_VALUE"""),"翁穎宥")</f>
        <v>翁穎宥</v>
      </c>
      <c r="D1354" s="16" t="str">
        <f>IFERROR(__xludf.DUMMYFUNCTION("""COMPUTED_VALUE"""),"dog*****74@mail.edu.tw")</f>
        <v>dog*****74@mail.edu.tw</v>
      </c>
      <c r="E1354" s="17" t="str">
        <f>IFERROR(__xludf.DUMMYFUNCTION("""COMPUTED_VALUE"""),"桃園市立凌雲國民中學")</f>
        <v>桃園市立凌雲國民中學</v>
      </c>
      <c r="F1354" s="14" t="str">
        <f>IFERROR(__xludf.DUMMYFUNCTION("""COMPUTED_VALUE"""),"九年級")</f>
        <v>九年級</v>
      </c>
      <c r="G1354" s="14" t="str">
        <f>IFERROR(__xludf.DUMMYFUNCTION("""COMPUTED_VALUE"""),"獎狀")</f>
        <v>獎狀</v>
      </c>
      <c r="H1354" s="8"/>
    </row>
    <row r="1355">
      <c r="A1355" s="18"/>
      <c r="B1355" s="14">
        <f>IFERROR(__xludf.DUMMYFUNCTION("""COMPUTED_VALUE"""),544795.0)</f>
        <v>544795</v>
      </c>
      <c r="C1355" s="14" t="str">
        <f>IFERROR(__xludf.DUMMYFUNCTION("""COMPUTED_VALUE"""),"黃勤嵐")</f>
        <v>黃勤嵐</v>
      </c>
      <c r="D1355" s="16" t="str">
        <f>IFERROR(__xludf.DUMMYFUNCTION("""COMPUTED_VALUE"""),"tyc*****09@mail.edu.tw")</f>
        <v>tyc*****09@mail.edu.tw</v>
      </c>
      <c r="E1355" s="17" t="str">
        <f>IFERROR(__xludf.DUMMYFUNCTION("""COMPUTED_VALUE"""),"桃園市立凌雲國民中學")</f>
        <v>桃園市立凌雲國民中學</v>
      </c>
      <c r="F1355" s="14" t="str">
        <f>IFERROR(__xludf.DUMMYFUNCTION("""COMPUTED_VALUE"""),"九年級")</f>
        <v>九年級</v>
      </c>
      <c r="G1355" s="14" t="str">
        <f>IFERROR(__xludf.DUMMYFUNCTION("""COMPUTED_VALUE"""),"●小禮物")</f>
        <v>●小禮物</v>
      </c>
      <c r="H1355" s="8"/>
    </row>
    <row r="1356">
      <c r="A1356" s="18"/>
      <c r="B1356" s="14">
        <f>IFERROR(__xludf.DUMMYFUNCTION("""COMPUTED_VALUE"""),455302.0)</f>
        <v>455302</v>
      </c>
      <c r="C1356" s="14" t="str">
        <f>IFERROR(__xludf.DUMMYFUNCTION("""COMPUTED_VALUE"""),"朱品叡")</f>
        <v>朱品叡</v>
      </c>
      <c r="D1356" s="16" t="str">
        <f>IFERROR(__xludf.DUMMYFUNCTION("""COMPUTED_VALUE"""),"109*****gm.whjhs.tyc.edu.tw")</f>
        <v>109*****gm.whjhs.tyc.edu.tw</v>
      </c>
      <c r="E1356" s="17" t="str">
        <f>IFERROR(__xludf.DUMMYFUNCTION("""COMPUTED_VALUE"""),"桃園市立武漢國民中學")</f>
        <v>桃園市立武漢國民中學</v>
      </c>
      <c r="F1356" s="14" t="str">
        <f>IFERROR(__xludf.DUMMYFUNCTION("""COMPUTED_VALUE"""),"九年級")</f>
        <v>九年級</v>
      </c>
      <c r="G1356" s="14" t="str">
        <f>IFERROR(__xludf.DUMMYFUNCTION("""COMPUTED_VALUE"""),"●小禮物")</f>
        <v>●小禮物</v>
      </c>
      <c r="H1356" s="8"/>
    </row>
    <row r="1357">
      <c r="A1357" s="18"/>
      <c r="B1357" s="14">
        <f>IFERROR(__xludf.DUMMYFUNCTION("""COMPUTED_VALUE"""),452223.0)</f>
        <v>452223</v>
      </c>
      <c r="C1357" s="14" t="str">
        <f>IFERROR(__xludf.DUMMYFUNCTION("""COMPUTED_VALUE"""),"劉弈岑")</f>
        <v>劉弈岑</v>
      </c>
      <c r="D1357" s="16" t="str">
        <f>IFERROR(__xludf.DUMMYFUNCTION("""COMPUTED_VALUE"""),"109*****gm.whjhs.tyc.edu.tw")</f>
        <v>109*****gm.whjhs.tyc.edu.tw</v>
      </c>
      <c r="E1357" s="17" t="str">
        <f>IFERROR(__xludf.DUMMYFUNCTION("""COMPUTED_VALUE"""),"桃園市立武漢國民中學")</f>
        <v>桃園市立武漢國民中學</v>
      </c>
      <c r="F1357" s="14" t="str">
        <f>IFERROR(__xludf.DUMMYFUNCTION("""COMPUTED_VALUE"""),"九年級")</f>
        <v>九年級</v>
      </c>
      <c r="G1357" s="14" t="str">
        <f>IFERROR(__xludf.DUMMYFUNCTION("""COMPUTED_VALUE"""),"獎狀")</f>
        <v>獎狀</v>
      </c>
      <c r="H1357" s="8"/>
    </row>
    <row r="1358">
      <c r="A1358" s="18"/>
      <c r="B1358" s="14">
        <f>IFERROR(__xludf.DUMMYFUNCTION("""COMPUTED_VALUE"""),88937.0)</f>
        <v>88937</v>
      </c>
      <c r="C1358" s="14" t="str">
        <f>IFERROR(__xludf.DUMMYFUNCTION("""COMPUTED_VALUE"""),"曾子墨")</f>
        <v>曾子墨</v>
      </c>
      <c r="D1358" s="16" t="str">
        <f>IFERROR(__xludf.DUMMYFUNCTION("""COMPUTED_VALUE"""),"sup*****2007@gmail.com")</f>
        <v>sup*****2007@gmail.com</v>
      </c>
      <c r="E1358" s="17" t="str">
        <f>IFERROR(__xludf.DUMMYFUNCTION("""COMPUTED_VALUE"""),"桃園市立瑞原國民中學")</f>
        <v>桃園市立瑞原國民中學</v>
      </c>
      <c r="F1358" s="14" t="str">
        <f>IFERROR(__xludf.DUMMYFUNCTION("""COMPUTED_VALUE"""),"九年級")</f>
        <v>九年級</v>
      </c>
      <c r="G1358" s="14" t="str">
        <f>IFERROR(__xludf.DUMMYFUNCTION("""COMPUTED_VALUE"""),"●小禮物")</f>
        <v>●小禮物</v>
      </c>
      <c r="H1358" s="8"/>
    </row>
    <row r="1359">
      <c r="A1359" s="18"/>
      <c r="B1359" s="14">
        <f>IFERROR(__xludf.DUMMYFUNCTION("""COMPUTED_VALUE"""),1178197.0)</f>
        <v>1178197</v>
      </c>
      <c r="C1359" s="14" t="str">
        <f>IFERROR(__xludf.DUMMYFUNCTION("""COMPUTED_VALUE"""),"呂采諭")</f>
        <v>呂采諭</v>
      </c>
      <c r="D1359" s="16" t="str">
        <f>IFERROR(__xludf.DUMMYFUNCTION("""COMPUTED_VALUE"""),"day*****0929@dyjhs.tyc.edu.tw")</f>
        <v>day*****0929@dyjhs.tyc.edu.tw</v>
      </c>
      <c r="E1359" s="17" t="str">
        <f>IFERROR(__xludf.DUMMYFUNCTION("""COMPUTED_VALUE"""),"桃園市立大有國民中學")</f>
        <v>桃園市立大有國民中學</v>
      </c>
      <c r="F1359" s="14" t="str">
        <f>IFERROR(__xludf.DUMMYFUNCTION("""COMPUTED_VALUE"""),"七年級")</f>
        <v>七年級</v>
      </c>
      <c r="G1359" s="14" t="str">
        <f>IFERROR(__xludf.DUMMYFUNCTION("""COMPUTED_VALUE"""),"獎狀")</f>
        <v>獎狀</v>
      </c>
      <c r="H1359" s="8"/>
    </row>
    <row r="1360">
      <c r="A1360" s="18"/>
      <c r="B1360" s="14">
        <f>IFERROR(__xludf.DUMMYFUNCTION("""COMPUTED_VALUE"""),1183056.0)</f>
        <v>1183056</v>
      </c>
      <c r="C1360" s="14" t="str">
        <f>IFERROR(__xludf.DUMMYFUNCTION("""COMPUTED_VALUE"""),"莊覲合")</f>
        <v>莊覲合</v>
      </c>
      <c r="D1360" s="16" t="str">
        <f>IFERROR(__xludf.DUMMYFUNCTION("""COMPUTED_VALUE"""),"day*****0225@dyjhs.tyc.edu.tw")</f>
        <v>day*****0225@dyjhs.tyc.edu.tw</v>
      </c>
      <c r="E1360" s="17" t="str">
        <f>IFERROR(__xludf.DUMMYFUNCTION("""COMPUTED_VALUE"""),"桃園市立大有國民中學")</f>
        <v>桃園市立大有國民中學</v>
      </c>
      <c r="F1360" s="14" t="str">
        <f>IFERROR(__xludf.DUMMYFUNCTION("""COMPUTED_VALUE"""),"七年級")</f>
        <v>七年級</v>
      </c>
      <c r="G1360" s="14" t="str">
        <f>IFERROR(__xludf.DUMMYFUNCTION("""COMPUTED_VALUE"""),"獎狀")</f>
        <v>獎狀</v>
      </c>
      <c r="H1360" s="8"/>
    </row>
    <row r="1361">
      <c r="A1361" s="18"/>
      <c r="B1361" s="14">
        <f>IFERROR(__xludf.DUMMYFUNCTION("""COMPUTED_VALUE"""),1178785.0)</f>
        <v>1178785</v>
      </c>
      <c r="C1361" s="14" t="str">
        <f>IFERROR(__xludf.DUMMYFUNCTION("""COMPUTED_VALUE"""),"劉韋均")</f>
        <v>劉韋均</v>
      </c>
      <c r="D1361" s="16" t="str">
        <f>IFERROR(__xludf.DUMMYFUNCTION("""COMPUTED_VALUE"""),"day*****1122@dyjhs.tyc.edu.tw")</f>
        <v>day*****1122@dyjhs.tyc.edu.tw</v>
      </c>
      <c r="E1361" s="17" t="str">
        <f>IFERROR(__xludf.DUMMYFUNCTION("""COMPUTED_VALUE"""),"桃園市立大有國民中學")</f>
        <v>桃園市立大有國民中學</v>
      </c>
      <c r="F1361" s="14" t="str">
        <f>IFERROR(__xludf.DUMMYFUNCTION("""COMPUTED_VALUE"""),"七年級")</f>
        <v>七年級</v>
      </c>
      <c r="G1361" s="14" t="str">
        <f>IFERROR(__xludf.DUMMYFUNCTION("""COMPUTED_VALUE"""),"獎狀")</f>
        <v>獎狀</v>
      </c>
      <c r="H1361" s="8"/>
    </row>
    <row r="1362">
      <c r="A1362" s="18"/>
      <c r="B1362" s="14">
        <f>IFERROR(__xludf.DUMMYFUNCTION("""COMPUTED_VALUE"""),1178459.0)</f>
        <v>1178459</v>
      </c>
      <c r="C1362" s="14" t="str">
        <f>IFERROR(__xludf.DUMMYFUNCTION("""COMPUTED_VALUE"""),"許家郡")</f>
        <v>許家郡</v>
      </c>
      <c r="D1362" s="16" t="str">
        <f>IFERROR(__xludf.DUMMYFUNCTION("""COMPUTED_VALUE"""),"day*****1203@dyjhs.tyc.edu.tw")</f>
        <v>day*****1203@dyjhs.tyc.edu.tw</v>
      </c>
      <c r="E1362" s="17" t="str">
        <f>IFERROR(__xludf.DUMMYFUNCTION("""COMPUTED_VALUE"""),"桃園市立大有國民中學")</f>
        <v>桃園市立大有國民中學</v>
      </c>
      <c r="F1362" s="14" t="str">
        <f>IFERROR(__xludf.DUMMYFUNCTION("""COMPUTED_VALUE"""),"八年級")</f>
        <v>八年級</v>
      </c>
      <c r="G1362" s="14" t="str">
        <f>IFERROR(__xludf.DUMMYFUNCTION("""COMPUTED_VALUE"""),"●小禮物")</f>
        <v>●小禮物</v>
      </c>
      <c r="H1362" s="8"/>
    </row>
    <row r="1363">
      <c r="A1363" s="18"/>
      <c r="B1363" s="14">
        <f>IFERROR(__xludf.DUMMYFUNCTION("""COMPUTED_VALUE"""),1176634.0)</f>
        <v>1176634</v>
      </c>
      <c r="C1363" s="14" t="str">
        <f>IFERROR(__xludf.DUMMYFUNCTION("""COMPUTED_VALUE"""),"蕭湘螢")</f>
        <v>蕭湘螢</v>
      </c>
      <c r="D1363" s="16" t="str">
        <f>IFERROR(__xludf.DUMMYFUNCTION("""COMPUTED_VALUE"""),"day*****0130@dyjhs.tyc.edu.tw")</f>
        <v>day*****0130@dyjhs.tyc.edu.tw</v>
      </c>
      <c r="E1363" s="17" t="str">
        <f>IFERROR(__xludf.DUMMYFUNCTION("""COMPUTED_VALUE"""),"桃園市立大有國民中學")</f>
        <v>桃園市立大有國民中學</v>
      </c>
      <c r="F1363" s="14" t="str">
        <f>IFERROR(__xludf.DUMMYFUNCTION("""COMPUTED_VALUE"""),"八年級")</f>
        <v>八年級</v>
      </c>
      <c r="G1363" s="14" t="str">
        <f>IFERROR(__xludf.DUMMYFUNCTION("""COMPUTED_VALUE"""),"●小禮物")</f>
        <v>●小禮物</v>
      </c>
      <c r="H1363" s="8"/>
    </row>
    <row r="1364">
      <c r="A1364" s="18"/>
      <c r="B1364" s="14">
        <f>IFERROR(__xludf.DUMMYFUNCTION("""COMPUTED_VALUE"""),1180407.0)</f>
        <v>1180407</v>
      </c>
      <c r="C1364" s="14" t="str">
        <f>IFERROR(__xludf.DUMMYFUNCTION("""COMPUTED_VALUE"""),"楊恩愷")</f>
        <v>楊恩愷</v>
      </c>
      <c r="D1364" s="16" t="str">
        <f>IFERROR(__xludf.DUMMYFUNCTION("""COMPUTED_VALUE"""),"day*****0805@dyjhs.tyc.edu.tw")</f>
        <v>day*****0805@dyjhs.tyc.edu.tw</v>
      </c>
      <c r="E1364" s="17" t="str">
        <f>IFERROR(__xludf.DUMMYFUNCTION("""COMPUTED_VALUE"""),"桃園市立大有國民中學")</f>
        <v>桃園市立大有國民中學</v>
      </c>
      <c r="F1364" s="14" t="str">
        <f>IFERROR(__xludf.DUMMYFUNCTION("""COMPUTED_VALUE"""),"八年級")</f>
        <v>八年級</v>
      </c>
      <c r="G1364" s="14" t="str">
        <f>IFERROR(__xludf.DUMMYFUNCTION("""COMPUTED_VALUE"""),"●小禮物")</f>
        <v>●小禮物</v>
      </c>
      <c r="H1364" s="8"/>
    </row>
    <row r="1365">
      <c r="A1365" s="18"/>
      <c r="B1365" s="14">
        <f>IFERROR(__xludf.DUMMYFUNCTION("""COMPUTED_VALUE"""),1179178.0)</f>
        <v>1179178</v>
      </c>
      <c r="C1365" s="14" t="str">
        <f>IFERROR(__xludf.DUMMYFUNCTION("""COMPUTED_VALUE"""),"馬妮可")</f>
        <v>馬妮可</v>
      </c>
      <c r="D1365" s="16" t="str">
        <f>IFERROR(__xludf.DUMMYFUNCTION("""COMPUTED_VALUE"""),"day*****1127@dyjhs.tyc.edu.tw")</f>
        <v>day*****1127@dyjhs.tyc.edu.tw</v>
      </c>
      <c r="E1365" s="17" t="str">
        <f>IFERROR(__xludf.DUMMYFUNCTION("""COMPUTED_VALUE"""),"桃園市立大有國民中學")</f>
        <v>桃園市立大有國民中學</v>
      </c>
      <c r="F1365" s="14" t="str">
        <f>IFERROR(__xludf.DUMMYFUNCTION("""COMPUTED_VALUE"""),"八年級")</f>
        <v>八年級</v>
      </c>
      <c r="G1365" s="14" t="str">
        <f>IFERROR(__xludf.DUMMYFUNCTION("""COMPUTED_VALUE"""),"獎狀")</f>
        <v>獎狀</v>
      </c>
      <c r="H1365" s="8"/>
    </row>
    <row r="1366">
      <c r="A1366" s="18"/>
      <c r="B1366" s="14">
        <f>IFERROR(__xludf.DUMMYFUNCTION("""COMPUTED_VALUE"""),1178500.0)</f>
        <v>1178500</v>
      </c>
      <c r="C1366" s="14" t="str">
        <f>IFERROR(__xludf.DUMMYFUNCTION("""COMPUTED_VALUE"""),"陳家榮")</f>
        <v>陳家榮</v>
      </c>
      <c r="D1366" s="16" t="str">
        <f>IFERROR(__xludf.DUMMYFUNCTION("""COMPUTED_VALUE"""),"day*****1213@dyjhs.tyc.edu.tw")</f>
        <v>day*****1213@dyjhs.tyc.edu.tw</v>
      </c>
      <c r="E1366" s="17" t="str">
        <f>IFERROR(__xludf.DUMMYFUNCTION("""COMPUTED_VALUE"""),"桃園市立大有國民中學")</f>
        <v>桃園市立大有國民中學</v>
      </c>
      <c r="F1366" s="14" t="str">
        <f>IFERROR(__xludf.DUMMYFUNCTION("""COMPUTED_VALUE"""),"八年級")</f>
        <v>八年級</v>
      </c>
      <c r="G1366" s="14" t="str">
        <f>IFERROR(__xludf.DUMMYFUNCTION("""COMPUTED_VALUE"""),"●小禮物")</f>
        <v>●小禮物</v>
      </c>
      <c r="H1366" s="8"/>
    </row>
    <row r="1367">
      <c r="A1367" s="18"/>
      <c r="B1367" s="14">
        <f>IFERROR(__xludf.DUMMYFUNCTION("""COMPUTED_VALUE"""),1178443.0)</f>
        <v>1178443</v>
      </c>
      <c r="C1367" s="14" t="str">
        <f>IFERROR(__xludf.DUMMYFUNCTION("""COMPUTED_VALUE"""),"張秉之")</f>
        <v>張秉之</v>
      </c>
      <c r="D1367" s="16" t="str">
        <f>IFERROR(__xludf.DUMMYFUNCTION("""COMPUTED_VALUE"""),"day*****1208@dyjhs.tyc.edu.tw")</f>
        <v>day*****1208@dyjhs.tyc.edu.tw</v>
      </c>
      <c r="E1367" s="17" t="str">
        <f>IFERROR(__xludf.DUMMYFUNCTION("""COMPUTED_VALUE"""),"桃園市立大有國民中學")</f>
        <v>桃園市立大有國民中學</v>
      </c>
      <c r="F1367" s="14" t="str">
        <f>IFERROR(__xludf.DUMMYFUNCTION("""COMPUTED_VALUE"""),"八年級")</f>
        <v>八年級</v>
      </c>
      <c r="G1367" s="14" t="str">
        <f>IFERROR(__xludf.DUMMYFUNCTION("""COMPUTED_VALUE"""),"獎狀")</f>
        <v>獎狀</v>
      </c>
      <c r="H1367" s="8"/>
    </row>
    <row r="1368">
      <c r="A1368" s="18"/>
      <c r="B1368" s="14">
        <f>IFERROR(__xludf.DUMMYFUNCTION("""COMPUTED_VALUE"""),1178487.0)</f>
        <v>1178487</v>
      </c>
      <c r="C1368" s="14" t="str">
        <f>IFERROR(__xludf.DUMMYFUNCTION("""COMPUTED_VALUE"""),"郭尚鑫")</f>
        <v>郭尚鑫</v>
      </c>
      <c r="D1368" s="16" t="str">
        <f>IFERROR(__xludf.DUMMYFUNCTION("""COMPUTED_VALUE"""),"day*****1201@dyjhs.tyc.edu.tw")</f>
        <v>day*****1201@dyjhs.tyc.edu.tw</v>
      </c>
      <c r="E1368" s="17" t="str">
        <f>IFERROR(__xludf.DUMMYFUNCTION("""COMPUTED_VALUE"""),"桃園市立大有國民中學")</f>
        <v>桃園市立大有國民中學</v>
      </c>
      <c r="F1368" s="14" t="str">
        <f>IFERROR(__xludf.DUMMYFUNCTION("""COMPUTED_VALUE"""),"八年級")</f>
        <v>八年級</v>
      </c>
      <c r="G1368" s="14" t="str">
        <f>IFERROR(__xludf.DUMMYFUNCTION("""COMPUTED_VALUE"""),"獎狀")</f>
        <v>獎狀</v>
      </c>
      <c r="H1368" s="8"/>
    </row>
    <row r="1369">
      <c r="A1369" s="18"/>
      <c r="B1369" s="14">
        <f>IFERROR(__xludf.DUMMYFUNCTION("""COMPUTED_VALUE"""),1180067.0)</f>
        <v>1180067</v>
      </c>
      <c r="C1369" s="14" t="str">
        <f>IFERROR(__xludf.DUMMYFUNCTION("""COMPUTED_VALUE"""),"耿令群")</f>
        <v>耿令群</v>
      </c>
      <c r="D1369" s="16" t="str">
        <f>IFERROR(__xludf.DUMMYFUNCTION("""COMPUTED_VALUE"""),"day*****1002@dyjhs.tyc.edu.tw")</f>
        <v>day*****1002@dyjhs.tyc.edu.tw</v>
      </c>
      <c r="E1369" s="17" t="str">
        <f>IFERROR(__xludf.DUMMYFUNCTION("""COMPUTED_VALUE"""),"桃園市立大有國民中學")</f>
        <v>桃園市立大有國民中學</v>
      </c>
      <c r="F1369" s="14" t="str">
        <f>IFERROR(__xludf.DUMMYFUNCTION("""COMPUTED_VALUE"""),"八年級")</f>
        <v>八年級</v>
      </c>
      <c r="G1369" s="14" t="str">
        <f>IFERROR(__xludf.DUMMYFUNCTION("""COMPUTED_VALUE"""),"●小禮物")</f>
        <v>●小禮物</v>
      </c>
      <c r="H1369" s="8"/>
    </row>
    <row r="1370">
      <c r="A1370" s="18"/>
      <c r="B1370" s="14">
        <f>IFERROR(__xludf.DUMMYFUNCTION("""COMPUTED_VALUE"""),1180032.0)</f>
        <v>1180032</v>
      </c>
      <c r="C1370" s="14" t="str">
        <f>IFERROR(__xludf.DUMMYFUNCTION("""COMPUTED_VALUE"""),"陳凱琪")</f>
        <v>陳凱琪</v>
      </c>
      <c r="D1370" s="16" t="str">
        <f>IFERROR(__xludf.DUMMYFUNCTION("""COMPUTED_VALUE"""),"day*****1031@dyjhs.tyc.edu.tw")</f>
        <v>day*****1031@dyjhs.tyc.edu.tw</v>
      </c>
      <c r="E1370" s="17" t="str">
        <f>IFERROR(__xludf.DUMMYFUNCTION("""COMPUTED_VALUE"""),"桃園市立大有國民中學")</f>
        <v>桃園市立大有國民中學</v>
      </c>
      <c r="F1370" s="14" t="str">
        <f>IFERROR(__xludf.DUMMYFUNCTION("""COMPUTED_VALUE"""),"八年級")</f>
        <v>八年級</v>
      </c>
      <c r="G1370" s="14" t="str">
        <f>IFERROR(__xludf.DUMMYFUNCTION("""COMPUTED_VALUE"""),"獎狀")</f>
        <v>獎狀</v>
      </c>
      <c r="H1370" s="8"/>
    </row>
    <row r="1371">
      <c r="A1371" s="18"/>
      <c r="B1371" s="14">
        <f>IFERROR(__xludf.DUMMYFUNCTION("""COMPUTED_VALUE"""),1181928.0)</f>
        <v>1181928</v>
      </c>
      <c r="C1371" s="14" t="str">
        <f>IFERROR(__xludf.DUMMYFUNCTION("""COMPUTED_VALUE"""),"陳榮斌")</f>
        <v>陳榮斌</v>
      </c>
      <c r="D1371" s="16" t="str">
        <f>IFERROR(__xludf.DUMMYFUNCTION("""COMPUTED_VALUE"""),"day*****0411@dyjhs.tyc.edu.tw")</f>
        <v>day*****0411@dyjhs.tyc.edu.tw</v>
      </c>
      <c r="E1371" s="17" t="str">
        <f>IFERROR(__xludf.DUMMYFUNCTION("""COMPUTED_VALUE"""),"桃園市立大有國民中學")</f>
        <v>桃園市立大有國民中學</v>
      </c>
      <c r="F1371" s="14" t="str">
        <f>IFERROR(__xludf.DUMMYFUNCTION("""COMPUTED_VALUE"""),"八年級")</f>
        <v>八年級</v>
      </c>
      <c r="G1371" s="14" t="str">
        <f>IFERROR(__xludf.DUMMYFUNCTION("""COMPUTED_VALUE"""),"●小禮物")</f>
        <v>●小禮物</v>
      </c>
      <c r="H1371" s="8"/>
    </row>
    <row r="1372">
      <c r="A1372" s="18"/>
      <c r="B1372" s="14">
        <f>IFERROR(__xludf.DUMMYFUNCTION("""COMPUTED_VALUE"""),820529.0)</f>
        <v>820529</v>
      </c>
      <c r="C1372" s="14" t="str">
        <f>IFERROR(__xludf.DUMMYFUNCTION("""COMPUTED_VALUE"""),"陳孝羽")</f>
        <v>陳孝羽</v>
      </c>
      <c r="D1372" s="16" t="str">
        <f>IFERROR(__xludf.DUMMYFUNCTION("""COMPUTED_VALUE"""),"s11*****kjjhs.tyc.edu.tw")</f>
        <v>s11*****kjjhs.tyc.edu.tw</v>
      </c>
      <c r="E1372" s="17" t="str">
        <f>IFERROR(__xludf.DUMMYFUNCTION("""COMPUTED_VALUE"""),"桃園市立會稽國民中學")</f>
        <v>桃園市立會稽國民中學</v>
      </c>
      <c r="F1372" s="14" t="str">
        <f>IFERROR(__xludf.DUMMYFUNCTION("""COMPUTED_VALUE"""),"八年級")</f>
        <v>八年級</v>
      </c>
      <c r="G1372" s="14" t="str">
        <f>IFERROR(__xludf.DUMMYFUNCTION("""COMPUTED_VALUE"""),"●小禮物")</f>
        <v>●小禮物</v>
      </c>
      <c r="H1372" s="8"/>
    </row>
    <row r="1373">
      <c r="A1373" s="18"/>
      <c r="B1373" s="14">
        <f>IFERROR(__xludf.DUMMYFUNCTION("""COMPUTED_VALUE"""),1138167.0)</f>
        <v>1138167</v>
      </c>
      <c r="C1373" s="14" t="str">
        <f>IFERROR(__xludf.DUMMYFUNCTION("""COMPUTED_VALUE"""),"陳心禾")</f>
        <v>陳心禾</v>
      </c>
      <c r="D1373" s="16" t="str">
        <f>IFERROR(__xludf.DUMMYFUNCTION("""COMPUTED_VALUE"""),"dan*****en9908@gmail.com")</f>
        <v>dan*****en9908@gmail.com</v>
      </c>
      <c r="E1373" s="17" t="str">
        <f>IFERROR(__xludf.DUMMYFUNCTION("""COMPUTED_VALUE"""),"桃園市立慈文國民中學")</f>
        <v>桃園市立慈文國民中學</v>
      </c>
      <c r="F1373" s="14" t="str">
        <f>IFERROR(__xludf.DUMMYFUNCTION("""COMPUTED_VALUE"""),"七年級")</f>
        <v>七年級</v>
      </c>
      <c r="G1373" s="14" t="str">
        <f>IFERROR(__xludf.DUMMYFUNCTION("""COMPUTED_VALUE"""),"獎狀")</f>
        <v>獎狀</v>
      </c>
      <c r="H1373" s="8"/>
    </row>
    <row r="1374">
      <c r="A1374" s="18"/>
      <c r="B1374" s="14">
        <f>IFERROR(__xludf.DUMMYFUNCTION("""COMPUTED_VALUE"""),216507.0)</f>
        <v>216507</v>
      </c>
      <c r="C1374" s="14" t="str">
        <f>IFERROR(__xludf.DUMMYFUNCTION("""COMPUTED_VALUE"""),"謝少弘")</f>
        <v>謝少弘</v>
      </c>
      <c r="D1374" s="16" t="str">
        <f>IFERROR(__xludf.DUMMYFUNCTION("""COMPUTED_VALUE"""),"cut*****baby2001@mail.edu.tw")</f>
        <v>cut*****baby2001@mail.edu.tw</v>
      </c>
      <c r="E1374" s="17" t="str">
        <f>IFERROR(__xludf.DUMMYFUNCTION("""COMPUTED_VALUE"""),"桃園市立建國國民中學")</f>
        <v>桃園市立建國國民中學</v>
      </c>
      <c r="F1374" s="14" t="str">
        <f>IFERROR(__xludf.DUMMYFUNCTION("""COMPUTED_VALUE"""),"七年級")</f>
        <v>七年級</v>
      </c>
      <c r="G1374" s="14" t="str">
        <f>IFERROR(__xludf.DUMMYFUNCTION("""COMPUTED_VALUE"""),"獎狀")</f>
        <v>獎狀</v>
      </c>
      <c r="H1374" s="8"/>
    </row>
    <row r="1375">
      <c r="A1375" s="18"/>
      <c r="B1375" s="14">
        <f>IFERROR(__xludf.DUMMYFUNCTION("""COMPUTED_VALUE"""),327460.0)</f>
        <v>327460</v>
      </c>
      <c r="C1375" s="14" t="str">
        <f>IFERROR(__xludf.DUMMYFUNCTION("""COMPUTED_VALUE"""),"徐弘軒")</f>
        <v>徐弘軒</v>
      </c>
      <c r="D1375" s="16" t="str">
        <f>IFERROR(__xludf.DUMMYFUNCTION("""COMPUTED_VALUE"""),"hsu*****uan1981@gmail.com")</f>
        <v>hsu*****uan1981@gmail.com</v>
      </c>
      <c r="E1375" s="17" t="str">
        <f>IFERROR(__xludf.DUMMYFUNCTION("""COMPUTED_VALUE"""),"桃園市立建國國民中學")</f>
        <v>桃園市立建國國民中學</v>
      </c>
      <c r="F1375" s="14" t="str">
        <f>IFERROR(__xludf.DUMMYFUNCTION("""COMPUTED_VALUE"""),"七年級")</f>
        <v>七年級</v>
      </c>
      <c r="G1375" s="14" t="str">
        <f>IFERROR(__xludf.DUMMYFUNCTION("""COMPUTED_VALUE"""),"●小禮物")</f>
        <v>●小禮物</v>
      </c>
      <c r="H1375" s="8"/>
    </row>
    <row r="1376">
      <c r="A1376" s="18"/>
      <c r="B1376" s="14">
        <f>IFERROR(__xludf.DUMMYFUNCTION("""COMPUTED_VALUE"""),824526.0)</f>
        <v>824526</v>
      </c>
      <c r="C1376" s="14" t="str">
        <f>IFERROR(__xludf.DUMMYFUNCTION("""COMPUTED_VALUE"""),"朱玉安")</f>
        <v>朱玉安</v>
      </c>
      <c r="D1376" s="16" t="str">
        <f>IFERROR(__xludf.DUMMYFUNCTION("""COMPUTED_VALUE"""),"110*****chjhs.tyc.edu.tw")</f>
        <v>110*****chjhs.tyc.edu.tw</v>
      </c>
      <c r="E1376" s="17" t="str">
        <f>IFERROR(__xludf.DUMMYFUNCTION("""COMPUTED_VALUE"""),"桃園市立中興國民中學")</f>
        <v>桃園市立中興國民中學</v>
      </c>
      <c r="F1376" s="14" t="str">
        <f>IFERROR(__xludf.DUMMYFUNCTION("""COMPUTED_VALUE"""),"八年級")</f>
        <v>八年級</v>
      </c>
      <c r="G1376" s="14" t="str">
        <f>IFERROR(__xludf.DUMMYFUNCTION("""COMPUTED_VALUE"""),"●小禮物")</f>
        <v>●小禮物</v>
      </c>
      <c r="H1376" s="8"/>
    </row>
    <row r="1377">
      <c r="A1377" s="18"/>
      <c r="B1377" s="14">
        <f>IFERROR(__xludf.DUMMYFUNCTION("""COMPUTED_VALUE"""),1091066.0)</f>
        <v>1091066</v>
      </c>
      <c r="C1377" s="14" t="str">
        <f>IFERROR(__xludf.DUMMYFUNCTION("""COMPUTED_VALUE"""),"陸威廷")</f>
        <v>陸威廷</v>
      </c>
      <c r="D1377" s="16" t="str">
        <f>IFERROR(__xludf.DUMMYFUNCTION("""COMPUTED_VALUE"""),"luw*****g83@gmail.com")</f>
        <v>luw*****g83@gmail.com</v>
      </c>
      <c r="E1377" s="17" t="str">
        <f>IFERROR(__xludf.DUMMYFUNCTION("""COMPUTED_VALUE"""),"桃園市立文昌國民中學")</f>
        <v>桃園市立文昌國民中學</v>
      </c>
      <c r="F1377" s="14" t="str">
        <f>IFERROR(__xludf.DUMMYFUNCTION("""COMPUTED_VALUE"""),"七年級")</f>
        <v>七年級</v>
      </c>
      <c r="G1377" s="14" t="str">
        <f>IFERROR(__xludf.DUMMYFUNCTION("""COMPUTED_VALUE"""),"●小禮物")</f>
        <v>●小禮物</v>
      </c>
      <c r="H1377" s="8"/>
    </row>
    <row r="1378">
      <c r="A1378" s="18"/>
      <c r="B1378" s="14">
        <f>IFERROR(__xludf.DUMMYFUNCTION("""COMPUTED_VALUE"""),952113.0)</f>
        <v>952113</v>
      </c>
      <c r="C1378" s="14" t="str">
        <f>IFERROR(__xludf.DUMMYFUNCTION("""COMPUTED_VALUE"""),"楊珺詠")</f>
        <v>楊珺詠</v>
      </c>
      <c r="D1378" s="16" t="str">
        <f>IFERROR(__xludf.DUMMYFUNCTION("""COMPUTED_VALUE"""),"110*****class.wcjhs.tyc.edu.tw")</f>
        <v>110*****class.wcjhs.tyc.edu.tw</v>
      </c>
      <c r="E1378" s="17" t="str">
        <f>IFERROR(__xludf.DUMMYFUNCTION("""COMPUTED_VALUE"""),"桃園市立文昌國民中學")</f>
        <v>桃園市立文昌國民中學</v>
      </c>
      <c r="F1378" s="14" t="str">
        <f>IFERROR(__xludf.DUMMYFUNCTION("""COMPUTED_VALUE"""),"八年級")</f>
        <v>八年級</v>
      </c>
      <c r="G1378" s="14" t="str">
        <f>IFERROR(__xludf.DUMMYFUNCTION("""COMPUTED_VALUE"""),"●小禮物")</f>
        <v>●小禮物</v>
      </c>
      <c r="H1378" s="8"/>
    </row>
    <row r="1379">
      <c r="A1379" s="18"/>
      <c r="B1379" s="14">
        <f>IFERROR(__xludf.DUMMYFUNCTION("""COMPUTED_VALUE"""),952145.0)</f>
        <v>952145</v>
      </c>
      <c r="C1379" s="14" t="str">
        <f>IFERROR(__xludf.DUMMYFUNCTION("""COMPUTED_VALUE"""),"畢勝")</f>
        <v>畢勝</v>
      </c>
      <c r="D1379" s="16" t="str">
        <f>IFERROR(__xludf.DUMMYFUNCTION("""COMPUTED_VALUE"""),"110*****class.wcjhs.tyc.edu.tw")</f>
        <v>110*****class.wcjhs.tyc.edu.tw</v>
      </c>
      <c r="E1379" s="17" t="str">
        <f>IFERROR(__xludf.DUMMYFUNCTION("""COMPUTED_VALUE"""),"桃園市立文昌國民中學")</f>
        <v>桃園市立文昌國民中學</v>
      </c>
      <c r="F1379" s="14" t="str">
        <f>IFERROR(__xludf.DUMMYFUNCTION("""COMPUTED_VALUE"""),"八年級")</f>
        <v>八年級</v>
      </c>
      <c r="G1379" s="14" t="str">
        <f>IFERROR(__xludf.DUMMYFUNCTION("""COMPUTED_VALUE"""),"●小禮物")</f>
        <v>●小禮物</v>
      </c>
      <c r="H1379" s="8"/>
    </row>
    <row r="1380">
      <c r="A1380" s="18"/>
      <c r="B1380" s="14">
        <f>IFERROR(__xludf.DUMMYFUNCTION("""COMPUTED_VALUE"""),952112.0)</f>
        <v>952112</v>
      </c>
      <c r="C1380" s="14" t="str">
        <f>IFERROR(__xludf.DUMMYFUNCTION("""COMPUTED_VALUE"""),"鄭芯瑜")</f>
        <v>鄭芯瑜</v>
      </c>
      <c r="D1380" s="16" t="str">
        <f>IFERROR(__xludf.DUMMYFUNCTION("""COMPUTED_VALUE"""),"110*****class.wcjhs.tyc.edu.tw")</f>
        <v>110*****class.wcjhs.tyc.edu.tw</v>
      </c>
      <c r="E1380" s="17" t="str">
        <f>IFERROR(__xludf.DUMMYFUNCTION("""COMPUTED_VALUE"""),"桃園市立文昌國民中學")</f>
        <v>桃園市立文昌國民中學</v>
      </c>
      <c r="F1380" s="14" t="str">
        <f>IFERROR(__xludf.DUMMYFUNCTION("""COMPUTED_VALUE"""),"八年級")</f>
        <v>八年級</v>
      </c>
      <c r="G1380" s="14" t="str">
        <f>IFERROR(__xludf.DUMMYFUNCTION("""COMPUTED_VALUE"""),"●小禮物")</f>
        <v>●小禮物</v>
      </c>
      <c r="H1380" s="8"/>
    </row>
    <row r="1381">
      <c r="A1381" s="18"/>
      <c r="B1381" s="14">
        <f>IFERROR(__xludf.DUMMYFUNCTION("""COMPUTED_VALUE"""),461541.0)</f>
        <v>461541</v>
      </c>
      <c r="C1381" s="14" t="str">
        <f>IFERROR(__xludf.DUMMYFUNCTION("""COMPUTED_VALUE"""),"李謙柔")</f>
        <v>李謙柔</v>
      </c>
      <c r="D1381" s="16" t="str">
        <f>IFERROR(__xludf.DUMMYFUNCTION("""COMPUTED_VALUE"""),"109*****class.wcjhs.tyc.edu.tw")</f>
        <v>109*****class.wcjhs.tyc.edu.tw</v>
      </c>
      <c r="E1381" s="17" t="str">
        <f>IFERROR(__xludf.DUMMYFUNCTION("""COMPUTED_VALUE"""),"桃園市立文昌國民中學")</f>
        <v>桃園市立文昌國民中學</v>
      </c>
      <c r="F1381" s="14" t="str">
        <f>IFERROR(__xludf.DUMMYFUNCTION("""COMPUTED_VALUE"""),"九年級")</f>
        <v>九年級</v>
      </c>
      <c r="G1381" s="14" t="str">
        <f>IFERROR(__xludf.DUMMYFUNCTION("""COMPUTED_VALUE"""),"獎狀")</f>
        <v>獎狀</v>
      </c>
      <c r="H1381" s="8"/>
    </row>
    <row r="1382">
      <c r="A1382" s="18"/>
      <c r="B1382" s="14">
        <f>IFERROR(__xludf.DUMMYFUNCTION("""COMPUTED_VALUE"""),461481.0)</f>
        <v>461481</v>
      </c>
      <c r="C1382" s="14" t="str">
        <f>IFERROR(__xludf.DUMMYFUNCTION("""COMPUTED_VALUE"""),"林昱安")</f>
        <v>林昱安</v>
      </c>
      <c r="D1382" s="16" t="str">
        <f>IFERROR(__xludf.DUMMYFUNCTION("""COMPUTED_VALUE"""),"109*****class.wcjhs.tyc.edu.tw")</f>
        <v>109*****class.wcjhs.tyc.edu.tw</v>
      </c>
      <c r="E1382" s="17" t="str">
        <f>IFERROR(__xludf.DUMMYFUNCTION("""COMPUTED_VALUE"""),"桃園市立文昌國民中學")</f>
        <v>桃園市立文昌國民中學</v>
      </c>
      <c r="F1382" s="14" t="str">
        <f>IFERROR(__xludf.DUMMYFUNCTION("""COMPUTED_VALUE"""),"九年級")</f>
        <v>九年級</v>
      </c>
      <c r="G1382" s="14" t="str">
        <f>IFERROR(__xludf.DUMMYFUNCTION("""COMPUTED_VALUE"""),"●小禮物")</f>
        <v>●小禮物</v>
      </c>
      <c r="H1382" s="8"/>
    </row>
    <row r="1383">
      <c r="A1383" s="18"/>
      <c r="B1383" s="14">
        <f>IFERROR(__xludf.DUMMYFUNCTION("""COMPUTED_VALUE"""),713361.0)</f>
        <v>713361</v>
      </c>
      <c r="C1383" s="14" t="str">
        <f>IFERROR(__xludf.DUMMYFUNCTION("""COMPUTED_VALUE"""),"許丞緯")</f>
        <v>許丞緯</v>
      </c>
      <c r="D1383" s="16" t="str">
        <f>IFERROR(__xludf.DUMMYFUNCTION("""COMPUTED_VALUE"""),"109*****class.wcjhs.tyc.edu.tw")</f>
        <v>109*****class.wcjhs.tyc.edu.tw</v>
      </c>
      <c r="E1383" s="17" t="str">
        <f>IFERROR(__xludf.DUMMYFUNCTION("""COMPUTED_VALUE"""),"桃園市立文昌國民中學")</f>
        <v>桃園市立文昌國民中學</v>
      </c>
      <c r="F1383" s="14" t="str">
        <f>IFERROR(__xludf.DUMMYFUNCTION("""COMPUTED_VALUE"""),"九年級")</f>
        <v>九年級</v>
      </c>
      <c r="G1383" s="14" t="str">
        <f>IFERROR(__xludf.DUMMYFUNCTION("""COMPUTED_VALUE"""),"●小禮物")</f>
        <v>●小禮物</v>
      </c>
      <c r="H1383" s="8"/>
    </row>
    <row r="1384">
      <c r="A1384" s="18"/>
      <c r="B1384" s="14">
        <f>IFERROR(__xludf.DUMMYFUNCTION("""COMPUTED_VALUE"""),870458.0)</f>
        <v>870458</v>
      </c>
      <c r="C1384" s="14" t="str">
        <f>IFERROR(__xludf.DUMMYFUNCTION("""COMPUTED_VALUE"""),"馮上恩")</f>
        <v>馮上恩</v>
      </c>
      <c r="D1384" s="16" t="str">
        <f>IFERROR(__xludf.DUMMYFUNCTION("""COMPUTED_VALUE"""),"f11*****@ffjh.tyc.edu.tw")</f>
        <v>f11*****@ffjh.tyc.edu.tw</v>
      </c>
      <c r="E1384" s="17" t="str">
        <f>IFERROR(__xludf.DUMMYFUNCTION("""COMPUTED_VALUE"""),"桃園市立福豐國民中學")</f>
        <v>桃園市立福豐國民中學</v>
      </c>
      <c r="F1384" s="14" t="str">
        <f>IFERROR(__xludf.DUMMYFUNCTION("""COMPUTED_VALUE"""),"八年級")</f>
        <v>八年級</v>
      </c>
      <c r="G1384" s="14" t="str">
        <f>IFERROR(__xludf.DUMMYFUNCTION("""COMPUTED_VALUE"""),"●小禮物")</f>
        <v>●小禮物</v>
      </c>
      <c r="H1384" s="8"/>
    </row>
    <row r="1385">
      <c r="A1385" s="18"/>
      <c r="B1385" s="14">
        <f>IFERROR(__xludf.DUMMYFUNCTION("""COMPUTED_VALUE"""),1118006.0)</f>
        <v>1118006</v>
      </c>
      <c r="C1385" s="14" t="str">
        <f>IFERROR(__xludf.DUMMYFUNCTION("""COMPUTED_VALUE"""),"曾奕潔")</f>
        <v>曾奕潔</v>
      </c>
      <c r="D1385" s="16" t="str">
        <f>IFERROR(__xludf.DUMMYFUNCTION("""COMPUTED_VALUE"""),"jie*****1@gmail.com")</f>
        <v>jie*****1@gmail.com</v>
      </c>
      <c r="E1385" s="17" t="str">
        <f>IFERROR(__xludf.DUMMYFUNCTION("""COMPUTED_VALUE"""),"桃園市立同德國民中學")</f>
        <v>桃園市立同德國民中學</v>
      </c>
      <c r="F1385" s="14" t="str">
        <f>IFERROR(__xludf.DUMMYFUNCTION("""COMPUTED_VALUE"""),"七年級")</f>
        <v>七年級</v>
      </c>
      <c r="G1385" s="14" t="str">
        <f>IFERROR(__xludf.DUMMYFUNCTION("""COMPUTED_VALUE"""),"●小禮物")</f>
        <v>●小禮物</v>
      </c>
      <c r="H1385" s="8"/>
    </row>
    <row r="1386">
      <c r="A1386" s="18"/>
      <c r="B1386" s="14">
        <f>IFERROR(__xludf.DUMMYFUNCTION("""COMPUTED_VALUE"""),1077467.0)</f>
        <v>1077467</v>
      </c>
      <c r="C1386" s="14" t="str">
        <f>IFERROR(__xludf.DUMMYFUNCTION("""COMPUTED_VALUE"""),"葛士綸")</f>
        <v>葛士綸</v>
      </c>
      <c r="D1386" s="16" t="str">
        <f>IFERROR(__xludf.DUMMYFUNCTION("""COMPUTED_VALUE"""),"110*****tyjh.tyc.edu.tw")</f>
        <v>110*****tyjh.tyc.edu.tw</v>
      </c>
      <c r="E1386" s="17" t="str">
        <f>IFERROR(__xludf.DUMMYFUNCTION("""COMPUTED_VALUE"""),"桃園市立桃園國民中學")</f>
        <v>桃園市立桃園國民中學</v>
      </c>
      <c r="F1386" s="14" t="str">
        <f>IFERROR(__xludf.DUMMYFUNCTION("""COMPUTED_VALUE"""),"八年級")</f>
        <v>八年級</v>
      </c>
      <c r="G1386" s="14" t="str">
        <f>IFERROR(__xludf.DUMMYFUNCTION("""COMPUTED_VALUE"""),"獎狀")</f>
        <v>獎狀</v>
      </c>
      <c r="H1386" s="8"/>
    </row>
    <row r="1387">
      <c r="A1387" s="18"/>
      <c r="B1387" s="14">
        <f>IFERROR(__xludf.DUMMYFUNCTION("""COMPUTED_VALUE"""),243653.0)</f>
        <v>243653</v>
      </c>
      <c r="C1387" s="14" t="str">
        <f>IFERROR(__xludf.DUMMYFUNCTION("""COMPUTED_VALUE"""),"蕭妤蓁")</f>
        <v>蕭妤蓁</v>
      </c>
      <c r="D1387" s="16" t="str">
        <f>IFERROR(__xludf.DUMMYFUNCTION("""COMPUTED_VALUE"""),"ali*****3@yahoo.com.tw")</f>
        <v>ali*****3@yahoo.com.tw</v>
      </c>
      <c r="E1387" s="17" t="str">
        <f>IFERROR(__xludf.DUMMYFUNCTION("""COMPUTED_VALUE"""),"天主教振聲學校財團法人桃園市振聲高級中等學校附設國中部")</f>
        <v>天主教振聲學校財團法人桃園市振聲高級中等學校附設國中部</v>
      </c>
      <c r="F1387" s="14" t="str">
        <f>IFERROR(__xludf.DUMMYFUNCTION("""COMPUTED_VALUE"""),"七年級")</f>
        <v>七年級</v>
      </c>
      <c r="G1387" s="14" t="str">
        <f>IFERROR(__xludf.DUMMYFUNCTION("""COMPUTED_VALUE"""),"獎狀")</f>
        <v>獎狀</v>
      </c>
      <c r="H1387" s="8"/>
    </row>
    <row r="1388">
      <c r="A1388" s="18"/>
      <c r="B1388" s="14">
        <f>IFERROR(__xludf.DUMMYFUNCTION("""COMPUTED_VALUE"""),996498.0)</f>
        <v>996498</v>
      </c>
      <c r="C1388" s="14" t="str">
        <f>IFERROR(__xludf.DUMMYFUNCTION("""COMPUTED_VALUE"""),"吳彥均")</f>
        <v>吳彥均</v>
      </c>
      <c r="D1388" s="16" t="str">
        <f>IFERROR(__xludf.DUMMYFUNCTION("""COMPUTED_VALUE"""),"110*****kids.jgjhs.tyc.edu.tw")</f>
        <v>110*****kids.jgjhs.tyc.edu.tw</v>
      </c>
      <c r="E1388" s="17" t="str">
        <f>IFERROR(__xludf.DUMMYFUNCTION("""COMPUTED_VALUE"""),"桃園市立經國國民中學")</f>
        <v>桃園市立經國國民中學</v>
      </c>
      <c r="F1388" s="14" t="str">
        <f>IFERROR(__xludf.DUMMYFUNCTION("""COMPUTED_VALUE"""),"八年級")</f>
        <v>八年級</v>
      </c>
      <c r="G1388" s="14" t="str">
        <f>IFERROR(__xludf.DUMMYFUNCTION("""COMPUTED_VALUE"""),"獎狀")</f>
        <v>獎狀</v>
      </c>
      <c r="H1388" s="8"/>
    </row>
    <row r="1389">
      <c r="A1389" s="18"/>
      <c r="B1389" s="14">
        <f>IFERROR(__xludf.DUMMYFUNCTION("""COMPUTED_VALUE"""),1121759.0)</f>
        <v>1121759</v>
      </c>
      <c r="C1389" s="14" t="str">
        <f>IFERROR(__xludf.DUMMYFUNCTION("""COMPUTED_VALUE"""),"吳冠勳")</f>
        <v>吳冠勳</v>
      </c>
      <c r="D1389" s="16" t="str">
        <f>IFERROR(__xludf.DUMMYFUNCTION("""COMPUTED_VALUE"""),"ghx*****@gmail.com")</f>
        <v>ghx*****@gmail.com</v>
      </c>
      <c r="E1389" s="17" t="str">
        <f>IFERROR(__xludf.DUMMYFUNCTION("""COMPUTED_VALUE"""),"桃園市立經國國民中學")</f>
        <v>桃園市立經國國民中學</v>
      </c>
      <c r="F1389" s="14" t="str">
        <f>IFERROR(__xludf.DUMMYFUNCTION("""COMPUTED_VALUE"""),"八年級")</f>
        <v>八年級</v>
      </c>
      <c r="G1389" s="14" t="str">
        <f>IFERROR(__xludf.DUMMYFUNCTION("""COMPUTED_VALUE"""),"●小禮物")</f>
        <v>●小禮物</v>
      </c>
      <c r="H1389" s="8"/>
    </row>
    <row r="1390">
      <c r="A1390" s="18"/>
      <c r="B1390" s="14">
        <f>IFERROR(__xludf.DUMMYFUNCTION("""COMPUTED_VALUE"""),423784.0)</f>
        <v>423784</v>
      </c>
      <c r="C1390" s="14" t="str">
        <f>IFERROR(__xludf.DUMMYFUNCTION("""COMPUTED_VALUE"""),"余芝賢")</f>
        <v>余芝賢</v>
      </c>
      <c r="D1390" s="16" t="str">
        <f>IFERROR(__xludf.DUMMYFUNCTION("""COMPUTED_VALUE"""),"sir*****@gmail.com")</f>
        <v>sir*****@gmail.com</v>
      </c>
      <c r="E1390" s="17" t="str">
        <f>IFERROR(__xludf.DUMMYFUNCTION("""COMPUTED_VALUE"""),"桃園市立經國國民中學")</f>
        <v>桃園市立經國國民中學</v>
      </c>
      <c r="F1390" s="14" t="str">
        <f>IFERROR(__xludf.DUMMYFUNCTION("""COMPUTED_VALUE"""),"八年級")</f>
        <v>八年級</v>
      </c>
      <c r="G1390" s="14" t="str">
        <f>IFERROR(__xludf.DUMMYFUNCTION("""COMPUTED_VALUE"""),"●小禮物")</f>
        <v>●小禮物</v>
      </c>
      <c r="H1390" s="8"/>
    </row>
    <row r="1391">
      <c r="A1391" s="18"/>
      <c r="B1391" s="14">
        <f>IFERROR(__xludf.DUMMYFUNCTION("""COMPUTED_VALUE"""),1184450.0)</f>
        <v>1184450</v>
      </c>
      <c r="C1391" s="14" t="str">
        <f>IFERROR(__xludf.DUMMYFUNCTION("""COMPUTED_VALUE"""),"張鈞傑")</f>
        <v>張鈞傑</v>
      </c>
      <c r="D1391" s="16" t="str">
        <f>IFERROR(__xludf.DUMMYFUNCTION("""COMPUTED_VALUE"""),"111*****ljh.tyc.edu.tw")</f>
        <v>111*****ljh.tyc.edu.tw</v>
      </c>
      <c r="E1391" s="17" t="str">
        <f>IFERROR(__xludf.DUMMYFUNCTION("""COMPUTED_VALUE"""),"桃園市立大崗國民中學")</f>
        <v>桃園市立大崗國民中學</v>
      </c>
      <c r="F1391" s="14" t="str">
        <f>IFERROR(__xludf.DUMMYFUNCTION("""COMPUTED_VALUE"""),"七年級")</f>
        <v>七年級</v>
      </c>
      <c r="G1391" s="14" t="str">
        <f>IFERROR(__xludf.DUMMYFUNCTION("""COMPUTED_VALUE"""),"●小禮物")</f>
        <v>●小禮物</v>
      </c>
      <c r="H1391" s="8"/>
    </row>
    <row r="1392">
      <c r="A1392" s="18"/>
      <c r="B1392" s="14">
        <f>IFERROR(__xludf.DUMMYFUNCTION("""COMPUTED_VALUE"""),1192835.0)</f>
        <v>1192835</v>
      </c>
      <c r="C1392" s="14" t="str">
        <f>IFERROR(__xludf.DUMMYFUNCTION("""COMPUTED_VALUE"""),"賴浤源")</f>
        <v>賴浤源</v>
      </c>
      <c r="D1392" s="16" t="str">
        <f>IFERROR(__xludf.DUMMYFUNCTION("""COMPUTED_VALUE"""),"les*****058@mail.edu.tw")</f>
        <v>les*****058@mail.edu.tw</v>
      </c>
      <c r="E1392" s="17" t="str">
        <f>IFERROR(__xludf.DUMMYFUNCTION("""COMPUTED_VALUE"""),"桃園市立大崗國民中學")</f>
        <v>桃園市立大崗國民中學</v>
      </c>
      <c r="F1392" s="14" t="str">
        <f>IFERROR(__xludf.DUMMYFUNCTION("""COMPUTED_VALUE"""),"七年級")</f>
        <v>七年級</v>
      </c>
      <c r="G1392" s="14" t="str">
        <f>IFERROR(__xludf.DUMMYFUNCTION("""COMPUTED_VALUE"""),"★禮券$200")</f>
        <v>★禮券$200</v>
      </c>
      <c r="H1392" s="8"/>
    </row>
    <row r="1393">
      <c r="A1393" s="18"/>
      <c r="B1393" s="14">
        <f>IFERROR(__xludf.DUMMYFUNCTION("""COMPUTED_VALUE"""),1180049.0)</f>
        <v>1180049</v>
      </c>
      <c r="C1393" s="14" t="str">
        <f>IFERROR(__xludf.DUMMYFUNCTION("""COMPUTED_VALUE"""),"徐榮澤")</f>
        <v>徐榮澤</v>
      </c>
      <c r="D1393" s="16" t="str">
        <f>IFERROR(__xludf.DUMMYFUNCTION("""COMPUTED_VALUE"""),"111*****ljh.tyc.edu.tw")</f>
        <v>111*****ljh.tyc.edu.tw</v>
      </c>
      <c r="E1393" s="17" t="str">
        <f>IFERROR(__xludf.DUMMYFUNCTION("""COMPUTED_VALUE"""),"桃園市立大崗國民中學")</f>
        <v>桃園市立大崗國民中學</v>
      </c>
      <c r="F1393" s="14" t="str">
        <f>IFERROR(__xludf.DUMMYFUNCTION("""COMPUTED_VALUE"""),"七年級")</f>
        <v>七年級</v>
      </c>
      <c r="G1393" s="14" t="str">
        <f>IFERROR(__xludf.DUMMYFUNCTION("""COMPUTED_VALUE"""),"獎狀")</f>
        <v>獎狀</v>
      </c>
      <c r="H1393" s="8"/>
    </row>
    <row r="1394">
      <c r="A1394" s="18"/>
      <c r="B1394" s="14">
        <f>IFERROR(__xludf.DUMMYFUNCTION("""COMPUTED_VALUE"""),379102.0)</f>
        <v>379102</v>
      </c>
      <c r="C1394" s="14" t="str">
        <f>IFERROR(__xludf.DUMMYFUNCTION("""COMPUTED_VALUE"""),"陳柏宇")</f>
        <v>陳柏宇</v>
      </c>
      <c r="D1394" s="16" t="str">
        <f>IFERROR(__xludf.DUMMYFUNCTION("""COMPUTED_VALUE"""),"ssh*****1@mail.edu.tw")</f>
        <v>ssh*****1@mail.edu.tw</v>
      </c>
      <c r="E1394" s="17" t="str">
        <f>IFERROR(__xludf.DUMMYFUNCTION("""COMPUTED_VALUE"""),"桃園市立大崗國民中學")</f>
        <v>桃園市立大崗國民中學</v>
      </c>
      <c r="F1394" s="14" t="str">
        <f>IFERROR(__xludf.DUMMYFUNCTION("""COMPUTED_VALUE"""),"八年級")</f>
        <v>八年級</v>
      </c>
      <c r="G1394" s="14" t="str">
        <f>IFERROR(__xludf.DUMMYFUNCTION("""COMPUTED_VALUE"""),"★禮券$200")</f>
        <v>★禮券$200</v>
      </c>
      <c r="H1394" s="8"/>
    </row>
    <row r="1395">
      <c r="A1395" s="18"/>
      <c r="B1395" s="14">
        <f>IFERROR(__xludf.DUMMYFUNCTION("""COMPUTED_VALUE"""),1205540.0)</f>
        <v>1205540</v>
      </c>
      <c r="C1395" s="14" t="str">
        <f>IFERROR(__xludf.DUMMYFUNCTION("""COMPUTED_VALUE"""),"洪翊凱")</f>
        <v>洪翊凱</v>
      </c>
      <c r="D1395" s="16" t="str">
        <f>IFERROR(__xludf.DUMMYFUNCTION("""COMPUTED_VALUE"""),"109*****dgjh.tyc.edu.tw")</f>
        <v>109*****dgjh.tyc.edu.tw</v>
      </c>
      <c r="E1395" s="17" t="str">
        <f>IFERROR(__xludf.DUMMYFUNCTION("""COMPUTED_VALUE"""),"桃園市立大崗國民中學")</f>
        <v>桃園市立大崗國民中學</v>
      </c>
      <c r="F1395" s="14" t="str">
        <f>IFERROR(__xludf.DUMMYFUNCTION("""COMPUTED_VALUE"""),"九年級")</f>
        <v>九年級</v>
      </c>
      <c r="G1395" s="14" t="str">
        <f>IFERROR(__xludf.DUMMYFUNCTION("""COMPUTED_VALUE"""),"●小禮物")</f>
        <v>●小禮物</v>
      </c>
      <c r="H1395" s="8"/>
    </row>
    <row r="1396">
      <c r="A1396" s="18"/>
      <c r="B1396" s="14">
        <f>IFERROR(__xludf.DUMMYFUNCTION("""COMPUTED_VALUE"""),1205533.0)</f>
        <v>1205533</v>
      </c>
      <c r="C1396" s="14" t="str">
        <f>IFERROR(__xludf.DUMMYFUNCTION("""COMPUTED_VALUE"""),"鄭群穎")</f>
        <v>鄭群穎</v>
      </c>
      <c r="D1396" s="16" t="str">
        <f>IFERROR(__xludf.DUMMYFUNCTION("""COMPUTED_VALUE"""),"109*****dgjh.tyc.edu.tw")</f>
        <v>109*****dgjh.tyc.edu.tw</v>
      </c>
      <c r="E1396" s="17" t="str">
        <f>IFERROR(__xludf.DUMMYFUNCTION("""COMPUTED_VALUE"""),"桃園市立大崗國民中學")</f>
        <v>桃園市立大崗國民中學</v>
      </c>
      <c r="F1396" s="14" t="str">
        <f>IFERROR(__xludf.DUMMYFUNCTION("""COMPUTED_VALUE"""),"九年級")</f>
        <v>九年級</v>
      </c>
      <c r="G1396" s="14" t="str">
        <f>IFERROR(__xludf.DUMMYFUNCTION("""COMPUTED_VALUE"""),"★禮券$500")</f>
        <v>★禮券$500</v>
      </c>
      <c r="H1396" s="8"/>
    </row>
    <row r="1397">
      <c r="A1397" s="18"/>
      <c r="B1397" s="14">
        <f>IFERROR(__xludf.DUMMYFUNCTION("""COMPUTED_VALUE"""),1205538.0)</f>
        <v>1205538</v>
      </c>
      <c r="C1397" s="14" t="str">
        <f>IFERROR(__xludf.DUMMYFUNCTION("""COMPUTED_VALUE"""),"林玟君")</f>
        <v>林玟君</v>
      </c>
      <c r="D1397" s="16" t="str">
        <f>IFERROR(__xludf.DUMMYFUNCTION("""COMPUTED_VALUE"""),"109*****dgjh.tyc.edu.tw")</f>
        <v>109*****dgjh.tyc.edu.tw</v>
      </c>
      <c r="E1397" s="17" t="str">
        <f>IFERROR(__xludf.DUMMYFUNCTION("""COMPUTED_VALUE"""),"桃園市立大崗國民中學")</f>
        <v>桃園市立大崗國民中學</v>
      </c>
      <c r="F1397" s="14" t="str">
        <f>IFERROR(__xludf.DUMMYFUNCTION("""COMPUTED_VALUE"""),"九年級")</f>
        <v>九年級</v>
      </c>
      <c r="G1397" s="14" t="str">
        <f>IFERROR(__xludf.DUMMYFUNCTION("""COMPUTED_VALUE"""),"獎狀")</f>
        <v>獎狀</v>
      </c>
      <c r="H1397" s="8"/>
    </row>
    <row r="1398">
      <c r="A1398" s="18"/>
      <c r="B1398" s="14">
        <f>IFERROR(__xludf.DUMMYFUNCTION("""COMPUTED_VALUE"""),836734.0)</f>
        <v>836734</v>
      </c>
      <c r="C1398" s="14" t="str">
        <f>IFERROR(__xludf.DUMMYFUNCTION("""COMPUTED_VALUE"""),"游沛穎")</f>
        <v>游沛穎</v>
      </c>
      <c r="D1398" s="16" t="str">
        <f>IFERROR(__xludf.DUMMYFUNCTION("""COMPUTED_VALUE"""),"109*****dgjh.tyc.edu.tw")</f>
        <v>109*****dgjh.tyc.edu.tw</v>
      </c>
      <c r="E1398" s="17" t="str">
        <f>IFERROR(__xludf.DUMMYFUNCTION("""COMPUTED_VALUE"""),"桃園市立大崗國民中學")</f>
        <v>桃園市立大崗國民中學</v>
      </c>
      <c r="F1398" s="14" t="str">
        <f>IFERROR(__xludf.DUMMYFUNCTION("""COMPUTED_VALUE"""),"九年級")</f>
        <v>九年級</v>
      </c>
      <c r="G1398" s="14" t="str">
        <f>IFERROR(__xludf.DUMMYFUNCTION("""COMPUTED_VALUE"""),"●小禮物")</f>
        <v>●小禮物</v>
      </c>
      <c r="H1398" s="8"/>
    </row>
    <row r="1399">
      <c r="A1399" s="18"/>
      <c r="B1399" s="14">
        <f>IFERROR(__xludf.DUMMYFUNCTION("""COMPUTED_VALUE"""),1210154.0)</f>
        <v>1210154</v>
      </c>
      <c r="C1399" s="14" t="str">
        <f>IFERROR(__xludf.DUMMYFUNCTION("""COMPUTED_VALUE"""),"曾育賢")</f>
        <v>曾育賢</v>
      </c>
      <c r="D1399" s="16" t="str">
        <f>IFERROR(__xludf.DUMMYFUNCTION("""COMPUTED_VALUE"""),"109*****dgjh.tyc.edu.tw")</f>
        <v>109*****dgjh.tyc.edu.tw</v>
      </c>
      <c r="E1399" s="17" t="str">
        <f>IFERROR(__xludf.DUMMYFUNCTION("""COMPUTED_VALUE"""),"桃園市立大崗國民中學")</f>
        <v>桃園市立大崗國民中學</v>
      </c>
      <c r="F1399" s="14" t="str">
        <f>IFERROR(__xludf.DUMMYFUNCTION("""COMPUTED_VALUE"""),"九年級")</f>
        <v>九年級</v>
      </c>
      <c r="G1399" s="14" t="str">
        <f>IFERROR(__xludf.DUMMYFUNCTION("""COMPUTED_VALUE"""),"獎狀")</f>
        <v>獎狀</v>
      </c>
      <c r="H1399" s="8"/>
    </row>
    <row r="1400">
      <c r="A1400" s="18"/>
      <c r="B1400" s="14">
        <f>IFERROR(__xludf.DUMMYFUNCTION("""COMPUTED_VALUE"""),1210141.0)</f>
        <v>1210141</v>
      </c>
      <c r="C1400" s="14" t="str">
        <f>IFERROR(__xludf.DUMMYFUNCTION("""COMPUTED_VALUE"""),"鄭平利")</f>
        <v>鄭平利</v>
      </c>
      <c r="D1400" s="16" t="str">
        <f>IFERROR(__xludf.DUMMYFUNCTION("""COMPUTED_VALUE"""),"109*****dgjh.tyc.edu.tw")</f>
        <v>109*****dgjh.tyc.edu.tw</v>
      </c>
      <c r="E1400" s="17" t="str">
        <f>IFERROR(__xludf.DUMMYFUNCTION("""COMPUTED_VALUE"""),"桃園市立大崗國民中學")</f>
        <v>桃園市立大崗國民中學</v>
      </c>
      <c r="F1400" s="14" t="str">
        <f>IFERROR(__xludf.DUMMYFUNCTION("""COMPUTED_VALUE"""),"九年級")</f>
        <v>九年級</v>
      </c>
      <c r="G1400" s="14" t="str">
        <f>IFERROR(__xludf.DUMMYFUNCTION("""COMPUTED_VALUE"""),"獎狀")</f>
        <v>獎狀</v>
      </c>
      <c r="H1400" s="8"/>
    </row>
    <row r="1401">
      <c r="A1401" s="18"/>
      <c r="B1401" s="14">
        <f>IFERROR(__xludf.DUMMYFUNCTION("""COMPUTED_VALUE"""),1210381.0)</f>
        <v>1210381</v>
      </c>
      <c r="C1401" s="14" t="str">
        <f>IFERROR(__xludf.DUMMYFUNCTION("""COMPUTED_VALUE"""),"李欣穎")</f>
        <v>李欣穎</v>
      </c>
      <c r="D1401" s="16" t="str">
        <f>IFERROR(__xludf.DUMMYFUNCTION("""COMPUTED_VALUE"""),"109*****dgjh.tyc.edu.tw")</f>
        <v>109*****dgjh.tyc.edu.tw</v>
      </c>
      <c r="E1401" s="17" t="str">
        <f>IFERROR(__xludf.DUMMYFUNCTION("""COMPUTED_VALUE"""),"桃園市立大崗國民中學")</f>
        <v>桃園市立大崗國民中學</v>
      </c>
      <c r="F1401" s="14" t="str">
        <f>IFERROR(__xludf.DUMMYFUNCTION("""COMPUTED_VALUE"""),"九年級")</f>
        <v>九年級</v>
      </c>
      <c r="G1401" s="14" t="str">
        <f>IFERROR(__xludf.DUMMYFUNCTION("""COMPUTED_VALUE"""),"●小禮物")</f>
        <v>●小禮物</v>
      </c>
      <c r="H1401" s="8"/>
    </row>
    <row r="1402">
      <c r="A1402" s="18"/>
      <c r="B1402" s="14">
        <f>IFERROR(__xludf.DUMMYFUNCTION("""COMPUTED_VALUE"""),1210379.0)</f>
        <v>1210379</v>
      </c>
      <c r="C1402" s="14" t="str">
        <f>IFERROR(__xludf.DUMMYFUNCTION("""COMPUTED_VALUE"""),"周栩安")</f>
        <v>周栩安</v>
      </c>
      <c r="D1402" s="16" t="str">
        <f>IFERROR(__xludf.DUMMYFUNCTION("""COMPUTED_VALUE"""),"109*****dgjh.tyc.edu.tw")</f>
        <v>109*****dgjh.tyc.edu.tw</v>
      </c>
      <c r="E1402" s="17" t="str">
        <f>IFERROR(__xludf.DUMMYFUNCTION("""COMPUTED_VALUE"""),"桃園市立大崗國民中學")</f>
        <v>桃園市立大崗國民中學</v>
      </c>
      <c r="F1402" s="14" t="str">
        <f>IFERROR(__xludf.DUMMYFUNCTION("""COMPUTED_VALUE"""),"九年級")</f>
        <v>九年級</v>
      </c>
      <c r="G1402" s="14" t="str">
        <f>IFERROR(__xludf.DUMMYFUNCTION("""COMPUTED_VALUE"""),"獎狀")</f>
        <v>獎狀</v>
      </c>
      <c r="H1402" s="8"/>
    </row>
    <row r="1403">
      <c r="A1403" s="18"/>
      <c r="B1403" s="14">
        <f>IFERROR(__xludf.DUMMYFUNCTION("""COMPUTED_VALUE"""),1205685.0)</f>
        <v>1205685</v>
      </c>
      <c r="C1403" s="14" t="str">
        <f>IFERROR(__xludf.DUMMYFUNCTION("""COMPUTED_VALUE"""),"王思云")</f>
        <v>王思云</v>
      </c>
      <c r="D1403" s="16" t="str">
        <f>IFERROR(__xludf.DUMMYFUNCTION("""COMPUTED_VALUE"""),"109*****dgjh.tyc.edu.tw")</f>
        <v>109*****dgjh.tyc.edu.tw</v>
      </c>
      <c r="E1403" s="17" t="str">
        <f>IFERROR(__xludf.DUMMYFUNCTION("""COMPUTED_VALUE"""),"桃園市立大崗國民中學")</f>
        <v>桃園市立大崗國民中學</v>
      </c>
      <c r="F1403" s="14" t="str">
        <f>IFERROR(__xludf.DUMMYFUNCTION("""COMPUTED_VALUE"""),"九年級")</f>
        <v>九年級</v>
      </c>
      <c r="G1403" s="14" t="str">
        <f>IFERROR(__xludf.DUMMYFUNCTION("""COMPUTED_VALUE"""),"●小禮物")</f>
        <v>●小禮物</v>
      </c>
      <c r="H1403" s="8"/>
    </row>
    <row r="1404">
      <c r="A1404" s="18"/>
      <c r="B1404" s="14">
        <f>IFERROR(__xludf.DUMMYFUNCTION("""COMPUTED_VALUE"""),1205720.0)</f>
        <v>1205720</v>
      </c>
      <c r="C1404" s="14" t="str">
        <f>IFERROR(__xludf.DUMMYFUNCTION("""COMPUTED_VALUE"""),"古合均")</f>
        <v>古合均</v>
      </c>
      <c r="D1404" s="16" t="str">
        <f>IFERROR(__xludf.DUMMYFUNCTION("""COMPUTED_VALUE"""),"dgj*****302@mail.edu.tw")</f>
        <v>dgj*****302@mail.edu.tw</v>
      </c>
      <c r="E1404" s="17" t="str">
        <f>IFERROR(__xludf.DUMMYFUNCTION("""COMPUTED_VALUE"""),"桃園市立大崗國民中學")</f>
        <v>桃園市立大崗國民中學</v>
      </c>
      <c r="F1404" s="14" t="str">
        <f>IFERROR(__xludf.DUMMYFUNCTION("""COMPUTED_VALUE"""),"九年級")</f>
        <v>九年級</v>
      </c>
      <c r="G1404" s="14" t="str">
        <f>IFERROR(__xludf.DUMMYFUNCTION("""COMPUTED_VALUE"""),"●小禮物")</f>
        <v>●小禮物</v>
      </c>
      <c r="H1404" s="8"/>
    </row>
    <row r="1405">
      <c r="A1405" s="18"/>
      <c r="B1405" s="14">
        <f>IFERROR(__xludf.DUMMYFUNCTION("""COMPUTED_VALUE"""),1205686.0)</f>
        <v>1205686</v>
      </c>
      <c r="C1405" s="14" t="str">
        <f>IFERROR(__xludf.DUMMYFUNCTION("""COMPUTED_VALUE"""),"莊宇希")</f>
        <v>莊宇希</v>
      </c>
      <c r="D1405" s="16" t="str">
        <f>IFERROR(__xludf.DUMMYFUNCTION("""COMPUTED_VALUE"""),"109*****dgjh.tyc.edu.tw")</f>
        <v>109*****dgjh.tyc.edu.tw</v>
      </c>
      <c r="E1405" s="17" t="str">
        <f>IFERROR(__xludf.DUMMYFUNCTION("""COMPUTED_VALUE"""),"桃園市立大崗國民中學")</f>
        <v>桃園市立大崗國民中學</v>
      </c>
      <c r="F1405" s="14" t="str">
        <f>IFERROR(__xludf.DUMMYFUNCTION("""COMPUTED_VALUE"""),"九年級")</f>
        <v>九年級</v>
      </c>
      <c r="G1405" s="14" t="str">
        <f>IFERROR(__xludf.DUMMYFUNCTION("""COMPUTED_VALUE"""),"●小禮物")</f>
        <v>●小禮物</v>
      </c>
      <c r="H1405" s="8"/>
    </row>
    <row r="1406">
      <c r="A1406" s="18"/>
      <c r="B1406" s="14">
        <f>IFERROR(__xludf.DUMMYFUNCTION("""COMPUTED_VALUE"""),1205693.0)</f>
        <v>1205693</v>
      </c>
      <c r="C1406" s="14" t="str">
        <f>IFERROR(__xludf.DUMMYFUNCTION("""COMPUTED_VALUE"""),"莊菘斐")</f>
        <v>莊菘斐</v>
      </c>
      <c r="D1406" s="16" t="str">
        <f>IFERROR(__xludf.DUMMYFUNCTION("""COMPUTED_VALUE"""),"109*****dgjh.tyc.edu.tw")</f>
        <v>109*****dgjh.tyc.edu.tw</v>
      </c>
      <c r="E1406" s="17" t="str">
        <f>IFERROR(__xludf.DUMMYFUNCTION("""COMPUTED_VALUE"""),"桃園市立大崗國民中學")</f>
        <v>桃園市立大崗國民中學</v>
      </c>
      <c r="F1406" s="14" t="str">
        <f>IFERROR(__xludf.DUMMYFUNCTION("""COMPUTED_VALUE"""),"九年級")</f>
        <v>九年級</v>
      </c>
      <c r="G1406" s="14" t="str">
        <f>IFERROR(__xludf.DUMMYFUNCTION("""COMPUTED_VALUE"""),"●小禮物")</f>
        <v>●小禮物</v>
      </c>
      <c r="H1406" s="8"/>
    </row>
    <row r="1407">
      <c r="A1407" s="18"/>
      <c r="B1407" s="14">
        <f>IFERROR(__xludf.DUMMYFUNCTION("""COMPUTED_VALUE"""),1205694.0)</f>
        <v>1205694</v>
      </c>
      <c r="C1407" s="14" t="str">
        <f>IFERROR(__xludf.DUMMYFUNCTION("""COMPUTED_VALUE"""),"陳冠勳")</f>
        <v>陳冠勳</v>
      </c>
      <c r="D1407" s="16" t="str">
        <f>IFERROR(__xludf.DUMMYFUNCTION("""COMPUTED_VALUE"""),"109*****dgjh.tyc.edu.tw")</f>
        <v>109*****dgjh.tyc.edu.tw</v>
      </c>
      <c r="E1407" s="17" t="str">
        <f>IFERROR(__xludf.DUMMYFUNCTION("""COMPUTED_VALUE"""),"桃園市立大崗國民中學")</f>
        <v>桃園市立大崗國民中學</v>
      </c>
      <c r="F1407" s="14" t="str">
        <f>IFERROR(__xludf.DUMMYFUNCTION("""COMPUTED_VALUE"""),"九年級")</f>
        <v>九年級</v>
      </c>
      <c r="G1407" s="14" t="str">
        <f>IFERROR(__xludf.DUMMYFUNCTION("""COMPUTED_VALUE"""),"●小禮物")</f>
        <v>●小禮物</v>
      </c>
      <c r="H1407" s="8"/>
    </row>
    <row r="1408">
      <c r="A1408" s="18"/>
      <c r="B1408" s="14">
        <f>IFERROR(__xludf.DUMMYFUNCTION("""COMPUTED_VALUE"""),1205706.0)</f>
        <v>1205706</v>
      </c>
      <c r="C1408" s="14" t="str">
        <f>IFERROR(__xludf.DUMMYFUNCTION("""COMPUTED_VALUE"""),"陳耀宗")</f>
        <v>陳耀宗</v>
      </c>
      <c r="D1408" s="16" t="str">
        <f>IFERROR(__xludf.DUMMYFUNCTION("""COMPUTED_VALUE"""),"109*****dgjh.tyc.edu.tw")</f>
        <v>109*****dgjh.tyc.edu.tw</v>
      </c>
      <c r="E1408" s="17" t="str">
        <f>IFERROR(__xludf.DUMMYFUNCTION("""COMPUTED_VALUE"""),"桃園市立大崗國民中學")</f>
        <v>桃園市立大崗國民中學</v>
      </c>
      <c r="F1408" s="14" t="str">
        <f>IFERROR(__xludf.DUMMYFUNCTION("""COMPUTED_VALUE"""),"九年級")</f>
        <v>九年級</v>
      </c>
      <c r="G1408" s="14" t="str">
        <f>IFERROR(__xludf.DUMMYFUNCTION("""COMPUTED_VALUE"""),"●小禮物")</f>
        <v>●小禮物</v>
      </c>
      <c r="H1408" s="8"/>
    </row>
    <row r="1409">
      <c r="A1409" s="18"/>
      <c r="B1409" s="14">
        <f>IFERROR(__xludf.DUMMYFUNCTION("""COMPUTED_VALUE"""),1205691.0)</f>
        <v>1205691</v>
      </c>
      <c r="C1409" s="14" t="str">
        <f>IFERROR(__xludf.DUMMYFUNCTION("""COMPUTED_VALUE"""),"周宗漢")</f>
        <v>周宗漢</v>
      </c>
      <c r="D1409" s="16" t="str">
        <f>IFERROR(__xludf.DUMMYFUNCTION("""COMPUTED_VALUE"""),"109*****dgjh.tyc.edu.tw")</f>
        <v>109*****dgjh.tyc.edu.tw</v>
      </c>
      <c r="E1409" s="17" t="str">
        <f>IFERROR(__xludf.DUMMYFUNCTION("""COMPUTED_VALUE"""),"桃園市立大崗國民中學")</f>
        <v>桃園市立大崗國民中學</v>
      </c>
      <c r="F1409" s="14" t="str">
        <f>IFERROR(__xludf.DUMMYFUNCTION("""COMPUTED_VALUE"""),"九年級")</f>
        <v>九年級</v>
      </c>
      <c r="G1409" s="14" t="str">
        <f>IFERROR(__xludf.DUMMYFUNCTION("""COMPUTED_VALUE"""),"獎狀")</f>
        <v>獎狀</v>
      </c>
      <c r="H1409" s="8"/>
    </row>
    <row r="1410">
      <c r="A1410" s="18"/>
      <c r="B1410" s="14">
        <f>IFERROR(__xludf.DUMMYFUNCTION("""COMPUTED_VALUE"""),846245.0)</f>
        <v>846245</v>
      </c>
      <c r="C1410" s="14" t="str">
        <f>IFERROR(__xludf.DUMMYFUNCTION("""COMPUTED_VALUE"""),"陳思成")</f>
        <v>陳思成</v>
      </c>
      <c r="D1410" s="16" t="str">
        <f>IFERROR(__xludf.DUMMYFUNCTION("""COMPUTED_VALUE"""),"109*****dgjh.tyc.edu.tw")</f>
        <v>109*****dgjh.tyc.edu.tw</v>
      </c>
      <c r="E1410" s="17" t="str">
        <f>IFERROR(__xludf.DUMMYFUNCTION("""COMPUTED_VALUE"""),"桃園市立大崗國民中學")</f>
        <v>桃園市立大崗國民中學</v>
      </c>
      <c r="F1410" s="14" t="str">
        <f>IFERROR(__xludf.DUMMYFUNCTION("""COMPUTED_VALUE"""),"九年級")</f>
        <v>九年級</v>
      </c>
      <c r="G1410" s="14" t="str">
        <f>IFERROR(__xludf.DUMMYFUNCTION("""COMPUTED_VALUE"""),"獎狀")</f>
        <v>獎狀</v>
      </c>
      <c r="H1410" s="8"/>
    </row>
    <row r="1411">
      <c r="A1411" s="18"/>
      <c r="B1411" s="14">
        <f>IFERROR(__xludf.DUMMYFUNCTION("""COMPUTED_VALUE"""),1204188.0)</f>
        <v>1204188</v>
      </c>
      <c r="C1411" s="14" t="str">
        <f>IFERROR(__xludf.DUMMYFUNCTION("""COMPUTED_VALUE"""),"李晨恩")</f>
        <v>李晨恩</v>
      </c>
      <c r="D1411" s="16" t="str">
        <f>IFERROR(__xludf.DUMMYFUNCTION("""COMPUTED_VALUE"""),"109*****dgjh.tyc.edu.tw")</f>
        <v>109*****dgjh.tyc.edu.tw</v>
      </c>
      <c r="E1411" s="17" t="str">
        <f>IFERROR(__xludf.DUMMYFUNCTION("""COMPUTED_VALUE"""),"桃園市立大崗國民中學")</f>
        <v>桃園市立大崗國民中學</v>
      </c>
      <c r="F1411" s="14" t="str">
        <f>IFERROR(__xludf.DUMMYFUNCTION("""COMPUTED_VALUE"""),"九年級")</f>
        <v>九年級</v>
      </c>
      <c r="G1411" s="14" t="str">
        <f>IFERROR(__xludf.DUMMYFUNCTION("""COMPUTED_VALUE"""),"●小禮物")</f>
        <v>●小禮物</v>
      </c>
      <c r="H1411" s="8"/>
    </row>
    <row r="1412">
      <c r="A1412" s="18"/>
      <c r="B1412" s="14">
        <f>IFERROR(__xludf.DUMMYFUNCTION("""COMPUTED_VALUE"""),1204177.0)</f>
        <v>1204177</v>
      </c>
      <c r="C1412" s="14" t="str">
        <f>IFERROR(__xludf.DUMMYFUNCTION("""COMPUTED_VALUE"""),"林益全")</f>
        <v>林益全</v>
      </c>
      <c r="D1412" s="16" t="str">
        <f>IFERROR(__xludf.DUMMYFUNCTION("""COMPUTED_VALUE"""),"109*****dgjh.tyc.edu.tw")</f>
        <v>109*****dgjh.tyc.edu.tw</v>
      </c>
      <c r="E1412" s="17" t="str">
        <f>IFERROR(__xludf.DUMMYFUNCTION("""COMPUTED_VALUE"""),"桃園市立大崗國民中學")</f>
        <v>桃園市立大崗國民中學</v>
      </c>
      <c r="F1412" s="14" t="str">
        <f>IFERROR(__xludf.DUMMYFUNCTION("""COMPUTED_VALUE"""),"九年級")</f>
        <v>九年級</v>
      </c>
      <c r="G1412" s="14" t="str">
        <f>IFERROR(__xludf.DUMMYFUNCTION("""COMPUTED_VALUE"""),"●小禮物")</f>
        <v>●小禮物</v>
      </c>
      <c r="H1412" s="8"/>
    </row>
    <row r="1413">
      <c r="A1413" s="18"/>
      <c r="B1413" s="14">
        <f>IFERROR(__xludf.DUMMYFUNCTION("""COMPUTED_VALUE"""),1204172.0)</f>
        <v>1204172</v>
      </c>
      <c r="C1413" s="14" t="str">
        <f>IFERROR(__xludf.DUMMYFUNCTION("""COMPUTED_VALUE"""),"許芷庭")</f>
        <v>許芷庭</v>
      </c>
      <c r="D1413" s="16" t="str">
        <f>IFERROR(__xludf.DUMMYFUNCTION("""COMPUTED_VALUE"""),"109*****dgjh.tyc.edu.tw")</f>
        <v>109*****dgjh.tyc.edu.tw</v>
      </c>
      <c r="E1413" s="17" t="str">
        <f>IFERROR(__xludf.DUMMYFUNCTION("""COMPUTED_VALUE"""),"桃園市立大崗國民中學")</f>
        <v>桃園市立大崗國民中學</v>
      </c>
      <c r="F1413" s="14" t="str">
        <f>IFERROR(__xludf.DUMMYFUNCTION("""COMPUTED_VALUE"""),"九年級")</f>
        <v>九年級</v>
      </c>
      <c r="G1413" s="14" t="str">
        <f>IFERROR(__xludf.DUMMYFUNCTION("""COMPUTED_VALUE"""),"●小禮物")</f>
        <v>●小禮物</v>
      </c>
      <c r="H1413" s="8"/>
    </row>
    <row r="1414">
      <c r="A1414" s="18"/>
      <c r="B1414" s="14">
        <f>IFERROR(__xludf.DUMMYFUNCTION("""COMPUTED_VALUE"""),1204174.0)</f>
        <v>1204174</v>
      </c>
      <c r="C1414" s="14" t="str">
        <f>IFERROR(__xludf.DUMMYFUNCTION("""COMPUTED_VALUE"""),"陳麒翰")</f>
        <v>陳麒翰</v>
      </c>
      <c r="D1414" s="16" t="str">
        <f>IFERROR(__xludf.DUMMYFUNCTION("""COMPUTED_VALUE"""),"109*****dgjh.tyc.edu.tw")</f>
        <v>109*****dgjh.tyc.edu.tw</v>
      </c>
      <c r="E1414" s="17" t="str">
        <f>IFERROR(__xludf.DUMMYFUNCTION("""COMPUTED_VALUE"""),"桃園市立大崗國民中學")</f>
        <v>桃園市立大崗國民中學</v>
      </c>
      <c r="F1414" s="14" t="str">
        <f>IFERROR(__xludf.DUMMYFUNCTION("""COMPUTED_VALUE"""),"九年級")</f>
        <v>九年級</v>
      </c>
      <c r="G1414" s="14" t="str">
        <f>IFERROR(__xludf.DUMMYFUNCTION("""COMPUTED_VALUE"""),"●小禮物")</f>
        <v>●小禮物</v>
      </c>
      <c r="H1414" s="8"/>
    </row>
    <row r="1415">
      <c r="A1415" s="18"/>
      <c r="B1415" s="14">
        <f>IFERROR(__xludf.DUMMYFUNCTION("""COMPUTED_VALUE"""),1204181.0)</f>
        <v>1204181</v>
      </c>
      <c r="C1415" s="14" t="str">
        <f>IFERROR(__xludf.DUMMYFUNCTION("""COMPUTED_VALUE"""),"宋品潔")</f>
        <v>宋品潔</v>
      </c>
      <c r="D1415" s="16" t="str">
        <f>IFERROR(__xludf.DUMMYFUNCTION("""COMPUTED_VALUE"""),"109*****dgjh.tyc.edu.tw")</f>
        <v>109*****dgjh.tyc.edu.tw</v>
      </c>
      <c r="E1415" s="17" t="str">
        <f>IFERROR(__xludf.DUMMYFUNCTION("""COMPUTED_VALUE"""),"桃園市立大崗國民中學")</f>
        <v>桃園市立大崗國民中學</v>
      </c>
      <c r="F1415" s="14" t="str">
        <f>IFERROR(__xludf.DUMMYFUNCTION("""COMPUTED_VALUE"""),"九年級")</f>
        <v>九年級</v>
      </c>
      <c r="G1415" s="14" t="str">
        <f>IFERROR(__xludf.DUMMYFUNCTION("""COMPUTED_VALUE"""),"獎狀")</f>
        <v>獎狀</v>
      </c>
      <c r="H1415" s="8"/>
    </row>
    <row r="1416">
      <c r="A1416" s="18"/>
      <c r="B1416" s="14">
        <f>IFERROR(__xludf.DUMMYFUNCTION("""COMPUTED_VALUE"""),1204176.0)</f>
        <v>1204176</v>
      </c>
      <c r="C1416" s="14" t="str">
        <f>IFERROR(__xludf.DUMMYFUNCTION("""COMPUTED_VALUE"""),"林心婗")</f>
        <v>林心婗</v>
      </c>
      <c r="D1416" s="16" t="str">
        <f>IFERROR(__xludf.DUMMYFUNCTION("""COMPUTED_VALUE"""),"109*****dgjh.tyc.edu.tw")</f>
        <v>109*****dgjh.tyc.edu.tw</v>
      </c>
      <c r="E1416" s="17" t="str">
        <f>IFERROR(__xludf.DUMMYFUNCTION("""COMPUTED_VALUE"""),"桃園市立大崗國民中學")</f>
        <v>桃園市立大崗國民中學</v>
      </c>
      <c r="F1416" s="14" t="str">
        <f>IFERROR(__xludf.DUMMYFUNCTION("""COMPUTED_VALUE"""),"九年級")</f>
        <v>九年級</v>
      </c>
      <c r="G1416" s="14" t="str">
        <f>IFERROR(__xludf.DUMMYFUNCTION("""COMPUTED_VALUE"""),"獎狀")</f>
        <v>獎狀</v>
      </c>
      <c r="H1416" s="8"/>
    </row>
    <row r="1417">
      <c r="A1417" s="18"/>
      <c r="B1417" s="14">
        <f>IFERROR(__xludf.DUMMYFUNCTION("""COMPUTED_VALUE"""),1204069.0)</f>
        <v>1204069</v>
      </c>
      <c r="C1417" s="14" t="str">
        <f>IFERROR(__xludf.DUMMYFUNCTION("""COMPUTED_VALUE"""),"吳宇紘")</f>
        <v>吳宇紘</v>
      </c>
      <c r="D1417" s="16" t="str">
        <f>IFERROR(__xludf.DUMMYFUNCTION("""COMPUTED_VALUE"""),"109*****dgjh.tyc.edu.tw")</f>
        <v>109*****dgjh.tyc.edu.tw</v>
      </c>
      <c r="E1417" s="17" t="str">
        <f>IFERROR(__xludf.DUMMYFUNCTION("""COMPUTED_VALUE"""),"桃園市立大崗國民中學")</f>
        <v>桃園市立大崗國民中學</v>
      </c>
      <c r="F1417" s="14" t="str">
        <f>IFERROR(__xludf.DUMMYFUNCTION("""COMPUTED_VALUE"""),"九年級")</f>
        <v>九年級</v>
      </c>
      <c r="G1417" s="14" t="str">
        <f>IFERROR(__xludf.DUMMYFUNCTION("""COMPUTED_VALUE"""),"●小禮物")</f>
        <v>●小禮物</v>
      </c>
      <c r="H1417" s="8"/>
    </row>
    <row r="1418">
      <c r="A1418" s="18"/>
      <c r="B1418" s="14">
        <f>IFERROR(__xludf.DUMMYFUNCTION("""COMPUTED_VALUE"""),836744.0)</f>
        <v>836744</v>
      </c>
      <c r="C1418" s="14" t="str">
        <f>IFERROR(__xludf.DUMMYFUNCTION("""COMPUTED_VALUE"""),"彭柏蒼")</f>
        <v>彭柏蒼</v>
      </c>
      <c r="D1418" s="16" t="str">
        <f>IFERROR(__xludf.DUMMYFUNCTION("""COMPUTED_VALUE"""),"109*****dgjh.tyc.edu.tw")</f>
        <v>109*****dgjh.tyc.edu.tw</v>
      </c>
      <c r="E1418" s="17" t="str">
        <f>IFERROR(__xludf.DUMMYFUNCTION("""COMPUTED_VALUE"""),"桃園市立大崗國民中學")</f>
        <v>桃園市立大崗國民中學</v>
      </c>
      <c r="F1418" s="14" t="str">
        <f>IFERROR(__xludf.DUMMYFUNCTION("""COMPUTED_VALUE"""),"九年級")</f>
        <v>九年級</v>
      </c>
      <c r="G1418" s="14" t="str">
        <f>IFERROR(__xludf.DUMMYFUNCTION("""COMPUTED_VALUE"""),"●小禮物")</f>
        <v>●小禮物</v>
      </c>
      <c r="H1418" s="8"/>
    </row>
    <row r="1419">
      <c r="A1419" s="18"/>
      <c r="B1419" s="14">
        <f>IFERROR(__xludf.DUMMYFUNCTION("""COMPUTED_VALUE"""),1204072.0)</f>
        <v>1204072</v>
      </c>
      <c r="C1419" s="14" t="str">
        <f>IFERROR(__xludf.DUMMYFUNCTION("""COMPUTED_VALUE"""),"謝侑杰")</f>
        <v>謝侑杰</v>
      </c>
      <c r="D1419" s="16" t="str">
        <f>IFERROR(__xludf.DUMMYFUNCTION("""COMPUTED_VALUE"""),"109*****dgjh.tyc.edu.tw")</f>
        <v>109*****dgjh.tyc.edu.tw</v>
      </c>
      <c r="E1419" s="17" t="str">
        <f>IFERROR(__xludf.DUMMYFUNCTION("""COMPUTED_VALUE"""),"桃園市立大崗國民中學")</f>
        <v>桃園市立大崗國民中學</v>
      </c>
      <c r="F1419" s="14" t="str">
        <f>IFERROR(__xludf.DUMMYFUNCTION("""COMPUTED_VALUE"""),"九年級")</f>
        <v>九年級</v>
      </c>
      <c r="G1419" s="14" t="str">
        <f>IFERROR(__xludf.DUMMYFUNCTION("""COMPUTED_VALUE"""),"●小禮物")</f>
        <v>●小禮物</v>
      </c>
      <c r="H1419" s="8"/>
    </row>
    <row r="1420">
      <c r="A1420" s="18"/>
      <c r="B1420" s="14">
        <f>IFERROR(__xludf.DUMMYFUNCTION("""COMPUTED_VALUE"""),1204063.0)</f>
        <v>1204063</v>
      </c>
      <c r="C1420" s="14" t="str">
        <f>IFERROR(__xludf.DUMMYFUNCTION("""COMPUTED_VALUE"""),"楊承霏")</f>
        <v>楊承霏</v>
      </c>
      <c r="D1420" s="16" t="str">
        <f>IFERROR(__xludf.DUMMYFUNCTION("""COMPUTED_VALUE"""),"109*****dgjh.tyc.edu.tw")</f>
        <v>109*****dgjh.tyc.edu.tw</v>
      </c>
      <c r="E1420" s="17" t="str">
        <f>IFERROR(__xludf.DUMMYFUNCTION("""COMPUTED_VALUE"""),"桃園市立大崗國民中學")</f>
        <v>桃園市立大崗國民中學</v>
      </c>
      <c r="F1420" s="14" t="str">
        <f>IFERROR(__xludf.DUMMYFUNCTION("""COMPUTED_VALUE"""),"九年級")</f>
        <v>九年級</v>
      </c>
      <c r="G1420" s="14" t="str">
        <f>IFERROR(__xludf.DUMMYFUNCTION("""COMPUTED_VALUE"""),"★禮券$200")</f>
        <v>★禮券$200</v>
      </c>
      <c r="H1420" s="8"/>
    </row>
    <row r="1421">
      <c r="A1421" s="18"/>
      <c r="B1421" s="14">
        <f>IFERROR(__xludf.DUMMYFUNCTION("""COMPUTED_VALUE"""),1204066.0)</f>
        <v>1204066</v>
      </c>
      <c r="C1421" s="14" t="str">
        <f>IFERROR(__xludf.DUMMYFUNCTION("""COMPUTED_VALUE"""),"古煦")</f>
        <v>古煦</v>
      </c>
      <c r="D1421" s="16" t="str">
        <f>IFERROR(__xludf.DUMMYFUNCTION("""COMPUTED_VALUE"""),"109*****dgjh.tyc.edu.tw")</f>
        <v>109*****dgjh.tyc.edu.tw</v>
      </c>
      <c r="E1421" s="17" t="str">
        <f>IFERROR(__xludf.DUMMYFUNCTION("""COMPUTED_VALUE"""),"桃園市立大崗國民中學")</f>
        <v>桃園市立大崗國民中學</v>
      </c>
      <c r="F1421" s="14" t="str">
        <f>IFERROR(__xludf.DUMMYFUNCTION("""COMPUTED_VALUE"""),"九年級")</f>
        <v>九年級</v>
      </c>
      <c r="G1421" s="14" t="str">
        <f>IFERROR(__xludf.DUMMYFUNCTION("""COMPUTED_VALUE"""),"獎狀")</f>
        <v>獎狀</v>
      </c>
      <c r="H1421" s="8"/>
    </row>
    <row r="1422">
      <c r="A1422" s="18"/>
      <c r="B1422" s="14">
        <f>IFERROR(__xludf.DUMMYFUNCTION("""COMPUTED_VALUE"""),1204070.0)</f>
        <v>1204070</v>
      </c>
      <c r="C1422" s="14" t="str">
        <f>IFERROR(__xludf.DUMMYFUNCTION("""COMPUTED_VALUE"""),"劉佳玲")</f>
        <v>劉佳玲</v>
      </c>
      <c r="D1422" s="16" t="str">
        <f>IFERROR(__xludf.DUMMYFUNCTION("""COMPUTED_VALUE"""),"109*****dgjh.tyc.edu.tw")</f>
        <v>109*****dgjh.tyc.edu.tw</v>
      </c>
      <c r="E1422" s="17" t="str">
        <f>IFERROR(__xludf.DUMMYFUNCTION("""COMPUTED_VALUE"""),"桃園市立大崗國民中學")</f>
        <v>桃園市立大崗國民中學</v>
      </c>
      <c r="F1422" s="14" t="str">
        <f>IFERROR(__xludf.DUMMYFUNCTION("""COMPUTED_VALUE"""),"九年級")</f>
        <v>九年級</v>
      </c>
      <c r="G1422" s="14" t="str">
        <f>IFERROR(__xludf.DUMMYFUNCTION("""COMPUTED_VALUE"""),"獎狀")</f>
        <v>獎狀</v>
      </c>
      <c r="H1422" s="8"/>
    </row>
    <row r="1423">
      <c r="A1423" s="18"/>
      <c r="B1423" s="14">
        <f>IFERROR(__xludf.DUMMYFUNCTION("""COMPUTED_VALUE"""),1204061.0)</f>
        <v>1204061</v>
      </c>
      <c r="C1423" s="14" t="str">
        <f>IFERROR(__xludf.DUMMYFUNCTION("""COMPUTED_VALUE"""),"潘彥儒")</f>
        <v>潘彥儒</v>
      </c>
      <c r="D1423" s="16" t="str">
        <f>IFERROR(__xludf.DUMMYFUNCTION("""COMPUTED_VALUE"""),"109*****dgjh.tyc.edu.tw")</f>
        <v>109*****dgjh.tyc.edu.tw</v>
      </c>
      <c r="E1423" s="17" t="str">
        <f>IFERROR(__xludf.DUMMYFUNCTION("""COMPUTED_VALUE"""),"桃園市立大崗國民中學")</f>
        <v>桃園市立大崗國民中學</v>
      </c>
      <c r="F1423" s="14" t="str">
        <f>IFERROR(__xludf.DUMMYFUNCTION("""COMPUTED_VALUE"""),"九年級")</f>
        <v>九年級</v>
      </c>
      <c r="G1423" s="14" t="str">
        <f>IFERROR(__xludf.DUMMYFUNCTION("""COMPUTED_VALUE"""),"獎狀")</f>
        <v>獎狀</v>
      </c>
      <c r="H1423" s="8"/>
    </row>
    <row r="1424">
      <c r="A1424" s="18"/>
      <c r="B1424" s="14">
        <f>IFERROR(__xludf.DUMMYFUNCTION("""COMPUTED_VALUE"""),1204077.0)</f>
        <v>1204077</v>
      </c>
      <c r="C1424" s="14" t="str">
        <f>IFERROR(__xludf.DUMMYFUNCTION("""COMPUTED_VALUE"""),"鄭汶姍")</f>
        <v>鄭汶姍</v>
      </c>
      <c r="D1424" s="16" t="str">
        <f>IFERROR(__xludf.DUMMYFUNCTION("""COMPUTED_VALUE"""),"109*****dgjh.tyc.edu.tw")</f>
        <v>109*****dgjh.tyc.edu.tw</v>
      </c>
      <c r="E1424" s="17" t="str">
        <f>IFERROR(__xludf.DUMMYFUNCTION("""COMPUTED_VALUE"""),"桃園市立大崗國民中學")</f>
        <v>桃園市立大崗國民中學</v>
      </c>
      <c r="F1424" s="14" t="str">
        <f>IFERROR(__xludf.DUMMYFUNCTION("""COMPUTED_VALUE"""),"九年級")</f>
        <v>九年級</v>
      </c>
      <c r="G1424" s="14" t="str">
        <f>IFERROR(__xludf.DUMMYFUNCTION("""COMPUTED_VALUE"""),"獎狀")</f>
        <v>獎狀</v>
      </c>
      <c r="H1424" s="8"/>
    </row>
    <row r="1425">
      <c r="A1425" s="18"/>
      <c r="B1425" s="14">
        <f>IFERROR(__xludf.DUMMYFUNCTION("""COMPUTED_VALUE"""),1204075.0)</f>
        <v>1204075</v>
      </c>
      <c r="C1425" s="14" t="str">
        <f>IFERROR(__xludf.DUMMYFUNCTION("""COMPUTED_VALUE"""),"謝秉諭")</f>
        <v>謝秉諭</v>
      </c>
      <c r="D1425" s="16" t="str">
        <f>IFERROR(__xludf.DUMMYFUNCTION("""COMPUTED_VALUE"""),"109*****dgjh.tyc.edu.tw")</f>
        <v>109*****dgjh.tyc.edu.tw</v>
      </c>
      <c r="E1425" s="17" t="str">
        <f>IFERROR(__xludf.DUMMYFUNCTION("""COMPUTED_VALUE"""),"桃園市立大崗國民中學")</f>
        <v>桃園市立大崗國民中學</v>
      </c>
      <c r="F1425" s="14" t="str">
        <f>IFERROR(__xludf.DUMMYFUNCTION("""COMPUTED_VALUE"""),"九年級")</f>
        <v>九年級</v>
      </c>
      <c r="G1425" s="14" t="str">
        <f>IFERROR(__xludf.DUMMYFUNCTION("""COMPUTED_VALUE"""),"獎狀")</f>
        <v>獎狀</v>
      </c>
      <c r="H1425" s="8"/>
    </row>
    <row r="1426">
      <c r="A1426" s="18"/>
      <c r="B1426" s="14">
        <f>IFERROR(__xludf.DUMMYFUNCTION("""COMPUTED_VALUE"""),744324.0)</f>
        <v>744324</v>
      </c>
      <c r="C1426" s="14" t="str">
        <f>IFERROR(__xludf.DUMMYFUNCTION("""COMPUTED_VALUE"""),"陳奕汝")</f>
        <v>陳奕汝</v>
      </c>
      <c r="D1426" s="16" t="str">
        <f>IFERROR(__xludf.DUMMYFUNCTION("""COMPUTED_VALUE"""),"109*****dgjh.tyc.edu.tw")</f>
        <v>109*****dgjh.tyc.edu.tw</v>
      </c>
      <c r="E1426" s="17" t="str">
        <f>IFERROR(__xludf.DUMMYFUNCTION("""COMPUTED_VALUE"""),"桃園市立大崗國民中學")</f>
        <v>桃園市立大崗國民中學</v>
      </c>
      <c r="F1426" s="14" t="str">
        <f>IFERROR(__xludf.DUMMYFUNCTION("""COMPUTED_VALUE"""),"九年級")</f>
        <v>九年級</v>
      </c>
      <c r="G1426" s="14" t="str">
        <f>IFERROR(__xludf.DUMMYFUNCTION("""COMPUTED_VALUE"""),"●小禮物")</f>
        <v>●小禮物</v>
      </c>
      <c r="H1426" s="8"/>
    </row>
    <row r="1427">
      <c r="A1427" s="18"/>
      <c r="B1427" s="14">
        <f>IFERROR(__xludf.DUMMYFUNCTION("""COMPUTED_VALUE"""),744667.0)</f>
        <v>744667</v>
      </c>
      <c r="C1427" s="14" t="str">
        <f>IFERROR(__xludf.DUMMYFUNCTION("""COMPUTED_VALUE"""),"楊人輔")</f>
        <v>楊人輔</v>
      </c>
      <c r="D1427" s="16" t="str">
        <f>IFERROR(__xludf.DUMMYFUNCTION("""COMPUTED_VALUE"""),"109*****dgjh.tyc.edu.tw")</f>
        <v>109*****dgjh.tyc.edu.tw</v>
      </c>
      <c r="E1427" s="17" t="str">
        <f>IFERROR(__xludf.DUMMYFUNCTION("""COMPUTED_VALUE"""),"桃園市立大崗國民中學")</f>
        <v>桃園市立大崗國民中學</v>
      </c>
      <c r="F1427" s="14" t="str">
        <f>IFERROR(__xludf.DUMMYFUNCTION("""COMPUTED_VALUE"""),"九年級")</f>
        <v>九年級</v>
      </c>
      <c r="G1427" s="14" t="str">
        <f>IFERROR(__xludf.DUMMYFUNCTION("""COMPUTED_VALUE"""),"●小禮物")</f>
        <v>●小禮物</v>
      </c>
      <c r="H1427" s="8"/>
    </row>
    <row r="1428">
      <c r="A1428" s="18"/>
      <c r="B1428" s="14">
        <f>IFERROR(__xludf.DUMMYFUNCTION("""COMPUTED_VALUE"""),746776.0)</f>
        <v>746776</v>
      </c>
      <c r="C1428" s="14" t="str">
        <f>IFERROR(__xludf.DUMMYFUNCTION("""COMPUTED_VALUE"""),"楊祐誠")</f>
        <v>楊祐誠</v>
      </c>
      <c r="D1428" s="16" t="str">
        <f>IFERROR(__xludf.DUMMYFUNCTION("""COMPUTED_VALUE"""),"109*****dgjh.tyc.edu.tw")</f>
        <v>109*****dgjh.tyc.edu.tw</v>
      </c>
      <c r="E1428" s="17" t="str">
        <f>IFERROR(__xludf.DUMMYFUNCTION("""COMPUTED_VALUE"""),"桃園市立大崗國民中學")</f>
        <v>桃園市立大崗國民中學</v>
      </c>
      <c r="F1428" s="14" t="str">
        <f>IFERROR(__xludf.DUMMYFUNCTION("""COMPUTED_VALUE"""),"九年級")</f>
        <v>九年級</v>
      </c>
      <c r="G1428" s="14" t="str">
        <f>IFERROR(__xludf.DUMMYFUNCTION("""COMPUTED_VALUE"""),"獎狀")</f>
        <v>獎狀</v>
      </c>
      <c r="H1428" s="8"/>
    </row>
    <row r="1429">
      <c r="A1429" s="18"/>
      <c r="B1429" s="14">
        <f>IFERROR(__xludf.DUMMYFUNCTION("""COMPUTED_VALUE"""),1199722.0)</f>
        <v>1199722</v>
      </c>
      <c r="C1429" s="14" t="str">
        <f>IFERROR(__xludf.DUMMYFUNCTION("""COMPUTED_VALUE"""),"吳亮儀")</f>
        <v>吳亮儀</v>
      </c>
      <c r="D1429" s="16" t="str">
        <f>IFERROR(__xludf.DUMMYFUNCTION("""COMPUTED_VALUE"""),"109*****dgjh.tyc.edu.tw")</f>
        <v>109*****dgjh.tyc.edu.tw</v>
      </c>
      <c r="E1429" s="17" t="str">
        <f>IFERROR(__xludf.DUMMYFUNCTION("""COMPUTED_VALUE"""),"桃園市立大崗國民中學")</f>
        <v>桃園市立大崗國民中學</v>
      </c>
      <c r="F1429" s="14" t="str">
        <f>IFERROR(__xludf.DUMMYFUNCTION("""COMPUTED_VALUE"""),"九年級")</f>
        <v>九年級</v>
      </c>
      <c r="G1429" s="14" t="str">
        <f>IFERROR(__xludf.DUMMYFUNCTION("""COMPUTED_VALUE"""),"●小禮物")</f>
        <v>●小禮物</v>
      </c>
      <c r="H1429" s="8"/>
    </row>
    <row r="1430">
      <c r="A1430" s="18"/>
      <c r="B1430" s="14">
        <f>IFERROR(__xludf.DUMMYFUNCTION("""COMPUTED_VALUE"""),782633.0)</f>
        <v>782633</v>
      </c>
      <c r="C1430" s="14" t="str">
        <f>IFERROR(__xludf.DUMMYFUNCTION("""COMPUTED_VALUE"""),"楊秋樺")</f>
        <v>楊秋樺</v>
      </c>
      <c r="D1430" s="16" t="str">
        <f>IFERROR(__xludf.DUMMYFUNCTION("""COMPUTED_VALUE"""),"109*****dgjh.tyc.edu.tw")</f>
        <v>109*****dgjh.tyc.edu.tw</v>
      </c>
      <c r="E1430" s="17" t="str">
        <f>IFERROR(__xludf.DUMMYFUNCTION("""COMPUTED_VALUE"""),"桃園市立大崗國民中學")</f>
        <v>桃園市立大崗國民中學</v>
      </c>
      <c r="F1430" s="14" t="str">
        <f>IFERROR(__xludf.DUMMYFUNCTION("""COMPUTED_VALUE"""),"九年級")</f>
        <v>九年級</v>
      </c>
      <c r="G1430" s="14" t="str">
        <f>IFERROR(__xludf.DUMMYFUNCTION("""COMPUTED_VALUE"""),"獎狀")</f>
        <v>獎狀</v>
      </c>
      <c r="H1430" s="8"/>
    </row>
    <row r="1431">
      <c r="A1431" s="18"/>
      <c r="B1431" s="14">
        <f>IFERROR(__xludf.DUMMYFUNCTION("""COMPUTED_VALUE"""),1200458.0)</f>
        <v>1200458</v>
      </c>
      <c r="C1431" s="14" t="str">
        <f>IFERROR(__xludf.DUMMYFUNCTION("""COMPUTED_VALUE"""),"鄭韵潔")</f>
        <v>鄭韵潔</v>
      </c>
      <c r="D1431" s="16" t="str">
        <f>IFERROR(__xludf.DUMMYFUNCTION("""COMPUTED_VALUE"""),"109*****dgjh.tyc.edu.tw")</f>
        <v>109*****dgjh.tyc.edu.tw</v>
      </c>
      <c r="E1431" s="17" t="str">
        <f>IFERROR(__xludf.DUMMYFUNCTION("""COMPUTED_VALUE"""),"桃園市立大崗國民中學")</f>
        <v>桃園市立大崗國民中學</v>
      </c>
      <c r="F1431" s="14" t="str">
        <f>IFERROR(__xludf.DUMMYFUNCTION("""COMPUTED_VALUE"""),"九年級")</f>
        <v>九年級</v>
      </c>
      <c r="G1431" s="14" t="str">
        <f>IFERROR(__xludf.DUMMYFUNCTION("""COMPUTED_VALUE"""),"●小禮物")</f>
        <v>●小禮物</v>
      </c>
      <c r="H1431" s="8"/>
    </row>
    <row r="1432">
      <c r="A1432" s="18"/>
      <c r="B1432" s="14">
        <f>IFERROR(__xludf.DUMMYFUNCTION("""COMPUTED_VALUE"""),1155062.0)</f>
        <v>1155062</v>
      </c>
      <c r="C1432" s="14" t="str">
        <f>IFERROR(__xludf.DUMMYFUNCTION("""COMPUTED_VALUE"""),"李爰瑄")</f>
        <v>李爰瑄</v>
      </c>
      <c r="D1432" s="16" t="str">
        <f>IFERROR(__xludf.DUMMYFUNCTION("""COMPUTED_VALUE"""),"111*****hles.tyc.edu.tw")</f>
        <v>111*****hles.tyc.edu.tw</v>
      </c>
      <c r="E1432" s="17" t="str">
        <f>IFERROR(__xludf.DUMMYFUNCTION("""COMPUTED_VALUE"""),"桃園市立迴龍國民中小學國中部")</f>
        <v>桃園市立迴龍國民中小學國中部</v>
      </c>
      <c r="F1432" s="14" t="str">
        <f>IFERROR(__xludf.DUMMYFUNCTION("""COMPUTED_VALUE"""),"七年級")</f>
        <v>七年級</v>
      </c>
      <c r="G1432" s="14" t="str">
        <f>IFERROR(__xludf.DUMMYFUNCTION("""COMPUTED_VALUE"""),"●小禮物")</f>
        <v>●小禮物</v>
      </c>
      <c r="H1432" s="8"/>
    </row>
    <row r="1433">
      <c r="A1433" s="18"/>
      <c r="B1433" s="14">
        <f>IFERROR(__xludf.DUMMYFUNCTION("""COMPUTED_VALUE"""),1154152.0)</f>
        <v>1154152</v>
      </c>
      <c r="C1433" s="14" t="str">
        <f>IFERROR(__xludf.DUMMYFUNCTION("""COMPUTED_VALUE"""),"盧竑睿")</f>
        <v>盧竑睿</v>
      </c>
      <c r="D1433" s="16" t="str">
        <f>IFERROR(__xludf.DUMMYFUNCTION("""COMPUTED_VALUE"""),"111*****hles.tyc.edu.tw")</f>
        <v>111*****hles.tyc.edu.tw</v>
      </c>
      <c r="E1433" s="17" t="str">
        <f>IFERROR(__xludf.DUMMYFUNCTION("""COMPUTED_VALUE"""),"桃園市立迴龍國民中小學國中部")</f>
        <v>桃園市立迴龍國民中小學國中部</v>
      </c>
      <c r="F1433" s="14" t="str">
        <f>IFERROR(__xludf.DUMMYFUNCTION("""COMPUTED_VALUE"""),"七年級")</f>
        <v>七年級</v>
      </c>
      <c r="G1433" s="14" t="str">
        <f>IFERROR(__xludf.DUMMYFUNCTION("""COMPUTED_VALUE"""),"●小禮物")</f>
        <v>●小禮物</v>
      </c>
      <c r="H1433" s="8"/>
    </row>
    <row r="1434">
      <c r="A1434" s="18"/>
      <c r="B1434" s="14">
        <f>IFERROR(__xludf.DUMMYFUNCTION("""COMPUTED_VALUE"""),1155282.0)</f>
        <v>1155282</v>
      </c>
      <c r="C1434" s="14" t="str">
        <f>IFERROR(__xludf.DUMMYFUNCTION("""COMPUTED_VALUE"""),"陳威廷")</f>
        <v>陳威廷</v>
      </c>
      <c r="D1434" s="16" t="str">
        <f>IFERROR(__xludf.DUMMYFUNCTION("""COMPUTED_VALUE"""),"105*****hles.tyc.edu.tw")</f>
        <v>105*****hles.tyc.edu.tw</v>
      </c>
      <c r="E1434" s="17" t="str">
        <f>IFERROR(__xludf.DUMMYFUNCTION("""COMPUTED_VALUE"""),"桃園市立迴龍國民中小學國中部")</f>
        <v>桃園市立迴龍國民中小學國中部</v>
      </c>
      <c r="F1434" s="14" t="str">
        <f>IFERROR(__xludf.DUMMYFUNCTION("""COMPUTED_VALUE"""),"七年級")</f>
        <v>七年級</v>
      </c>
      <c r="G1434" s="14" t="str">
        <f>IFERROR(__xludf.DUMMYFUNCTION("""COMPUTED_VALUE"""),"●小禮物")</f>
        <v>●小禮物</v>
      </c>
      <c r="H1434" s="8"/>
    </row>
    <row r="1435">
      <c r="A1435" s="18"/>
      <c r="B1435" s="14">
        <f>IFERROR(__xludf.DUMMYFUNCTION("""COMPUTED_VALUE"""),1190399.0)</f>
        <v>1190399</v>
      </c>
      <c r="C1435" s="14" t="str">
        <f>IFERROR(__xludf.DUMMYFUNCTION("""COMPUTED_VALUE"""),"廖信崴")</f>
        <v>廖信崴</v>
      </c>
      <c r="D1435" s="16" t="str">
        <f>IFERROR(__xludf.DUMMYFUNCTION("""COMPUTED_VALUE"""),"105*****hles.tyc.edu.tw")</f>
        <v>105*****hles.tyc.edu.tw</v>
      </c>
      <c r="E1435" s="17" t="str">
        <f>IFERROR(__xludf.DUMMYFUNCTION("""COMPUTED_VALUE"""),"桃園市立迴龍國民中小學國中部")</f>
        <v>桃園市立迴龍國民中小學國中部</v>
      </c>
      <c r="F1435" s="14" t="str">
        <f>IFERROR(__xludf.DUMMYFUNCTION("""COMPUTED_VALUE"""),"七年級")</f>
        <v>七年級</v>
      </c>
      <c r="G1435" s="14" t="str">
        <f>IFERROR(__xludf.DUMMYFUNCTION("""COMPUTED_VALUE"""),"●小禮物")</f>
        <v>●小禮物</v>
      </c>
      <c r="H1435" s="8"/>
    </row>
    <row r="1436">
      <c r="A1436" s="18"/>
      <c r="B1436" s="14">
        <f>IFERROR(__xludf.DUMMYFUNCTION("""COMPUTED_VALUE"""),1190400.0)</f>
        <v>1190400</v>
      </c>
      <c r="C1436" s="14" t="str">
        <f>IFERROR(__xludf.DUMMYFUNCTION("""COMPUTED_VALUE"""),"林暐峻")</f>
        <v>林暐峻</v>
      </c>
      <c r="D1436" s="16" t="str">
        <f>IFERROR(__xludf.DUMMYFUNCTION("""COMPUTED_VALUE"""),"105*****hles.tyc.edu.tw")</f>
        <v>105*****hles.tyc.edu.tw</v>
      </c>
      <c r="E1436" s="17" t="str">
        <f>IFERROR(__xludf.DUMMYFUNCTION("""COMPUTED_VALUE"""),"桃園市立迴龍國民中小學國中部")</f>
        <v>桃園市立迴龍國民中小學國中部</v>
      </c>
      <c r="F1436" s="14" t="str">
        <f>IFERROR(__xludf.DUMMYFUNCTION("""COMPUTED_VALUE"""),"七年級")</f>
        <v>七年級</v>
      </c>
      <c r="G1436" s="14" t="str">
        <f>IFERROR(__xludf.DUMMYFUNCTION("""COMPUTED_VALUE"""),"★禮券$200")</f>
        <v>★禮券$200</v>
      </c>
      <c r="H1436" s="8"/>
    </row>
    <row r="1437">
      <c r="A1437" s="18"/>
      <c r="B1437" s="14">
        <f>IFERROR(__xludf.DUMMYFUNCTION("""COMPUTED_VALUE"""),1190395.0)</f>
        <v>1190395</v>
      </c>
      <c r="C1437" s="14" t="str">
        <f>IFERROR(__xludf.DUMMYFUNCTION("""COMPUTED_VALUE"""),"吳美琳")</f>
        <v>吳美琳</v>
      </c>
      <c r="D1437" s="16" t="str">
        <f>IFERROR(__xludf.DUMMYFUNCTION("""COMPUTED_VALUE"""),"111*****hles.tyc.edu.tw")</f>
        <v>111*****hles.tyc.edu.tw</v>
      </c>
      <c r="E1437" s="17" t="str">
        <f>IFERROR(__xludf.DUMMYFUNCTION("""COMPUTED_VALUE"""),"桃園市立迴龍國民中小學國中部")</f>
        <v>桃園市立迴龍國民中小學國中部</v>
      </c>
      <c r="F1437" s="14" t="str">
        <f>IFERROR(__xludf.DUMMYFUNCTION("""COMPUTED_VALUE"""),"七年級")</f>
        <v>七年級</v>
      </c>
      <c r="G1437" s="14" t="str">
        <f>IFERROR(__xludf.DUMMYFUNCTION("""COMPUTED_VALUE"""),"獎狀")</f>
        <v>獎狀</v>
      </c>
      <c r="H1437" s="8"/>
    </row>
    <row r="1438">
      <c r="A1438" s="18"/>
      <c r="B1438" s="14">
        <f>IFERROR(__xludf.DUMMYFUNCTION("""COMPUTED_VALUE"""),1190397.0)</f>
        <v>1190397</v>
      </c>
      <c r="C1438" s="14" t="str">
        <f>IFERROR(__xludf.DUMMYFUNCTION("""COMPUTED_VALUE"""),"李依蓁")</f>
        <v>李依蓁</v>
      </c>
      <c r="D1438" s="16" t="str">
        <f>IFERROR(__xludf.DUMMYFUNCTION("""COMPUTED_VALUE"""),"111*****hles.tyc.edu.tw")</f>
        <v>111*****hles.tyc.edu.tw</v>
      </c>
      <c r="E1438" s="17" t="str">
        <f>IFERROR(__xludf.DUMMYFUNCTION("""COMPUTED_VALUE"""),"桃園市立迴龍國民中小學國中部")</f>
        <v>桃園市立迴龍國民中小學國中部</v>
      </c>
      <c r="F1438" s="14" t="str">
        <f>IFERROR(__xludf.DUMMYFUNCTION("""COMPUTED_VALUE"""),"七年級")</f>
        <v>七年級</v>
      </c>
      <c r="G1438" s="14" t="str">
        <f>IFERROR(__xludf.DUMMYFUNCTION("""COMPUTED_VALUE"""),"獎狀")</f>
        <v>獎狀</v>
      </c>
      <c r="H1438" s="8"/>
    </row>
    <row r="1439">
      <c r="A1439" s="18"/>
      <c r="B1439" s="14">
        <f>IFERROR(__xludf.DUMMYFUNCTION("""COMPUTED_VALUE"""),1169008.0)</f>
        <v>1169008</v>
      </c>
      <c r="C1439" s="14" t="str">
        <f>IFERROR(__xludf.DUMMYFUNCTION("""COMPUTED_VALUE"""),"胡育菱")</f>
        <v>胡育菱</v>
      </c>
      <c r="D1439" s="16" t="str">
        <f>IFERROR(__xludf.DUMMYFUNCTION("""COMPUTED_VALUE"""),"111*****hles.tyc.edu.tw")</f>
        <v>111*****hles.tyc.edu.tw</v>
      </c>
      <c r="E1439" s="17" t="str">
        <f>IFERROR(__xludf.DUMMYFUNCTION("""COMPUTED_VALUE"""),"桃園市立迴龍國民中小學國中部")</f>
        <v>桃園市立迴龍國民中小學國中部</v>
      </c>
      <c r="F1439" s="14" t="str">
        <f>IFERROR(__xludf.DUMMYFUNCTION("""COMPUTED_VALUE"""),"七年級")</f>
        <v>七年級</v>
      </c>
      <c r="G1439" s="14" t="str">
        <f>IFERROR(__xludf.DUMMYFUNCTION("""COMPUTED_VALUE"""),"獎狀")</f>
        <v>獎狀</v>
      </c>
      <c r="H1439" s="8"/>
    </row>
    <row r="1440">
      <c r="A1440" s="18"/>
      <c r="B1440" s="14">
        <f>IFERROR(__xludf.DUMMYFUNCTION("""COMPUTED_VALUE"""),1155284.0)</f>
        <v>1155284</v>
      </c>
      <c r="C1440" s="14" t="str">
        <f>IFERROR(__xludf.DUMMYFUNCTION("""COMPUTED_VALUE"""),"顏嘉宗")</f>
        <v>顏嘉宗</v>
      </c>
      <c r="D1440" s="16" t="str">
        <f>IFERROR(__xludf.DUMMYFUNCTION("""COMPUTED_VALUE"""),"105*****hles.tyc.edu.tw")</f>
        <v>105*****hles.tyc.edu.tw</v>
      </c>
      <c r="E1440" s="17" t="str">
        <f>IFERROR(__xludf.DUMMYFUNCTION("""COMPUTED_VALUE"""),"桃園市立迴龍國民中小學國中部")</f>
        <v>桃園市立迴龍國民中小學國中部</v>
      </c>
      <c r="F1440" s="14" t="str">
        <f>IFERROR(__xludf.DUMMYFUNCTION("""COMPUTED_VALUE"""),"七年級")</f>
        <v>七年級</v>
      </c>
      <c r="G1440" s="14" t="str">
        <f>IFERROR(__xludf.DUMMYFUNCTION("""COMPUTED_VALUE"""),"獎狀")</f>
        <v>獎狀</v>
      </c>
      <c r="H1440" s="8"/>
    </row>
    <row r="1441">
      <c r="A1441" s="18"/>
      <c r="B1441" s="14">
        <f>IFERROR(__xludf.DUMMYFUNCTION("""COMPUTED_VALUE"""),1156076.0)</f>
        <v>1156076</v>
      </c>
      <c r="C1441" s="14" t="str">
        <f>IFERROR(__xludf.DUMMYFUNCTION("""COMPUTED_VALUE"""),"徐喜德")</f>
        <v>徐喜德</v>
      </c>
      <c r="D1441" s="16" t="str">
        <f>IFERROR(__xludf.DUMMYFUNCTION("""COMPUTED_VALUE"""),"111*****hles.tyc.edu.tw")</f>
        <v>111*****hles.tyc.edu.tw</v>
      </c>
      <c r="E1441" s="17" t="str">
        <f>IFERROR(__xludf.DUMMYFUNCTION("""COMPUTED_VALUE"""),"桃園市立迴龍國民中小學國中部")</f>
        <v>桃園市立迴龍國民中小學國中部</v>
      </c>
      <c r="F1441" s="14" t="str">
        <f>IFERROR(__xludf.DUMMYFUNCTION("""COMPUTED_VALUE"""),"七年級")</f>
        <v>七年級</v>
      </c>
      <c r="G1441" s="14" t="str">
        <f>IFERROR(__xludf.DUMMYFUNCTION("""COMPUTED_VALUE"""),"●小禮物")</f>
        <v>●小禮物</v>
      </c>
      <c r="H1441" s="8"/>
    </row>
    <row r="1442">
      <c r="A1442" s="18"/>
      <c r="B1442" s="14">
        <f>IFERROR(__xludf.DUMMYFUNCTION("""COMPUTED_VALUE"""),1168127.0)</f>
        <v>1168127</v>
      </c>
      <c r="C1442" s="14" t="str">
        <f>IFERROR(__xludf.DUMMYFUNCTION("""COMPUTED_VALUE"""),"劉宇恆")</f>
        <v>劉宇恆</v>
      </c>
      <c r="D1442" s="16" t="str">
        <f>IFERROR(__xludf.DUMMYFUNCTION("""COMPUTED_VALUE"""),"111*****hles.tyc.edu.tw")</f>
        <v>111*****hles.tyc.edu.tw</v>
      </c>
      <c r="E1442" s="17" t="str">
        <f>IFERROR(__xludf.DUMMYFUNCTION("""COMPUTED_VALUE"""),"桃園市立迴龍國民中小學國中部")</f>
        <v>桃園市立迴龍國民中小學國中部</v>
      </c>
      <c r="F1442" s="14" t="str">
        <f>IFERROR(__xludf.DUMMYFUNCTION("""COMPUTED_VALUE"""),"七年級")</f>
        <v>七年級</v>
      </c>
      <c r="G1442" s="14" t="str">
        <f>IFERROR(__xludf.DUMMYFUNCTION("""COMPUTED_VALUE"""),"●小禮物")</f>
        <v>●小禮物</v>
      </c>
      <c r="H1442" s="8"/>
    </row>
    <row r="1443">
      <c r="A1443" s="18"/>
      <c r="B1443" s="14">
        <f>IFERROR(__xludf.DUMMYFUNCTION("""COMPUTED_VALUE"""),1154153.0)</f>
        <v>1154153</v>
      </c>
      <c r="C1443" s="14" t="str">
        <f>IFERROR(__xludf.DUMMYFUNCTION("""COMPUTED_VALUE"""),"劉羽晴")</f>
        <v>劉羽晴</v>
      </c>
      <c r="D1443" s="16" t="str">
        <f>IFERROR(__xludf.DUMMYFUNCTION("""COMPUTED_VALUE"""),"111*****hles.tyc.edu.tw")</f>
        <v>111*****hles.tyc.edu.tw</v>
      </c>
      <c r="E1443" s="17" t="str">
        <f>IFERROR(__xludf.DUMMYFUNCTION("""COMPUTED_VALUE"""),"桃園市立迴龍國民中小學國中部")</f>
        <v>桃園市立迴龍國民中小學國中部</v>
      </c>
      <c r="F1443" s="14" t="str">
        <f>IFERROR(__xludf.DUMMYFUNCTION("""COMPUTED_VALUE"""),"七年級")</f>
        <v>七年級</v>
      </c>
      <c r="G1443" s="14" t="str">
        <f>IFERROR(__xludf.DUMMYFUNCTION("""COMPUTED_VALUE"""),"●小禮物")</f>
        <v>●小禮物</v>
      </c>
      <c r="H1443" s="8"/>
    </row>
    <row r="1444">
      <c r="A1444" s="18"/>
      <c r="B1444" s="14">
        <f>IFERROR(__xludf.DUMMYFUNCTION("""COMPUTED_VALUE"""),1168132.0)</f>
        <v>1168132</v>
      </c>
      <c r="C1444" s="14" t="str">
        <f>IFERROR(__xludf.DUMMYFUNCTION("""COMPUTED_VALUE"""),"潘柏崴")</f>
        <v>潘柏崴</v>
      </c>
      <c r="D1444" s="16" t="str">
        <f>IFERROR(__xludf.DUMMYFUNCTION("""COMPUTED_VALUE"""),"111*****hles.tyc.edu.tw")</f>
        <v>111*****hles.tyc.edu.tw</v>
      </c>
      <c r="E1444" s="17" t="str">
        <f>IFERROR(__xludf.DUMMYFUNCTION("""COMPUTED_VALUE"""),"桃園市立迴龍國民中小學國中部")</f>
        <v>桃園市立迴龍國民中小學國中部</v>
      </c>
      <c r="F1444" s="14" t="str">
        <f>IFERROR(__xludf.DUMMYFUNCTION("""COMPUTED_VALUE"""),"七年級")</f>
        <v>七年級</v>
      </c>
      <c r="G1444" s="14" t="str">
        <f>IFERROR(__xludf.DUMMYFUNCTION("""COMPUTED_VALUE"""),"●小禮物")</f>
        <v>●小禮物</v>
      </c>
      <c r="H1444" s="8"/>
    </row>
    <row r="1445">
      <c r="A1445" s="18"/>
      <c r="B1445" s="14">
        <f>IFERROR(__xludf.DUMMYFUNCTION("""COMPUTED_VALUE"""),1191409.0)</f>
        <v>1191409</v>
      </c>
      <c r="C1445" s="14" t="str">
        <f>IFERROR(__xludf.DUMMYFUNCTION("""COMPUTED_VALUE"""),"王鴻誠")</f>
        <v>王鴻誠</v>
      </c>
      <c r="D1445" s="16" t="str">
        <f>IFERROR(__xludf.DUMMYFUNCTION("""COMPUTED_VALUE"""),"111*****hles.tyc.edu.tw")</f>
        <v>111*****hles.tyc.edu.tw</v>
      </c>
      <c r="E1445" s="17" t="str">
        <f>IFERROR(__xludf.DUMMYFUNCTION("""COMPUTED_VALUE"""),"桃園市立迴龍國民中小學國中部")</f>
        <v>桃園市立迴龍國民中小學國中部</v>
      </c>
      <c r="F1445" s="14" t="str">
        <f>IFERROR(__xludf.DUMMYFUNCTION("""COMPUTED_VALUE"""),"七年級")</f>
        <v>七年級</v>
      </c>
      <c r="G1445" s="14" t="str">
        <f>IFERROR(__xludf.DUMMYFUNCTION("""COMPUTED_VALUE"""),"★禮券$200")</f>
        <v>★禮券$200</v>
      </c>
      <c r="H1445" s="8"/>
    </row>
    <row r="1446">
      <c r="A1446" s="18"/>
      <c r="B1446" s="14">
        <f>IFERROR(__xludf.DUMMYFUNCTION("""COMPUTED_VALUE"""),1168135.0)</f>
        <v>1168135</v>
      </c>
      <c r="C1446" s="14" t="str">
        <f>IFERROR(__xludf.DUMMYFUNCTION("""COMPUTED_VALUE"""),"甄依晨")</f>
        <v>甄依晨</v>
      </c>
      <c r="D1446" s="16" t="str">
        <f>IFERROR(__xludf.DUMMYFUNCTION("""COMPUTED_VALUE"""),"111*****hles.tyc.edu.tw")</f>
        <v>111*****hles.tyc.edu.tw</v>
      </c>
      <c r="E1446" s="17" t="str">
        <f>IFERROR(__xludf.DUMMYFUNCTION("""COMPUTED_VALUE"""),"桃園市立迴龍國民中小學國中部")</f>
        <v>桃園市立迴龍國民中小學國中部</v>
      </c>
      <c r="F1446" s="14" t="str">
        <f>IFERROR(__xludf.DUMMYFUNCTION("""COMPUTED_VALUE"""),"七年級")</f>
        <v>七年級</v>
      </c>
      <c r="G1446" s="14" t="str">
        <f>IFERROR(__xludf.DUMMYFUNCTION("""COMPUTED_VALUE"""),"★禮券$200")</f>
        <v>★禮券$200</v>
      </c>
      <c r="H1446" s="8"/>
    </row>
    <row r="1447">
      <c r="A1447" s="18"/>
      <c r="B1447" s="14">
        <f>IFERROR(__xludf.DUMMYFUNCTION("""COMPUTED_VALUE"""),1027506.0)</f>
        <v>1027506</v>
      </c>
      <c r="C1447" s="14" t="str">
        <f>IFERROR(__xludf.DUMMYFUNCTION("""COMPUTED_VALUE"""),"林婉晴")</f>
        <v>林婉晴</v>
      </c>
      <c r="D1447" s="16" t="str">
        <f>IFERROR(__xludf.DUMMYFUNCTION("""COMPUTED_VALUE"""),"110*****hles.tyc.edu.tw")</f>
        <v>110*****hles.tyc.edu.tw</v>
      </c>
      <c r="E1447" s="17" t="str">
        <f>IFERROR(__xludf.DUMMYFUNCTION("""COMPUTED_VALUE"""),"桃園市立迴龍國民中小學國中部")</f>
        <v>桃園市立迴龍國民中小學國中部</v>
      </c>
      <c r="F1447" s="14" t="str">
        <f>IFERROR(__xludf.DUMMYFUNCTION("""COMPUTED_VALUE"""),"八年級")</f>
        <v>八年級</v>
      </c>
      <c r="G1447" s="14" t="str">
        <f>IFERROR(__xludf.DUMMYFUNCTION("""COMPUTED_VALUE"""),"●小禮物")</f>
        <v>●小禮物</v>
      </c>
      <c r="H1447" s="8"/>
    </row>
    <row r="1448">
      <c r="A1448" s="18"/>
      <c r="B1448" s="14">
        <f>IFERROR(__xludf.DUMMYFUNCTION("""COMPUTED_VALUE"""),613864.0)</f>
        <v>613864</v>
      </c>
      <c r="C1448" s="14" t="str">
        <f>IFERROR(__xludf.DUMMYFUNCTION("""COMPUTED_VALUE"""),"林羿玎")</f>
        <v>林羿玎</v>
      </c>
      <c r="D1448" s="16" t="str">
        <f>IFERROR(__xludf.DUMMYFUNCTION("""COMPUTED_VALUE"""),"109*****hles.tyc.edu.tw")</f>
        <v>109*****hles.tyc.edu.tw</v>
      </c>
      <c r="E1448" s="17" t="str">
        <f>IFERROR(__xludf.DUMMYFUNCTION("""COMPUTED_VALUE"""),"桃園市立迴龍國民中小學國中部")</f>
        <v>桃園市立迴龍國民中小學國中部</v>
      </c>
      <c r="F1448" s="14" t="str">
        <f>IFERROR(__xludf.DUMMYFUNCTION("""COMPUTED_VALUE"""),"八年級")</f>
        <v>八年級</v>
      </c>
      <c r="G1448" s="14" t="str">
        <f>IFERROR(__xludf.DUMMYFUNCTION("""COMPUTED_VALUE"""),"★禮券$200")</f>
        <v>★禮券$200</v>
      </c>
      <c r="H1448" s="8"/>
    </row>
    <row r="1449">
      <c r="A1449" s="18"/>
      <c r="B1449" s="14">
        <f>IFERROR(__xludf.DUMMYFUNCTION("""COMPUTED_VALUE"""),452167.0)</f>
        <v>452167</v>
      </c>
      <c r="C1449" s="14" t="str">
        <f>IFERROR(__xludf.DUMMYFUNCTION("""COMPUTED_VALUE"""),"方安琳")</f>
        <v>方安琳</v>
      </c>
      <c r="D1449" s="16" t="str">
        <f>IFERROR(__xludf.DUMMYFUNCTION("""COMPUTED_VALUE"""),"109*****hles.tyc.edu.tw")</f>
        <v>109*****hles.tyc.edu.tw</v>
      </c>
      <c r="E1449" s="17" t="str">
        <f>IFERROR(__xludf.DUMMYFUNCTION("""COMPUTED_VALUE"""),"桃園市立迴龍國民中小學國中部")</f>
        <v>桃園市立迴龍國民中小學國中部</v>
      </c>
      <c r="F1449" s="14" t="str">
        <f>IFERROR(__xludf.DUMMYFUNCTION("""COMPUTED_VALUE"""),"八年級")</f>
        <v>八年級</v>
      </c>
      <c r="G1449" s="14" t="str">
        <f>IFERROR(__xludf.DUMMYFUNCTION("""COMPUTED_VALUE"""),"獎狀")</f>
        <v>獎狀</v>
      </c>
      <c r="H1449" s="8"/>
    </row>
    <row r="1450">
      <c r="A1450" s="18"/>
      <c r="B1450" s="14">
        <f>IFERROR(__xludf.DUMMYFUNCTION("""COMPUTED_VALUE"""),1038439.0)</f>
        <v>1038439</v>
      </c>
      <c r="C1450" s="14" t="str">
        <f>IFERROR(__xludf.DUMMYFUNCTION("""COMPUTED_VALUE"""),"鄧予樂")</f>
        <v>鄧予樂</v>
      </c>
      <c r="D1450" s="16" t="str">
        <f>IFERROR(__xludf.DUMMYFUNCTION("""COMPUTED_VALUE"""),"110*****hles.tyc.edu.tw")</f>
        <v>110*****hles.tyc.edu.tw</v>
      </c>
      <c r="E1450" s="17" t="str">
        <f>IFERROR(__xludf.DUMMYFUNCTION("""COMPUTED_VALUE"""),"桃園市立迴龍國民中小學國中部")</f>
        <v>桃園市立迴龍國民中小學國中部</v>
      </c>
      <c r="F1450" s="14" t="str">
        <f>IFERROR(__xludf.DUMMYFUNCTION("""COMPUTED_VALUE"""),"八年級")</f>
        <v>八年級</v>
      </c>
      <c r="G1450" s="14" t="str">
        <f>IFERROR(__xludf.DUMMYFUNCTION("""COMPUTED_VALUE"""),"獎狀")</f>
        <v>獎狀</v>
      </c>
      <c r="H1450" s="8"/>
    </row>
    <row r="1451">
      <c r="A1451" s="18"/>
      <c r="B1451" s="14">
        <f>IFERROR(__xludf.DUMMYFUNCTION("""COMPUTED_VALUE"""),1028450.0)</f>
        <v>1028450</v>
      </c>
      <c r="C1451" s="14" t="str">
        <f>IFERROR(__xludf.DUMMYFUNCTION("""COMPUTED_VALUE"""),"鄭羽涵")</f>
        <v>鄭羽涵</v>
      </c>
      <c r="D1451" s="16" t="str">
        <f>IFERROR(__xludf.DUMMYFUNCTION("""COMPUTED_VALUE"""),"110*****hles.tyc.edu.tw")</f>
        <v>110*****hles.tyc.edu.tw</v>
      </c>
      <c r="E1451" s="17" t="str">
        <f>IFERROR(__xludf.DUMMYFUNCTION("""COMPUTED_VALUE"""),"桃園市立迴龍國民中小學國中部")</f>
        <v>桃園市立迴龍國民中小學國中部</v>
      </c>
      <c r="F1451" s="14" t="str">
        <f>IFERROR(__xludf.DUMMYFUNCTION("""COMPUTED_VALUE"""),"八年級")</f>
        <v>八年級</v>
      </c>
      <c r="G1451" s="14" t="str">
        <f>IFERROR(__xludf.DUMMYFUNCTION("""COMPUTED_VALUE"""),"●小禮物")</f>
        <v>●小禮物</v>
      </c>
      <c r="H1451" s="8"/>
    </row>
    <row r="1452">
      <c r="A1452" s="18"/>
      <c r="B1452" s="14">
        <f>IFERROR(__xludf.DUMMYFUNCTION("""COMPUTED_VALUE"""),588242.0)</f>
        <v>588242</v>
      </c>
      <c r="C1452" s="14" t="str">
        <f>IFERROR(__xludf.DUMMYFUNCTION("""COMPUTED_VALUE"""),"吳昱德")</f>
        <v>吳昱德</v>
      </c>
      <c r="D1452" s="16" t="str">
        <f>IFERROR(__xludf.DUMMYFUNCTION("""COMPUTED_VALUE"""),"109*****hles.tyc.edu.tw")</f>
        <v>109*****hles.tyc.edu.tw</v>
      </c>
      <c r="E1452" s="17" t="str">
        <f>IFERROR(__xludf.DUMMYFUNCTION("""COMPUTED_VALUE"""),"桃園市立迴龍國民中小學國中部")</f>
        <v>桃園市立迴龍國民中小學國中部</v>
      </c>
      <c r="F1452" s="14" t="str">
        <f>IFERROR(__xludf.DUMMYFUNCTION("""COMPUTED_VALUE"""),"九年級")</f>
        <v>九年級</v>
      </c>
      <c r="G1452" s="14" t="str">
        <f>IFERROR(__xludf.DUMMYFUNCTION("""COMPUTED_VALUE"""),"●小禮物")</f>
        <v>●小禮物</v>
      </c>
      <c r="H1452" s="8"/>
    </row>
    <row r="1453">
      <c r="A1453" s="18"/>
      <c r="B1453" s="14">
        <f>IFERROR(__xludf.DUMMYFUNCTION("""COMPUTED_VALUE"""),588236.0)</f>
        <v>588236</v>
      </c>
      <c r="C1453" s="14" t="str">
        <f>IFERROR(__xludf.DUMMYFUNCTION("""COMPUTED_VALUE"""),"許恩愷")</f>
        <v>許恩愷</v>
      </c>
      <c r="D1453" s="16" t="str">
        <f>IFERROR(__xludf.DUMMYFUNCTION("""COMPUTED_VALUE"""),"109*****hles.tyc.edu.tw")</f>
        <v>109*****hles.tyc.edu.tw</v>
      </c>
      <c r="E1453" s="17" t="str">
        <f>IFERROR(__xludf.DUMMYFUNCTION("""COMPUTED_VALUE"""),"桃園市立迴龍國民中小學國中部")</f>
        <v>桃園市立迴龍國民中小學國中部</v>
      </c>
      <c r="F1453" s="14" t="str">
        <f>IFERROR(__xludf.DUMMYFUNCTION("""COMPUTED_VALUE"""),"九年級")</f>
        <v>九年級</v>
      </c>
      <c r="G1453" s="14" t="str">
        <f>IFERROR(__xludf.DUMMYFUNCTION("""COMPUTED_VALUE"""),"●小禮物")</f>
        <v>●小禮物</v>
      </c>
      <c r="H1453" s="8"/>
    </row>
    <row r="1454">
      <c r="A1454" s="18"/>
      <c r="B1454" s="14">
        <f>IFERROR(__xludf.DUMMYFUNCTION("""COMPUTED_VALUE"""),588235.0)</f>
        <v>588235</v>
      </c>
      <c r="C1454" s="14" t="str">
        <f>IFERROR(__xludf.DUMMYFUNCTION("""COMPUTED_VALUE"""),"游鴻民")</f>
        <v>游鴻民</v>
      </c>
      <c r="D1454" s="16" t="str">
        <f>IFERROR(__xludf.DUMMYFUNCTION("""COMPUTED_VALUE"""),"109*****hles.tyc.edu.tw")</f>
        <v>109*****hles.tyc.edu.tw</v>
      </c>
      <c r="E1454" s="17" t="str">
        <f>IFERROR(__xludf.DUMMYFUNCTION("""COMPUTED_VALUE"""),"桃園市立迴龍國民中小學國中部")</f>
        <v>桃園市立迴龍國民中小學國中部</v>
      </c>
      <c r="F1454" s="14" t="str">
        <f>IFERROR(__xludf.DUMMYFUNCTION("""COMPUTED_VALUE"""),"九年級")</f>
        <v>九年級</v>
      </c>
      <c r="G1454" s="14" t="str">
        <f>IFERROR(__xludf.DUMMYFUNCTION("""COMPUTED_VALUE"""),"●小禮物")</f>
        <v>●小禮物</v>
      </c>
      <c r="H1454" s="8"/>
    </row>
    <row r="1455">
      <c r="A1455" s="18"/>
      <c r="B1455" s="14">
        <f>IFERROR(__xludf.DUMMYFUNCTION("""COMPUTED_VALUE"""),611342.0)</f>
        <v>611342</v>
      </c>
      <c r="C1455" s="14" t="str">
        <f>IFERROR(__xludf.DUMMYFUNCTION("""COMPUTED_VALUE"""),"翁宜安")</f>
        <v>翁宜安</v>
      </c>
      <c r="D1455" s="16" t="str">
        <f>IFERROR(__xludf.DUMMYFUNCTION("""COMPUTED_VALUE"""),"109*****hles.tyc.edu.tw")</f>
        <v>109*****hles.tyc.edu.tw</v>
      </c>
      <c r="E1455" s="17" t="str">
        <f>IFERROR(__xludf.DUMMYFUNCTION("""COMPUTED_VALUE"""),"桃園市立迴龍國民中小學國中部")</f>
        <v>桃園市立迴龍國民中小學國中部</v>
      </c>
      <c r="F1455" s="14" t="str">
        <f>IFERROR(__xludf.DUMMYFUNCTION("""COMPUTED_VALUE"""),"九年級")</f>
        <v>九年級</v>
      </c>
      <c r="G1455" s="14" t="str">
        <f>IFERROR(__xludf.DUMMYFUNCTION("""COMPUTED_VALUE"""),"●小禮物")</f>
        <v>●小禮物</v>
      </c>
      <c r="H1455" s="8"/>
    </row>
    <row r="1456">
      <c r="A1456" s="18"/>
      <c r="B1456" s="14">
        <f>IFERROR(__xludf.DUMMYFUNCTION("""COMPUTED_VALUE"""),452188.0)</f>
        <v>452188</v>
      </c>
      <c r="C1456" s="14" t="str">
        <f>IFERROR(__xludf.DUMMYFUNCTION("""COMPUTED_VALUE"""),"莊季嫻")</f>
        <v>莊季嫻</v>
      </c>
      <c r="D1456" s="16" t="str">
        <f>IFERROR(__xludf.DUMMYFUNCTION("""COMPUTED_VALUE"""),"109*****hles.tyc.edu.tw")</f>
        <v>109*****hles.tyc.edu.tw</v>
      </c>
      <c r="E1456" s="17" t="str">
        <f>IFERROR(__xludf.DUMMYFUNCTION("""COMPUTED_VALUE"""),"桃園市立迴龍國民中小學國中部")</f>
        <v>桃園市立迴龍國民中小學國中部</v>
      </c>
      <c r="F1456" s="14" t="str">
        <f>IFERROR(__xludf.DUMMYFUNCTION("""COMPUTED_VALUE"""),"九年級")</f>
        <v>九年級</v>
      </c>
      <c r="G1456" s="14" t="str">
        <f>IFERROR(__xludf.DUMMYFUNCTION("""COMPUTED_VALUE"""),"●小禮物")</f>
        <v>●小禮物</v>
      </c>
      <c r="H1456" s="8"/>
    </row>
    <row r="1457">
      <c r="A1457" s="18"/>
      <c r="B1457" s="14">
        <f>IFERROR(__xludf.DUMMYFUNCTION("""COMPUTED_VALUE"""),452169.0)</f>
        <v>452169</v>
      </c>
      <c r="C1457" s="14" t="str">
        <f>IFERROR(__xludf.DUMMYFUNCTION("""COMPUTED_VALUE"""),"陳宥全")</f>
        <v>陳宥全</v>
      </c>
      <c r="D1457" s="16" t="str">
        <f>IFERROR(__xludf.DUMMYFUNCTION("""COMPUTED_VALUE"""),"109*****hles.tyc.edu.tw")</f>
        <v>109*****hles.tyc.edu.tw</v>
      </c>
      <c r="E1457" s="17" t="str">
        <f>IFERROR(__xludf.DUMMYFUNCTION("""COMPUTED_VALUE"""),"桃園市立迴龍國民中小學國中部")</f>
        <v>桃園市立迴龍國民中小學國中部</v>
      </c>
      <c r="F1457" s="14" t="str">
        <f>IFERROR(__xludf.DUMMYFUNCTION("""COMPUTED_VALUE"""),"九年級")</f>
        <v>九年級</v>
      </c>
      <c r="G1457" s="14" t="str">
        <f>IFERROR(__xludf.DUMMYFUNCTION("""COMPUTED_VALUE"""),"★禮券$200")</f>
        <v>★禮券$200</v>
      </c>
      <c r="H1457" s="8"/>
    </row>
    <row r="1458">
      <c r="A1458" s="18"/>
      <c r="B1458" s="14">
        <f>IFERROR(__xludf.DUMMYFUNCTION("""COMPUTED_VALUE"""),452172.0)</f>
        <v>452172</v>
      </c>
      <c r="C1458" s="14" t="str">
        <f>IFERROR(__xludf.DUMMYFUNCTION("""COMPUTED_VALUE"""),"吳宇威")</f>
        <v>吳宇威</v>
      </c>
      <c r="D1458" s="16" t="str">
        <f>IFERROR(__xludf.DUMMYFUNCTION("""COMPUTED_VALUE"""),"109*****hles.tyc.edu.tw")</f>
        <v>109*****hles.tyc.edu.tw</v>
      </c>
      <c r="E1458" s="17" t="str">
        <f>IFERROR(__xludf.DUMMYFUNCTION("""COMPUTED_VALUE"""),"桃園市立迴龍國民中小學國中部")</f>
        <v>桃園市立迴龍國民中小學國中部</v>
      </c>
      <c r="F1458" s="14" t="str">
        <f>IFERROR(__xludf.DUMMYFUNCTION("""COMPUTED_VALUE"""),"九年級")</f>
        <v>九年級</v>
      </c>
      <c r="G1458" s="14" t="str">
        <f>IFERROR(__xludf.DUMMYFUNCTION("""COMPUTED_VALUE"""),"獎狀")</f>
        <v>獎狀</v>
      </c>
      <c r="H1458" s="8"/>
    </row>
    <row r="1459">
      <c r="A1459" s="18"/>
      <c r="B1459" s="14">
        <f>IFERROR(__xludf.DUMMYFUNCTION("""COMPUTED_VALUE"""),452171.0)</f>
        <v>452171</v>
      </c>
      <c r="C1459" s="14" t="str">
        <f>IFERROR(__xludf.DUMMYFUNCTION("""COMPUTED_VALUE"""),"王偉宸")</f>
        <v>王偉宸</v>
      </c>
      <c r="D1459" s="16" t="str">
        <f>IFERROR(__xludf.DUMMYFUNCTION("""COMPUTED_VALUE"""),"109*****hles.tyc.edu.tw")</f>
        <v>109*****hles.tyc.edu.tw</v>
      </c>
      <c r="E1459" s="17" t="str">
        <f>IFERROR(__xludf.DUMMYFUNCTION("""COMPUTED_VALUE"""),"桃園市立迴龍國民中小學國中部")</f>
        <v>桃園市立迴龍國民中小學國中部</v>
      </c>
      <c r="F1459" s="14" t="str">
        <f>IFERROR(__xludf.DUMMYFUNCTION("""COMPUTED_VALUE"""),"九年級")</f>
        <v>九年級</v>
      </c>
      <c r="G1459" s="14" t="str">
        <f>IFERROR(__xludf.DUMMYFUNCTION("""COMPUTED_VALUE"""),"●小禮物")</f>
        <v>●小禮物</v>
      </c>
      <c r="H1459" s="8"/>
    </row>
    <row r="1460">
      <c r="A1460" s="18"/>
      <c r="B1460" s="14">
        <f>IFERROR(__xludf.DUMMYFUNCTION("""COMPUTED_VALUE"""),587172.0)</f>
        <v>587172</v>
      </c>
      <c r="C1460" s="14" t="str">
        <f>IFERROR(__xludf.DUMMYFUNCTION("""COMPUTED_VALUE"""),"劉耀慶")</f>
        <v>劉耀慶</v>
      </c>
      <c r="D1460" s="16" t="str">
        <f>IFERROR(__xludf.DUMMYFUNCTION("""COMPUTED_VALUE"""),"109*****hles.tyc.edu.tw")</f>
        <v>109*****hles.tyc.edu.tw</v>
      </c>
      <c r="E1460" s="17" t="str">
        <f>IFERROR(__xludf.DUMMYFUNCTION("""COMPUTED_VALUE"""),"桃園市立迴龍國民中小學國中部")</f>
        <v>桃園市立迴龍國民中小學國中部</v>
      </c>
      <c r="F1460" s="14" t="str">
        <f>IFERROR(__xludf.DUMMYFUNCTION("""COMPUTED_VALUE"""),"九年級")</f>
        <v>九年級</v>
      </c>
      <c r="G1460" s="14" t="str">
        <f>IFERROR(__xludf.DUMMYFUNCTION("""COMPUTED_VALUE"""),"●小禮物")</f>
        <v>●小禮物</v>
      </c>
      <c r="H1460" s="8"/>
    </row>
    <row r="1461">
      <c r="A1461" s="18"/>
      <c r="B1461" s="14">
        <f>IFERROR(__xludf.DUMMYFUNCTION("""COMPUTED_VALUE"""),452180.0)</f>
        <v>452180</v>
      </c>
      <c r="C1461" s="14" t="str">
        <f>IFERROR(__xludf.DUMMYFUNCTION("""COMPUTED_VALUE"""),"楊家昇")</f>
        <v>楊家昇</v>
      </c>
      <c r="D1461" s="16" t="str">
        <f>IFERROR(__xludf.DUMMYFUNCTION("""COMPUTED_VALUE"""),"109*****hles.tyc.edu.tw")</f>
        <v>109*****hles.tyc.edu.tw</v>
      </c>
      <c r="E1461" s="17" t="str">
        <f>IFERROR(__xludf.DUMMYFUNCTION("""COMPUTED_VALUE"""),"桃園市立迴龍國民中小學國中部")</f>
        <v>桃園市立迴龍國民中小學國中部</v>
      </c>
      <c r="F1461" s="14" t="str">
        <f>IFERROR(__xludf.DUMMYFUNCTION("""COMPUTED_VALUE"""),"九年級")</f>
        <v>九年級</v>
      </c>
      <c r="G1461" s="14" t="str">
        <f>IFERROR(__xludf.DUMMYFUNCTION("""COMPUTED_VALUE"""),"獎狀")</f>
        <v>獎狀</v>
      </c>
      <c r="H1461" s="8"/>
    </row>
    <row r="1462">
      <c r="A1462" s="18"/>
      <c r="B1462" s="14">
        <f>IFERROR(__xludf.DUMMYFUNCTION("""COMPUTED_VALUE"""),206558.0)</f>
        <v>206558</v>
      </c>
      <c r="C1462" s="14" t="str">
        <f>IFERROR(__xludf.DUMMYFUNCTION("""COMPUTED_VALUE"""),"徐昱凱")</f>
        <v>徐昱凱</v>
      </c>
      <c r="D1462" s="16" t="str">
        <f>IFERROR(__xludf.DUMMYFUNCTION("""COMPUTED_VALUE"""),"rin*****gmail.com")</f>
        <v>rin*****gmail.com</v>
      </c>
      <c r="E1462" s="17" t="str">
        <f>IFERROR(__xludf.DUMMYFUNCTION("""COMPUTED_VALUE"""),"桃園市立大成國民中學")</f>
        <v>桃園市立大成國民中學</v>
      </c>
      <c r="F1462" s="14" t="str">
        <f>IFERROR(__xludf.DUMMYFUNCTION("""COMPUTED_VALUE"""),"七年級")</f>
        <v>七年級</v>
      </c>
      <c r="G1462" s="14" t="str">
        <f>IFERROR(__xludf.DUMMYFUNCTION("""COMPUTED_VALUE"""),"獎狀")</f>
        <v>獎狀</v>
      </c>
      <c r="H1462" s="8"/>
    </row>
    <row r="1463">
      <c r="A1463" s="18"/>
      <c r="B1463" s="14">
        <f>IFERROR(__xludf.DUMMYFUNCTION("""COMPUTED_VALUE"""),891964.0)</f>
        <v>891964</v>
      </c>
      <c r="C1463" s="14" t="str">
        <f>IFERROR(__xludf.DUMMYFUNCTION("""COMPUTED_VALUE"""),"黃柏諺")</f>
        <v>黃柏諺</v>
      </c>
      <c r="D1463" s="16" t="str">
        <f>IFERROR(__xludf.DUMMYFUNCTION("""COMPUTED_VALUE"""),"110*****gm.jhjhs.tyc.edu.tw")</f>
        <v>110*****gm.jhjhs.tyc.edu.tw</v>
      </c>
      <c r="E1463" s="17" t="str">
        <f>IFERROR(__xludf.DUMMYFUNCTION("""COMPUTED_VALUE"""),"桃園市立仁和國民中學")</f>
        <v>桃園市立仁和國民中學</v>
      </c>
      <c r="F1463" s="14" t="str">
        <f>IFERROR(__xludf.DUMMYFUNCTION("""COMPUTED_VALUE"""),"八年級")</f>
        <v>八年級</v>
      </c>
      <c r="G1463" s="14" t="str">
        <f>IFERROR(__xludf.DUMMYFUNCTION("""COMPUTED_VALUE"""),"獎狀")</f>
        <v>獎狀</v>
      </c>
      <c r="H1463" s="8"/>
    </row>
    <row r="1464">
      <c r="A1464" s="18"/>
      <c r="B1464" s="14">
        <f>IFERROR(__xludf.DUMMYFUNCTION("""COMPUTED_VALUE"""),1190660.0)</f>
        <v>1190660</v>
      </c>
      <c r="C1464" s="14" t="str">
        <f>IFERROR(__xludf.DUMMYFUNCTION("""COMPUTED_VALUE"""),"周浚佑")</f>
        <v>周浚佑</v>
      </c>
      <c r="D1464" s="16" t="str">
        <f>IFERROR(__xludf.DUMMYFUNCTION("""COMPUTED_VALUE"""),"a09*****9.dyjh.tyc.edu.tw")</f>
        <v>a09*****9.dyjh.tyc.edu.tw</v>
      </c>
      <c r="E1464" s="17" t="str">
        <f>IFERROR(__xludf.DUMMYFUNCTION("""COMPUTED_VALUE"""),"桃園市立大園國民中學")</f>
        <v>桃園市立大園國民中學</v>
      </c>
      <c r="F1464" s="14" t="str">
        <f>IFERROR(__xludf.DUMMYFUNCTION("""COMPUTED_VALUE"""),"七年級")</f>
        <v>七年級</v>
      </c>
      <c r="G1464" s="14" t="str">
        <f>IFERROR(__xludf.DUMMYFUNCTION("""COMPUTED_VALUE"""),"●小禮物")</f>
        <v>●小禮物</v>
      </c>
      <c r="H1464" s="8"/>
    </row>
    <row r="1465">
      <c r="A1465" s="18"/>
      <c r="B1465" s="14">
        <f>IFERROR(__xludf.DUMMYFUNCTION("""COMPUTED_VALUE"""),166431.0)</f>
        <v>166431</v>
      </c>
      <c r="C1465" s="14" t="str">
        <f>IFERROR(__xludf.DUMMYFUNCTION("""COMPUTED_VALUE"""),"王昱智")</f>
        <v>王昱智</v>
      </c>
      <c r="D1465" s="16" t="str">
        <f>IFERROR(__xludf.DUMMYFUNCTION("""COMPUTED_VALUE"""),"joh*****03@mail.edu.tw")</f>
        <v>joh*****03@mail.edu.tw</v>
      </c>
      <c r="E1465" s="17" t="str">
        <f>IFERROR(__xludf.DUMMYFUNCTION("""COMPUTED_VALUE"""),"桃園市立大竹國民中學")</f>
        <v>桃園市立大竹國民中學</v>
      </c>
      <c r="F1465" s="14" t="str">
        <f>IFERROR(__xludf.DUMMYFUNCTION("""COMPUTED_VALUE"""),"八年級")</f>
        <v>八年級</v>
      </c>
      <c r="G1465" s="14" t="str">
        <f>IFERROR(__xludf.DUMMYFUNCTION("""COMPUTED_VALUE"""),"獎狀")</f>
        <v>獎狀</v>
      </c>
      <c r="H1465" s="8"/>
    </row>
    <row r="1466">
      <c r="A1466" s="18"/>
      <c r="B1466" s="14">
        <f>IFERROR(__xludf.DUMMYFUNCTION("""COMPUTED_VALUE"""),166430.0)</f>
        <v>166430</v>
      </c>
      <c r="C1466" s="14" t="str">
        <f>IFERROR(__xludf.DUMMYFUNCTION("""COMPUTED_VALUE"""),"王詠亭")</f>
        <v>王詠亭</v>
      </c>
      <c r="D1466" s="16" t="str">
        <f>IFERROR(__xludf.DUMMYFUNCTION("""COMPUTED_VALUE"""),"tif*****403@mail.edu.tw")</f>
        <v>tif*****403@mail.edu.tw</v>
      </c>
      <c r="E1466" s="17" t="str">
        <f>IFERROR(__xludf.DUMMYFUNCTION("""COMPUTED_VALUE"""),"桃園市立大竹國民中學")</f>
        <v>桃園市立大竹國民中學</v>
      </c>
      <c r="F1466" s="14" t="str">
        <f>IFERROR(__xludf.DUMMYFUNCTION("""COMPUTED_VALUE"""),"八年級")</f>
        <v>八年級</v>
      </c>
      <c r="G1466" s="14" t="str">
        <f>IFERROR(__xludf.DUMMYFUNCTION("""COMPUTED_VALUE"""),"獎狀")</f>
        <v>獎狀</v>
      </c>
      <c r="H1466" s="8"/>
    </row>
    <row r="1467">
      <c r="A1467" s="18"/>
      <c r="B1467" s="14">
        <f>IFERROR(__xludf.DUMMYFUNCTION("""COMPUTED_VALUE"""),337140.0)</f>
        <v>337140</v>
      </c>
      <c r="C1467" s="14" t="str">
        <f>IFERROR(__xludf.DUMMYFUNCTION("""COMPUTED_VALUE"""),"高墨盦")</f>
        <v>高墨盦</v>
      </c>
      <c r="D1467" s="16" t="str">
        <f>IFERROR(__xludf.DUMMYFUNCTION("""COMPUTED_VALUE"""),"ray*****rp@gmail.com")</f>
        <v>ray*****rp@gmail.com</v>
      </c>
      <c r="E1467" s="17" t="str">
        <f>IFERROR(__xludf.DUMMYFUNCTION("""COMPUTED_VALUE"""),"桃園市立大竹國民中學")</f>
        <v>桃園市立大竹國民中學</v>
      </c>
      <c r="F1467" s="14" t="str">
        <f>IFERROR(__xludf.DUMMYFUNCTION("""COMPUTED_VALUE"""),"九年級")</f>
        <v>九年級</v>
      </c>
      <c r="G1467" s="14" t="str">
        <f>IFERROR(__xludf.DUMMYFUNCTION("""COMPUTED_VALUE"""),"●小禮物")</f>
        <v>●小禮物</v>
      </c>
      <c r="H1467" s="8"/>
    </row>
    <row r="1468">
      <c r="A1468" s="18"/>
      <c r="B1468" s="14">
        <f>IFERROR(__xludf.DUMMYFUNCTION("""COMPUTED_VALUE"""),1201451.0)</f>
        <v>1201451</v>
      </c>
      <c r="C1468" s="14" t="str">
        <f>IFERROR(__xludf.DUMMYFUNCTION("""COMPUTED_VALUE"""),"周亦承")</f>
        <v>周亦承</v>
      </c>
      <c r="D1468" s="16" t="str">
        <f>IFERROR(__xludf.DUMMYFUNCTION("""COMPUTED_VALUE"""),"dcj*****310@mail2.dcjh.tyc.edu.tw")</f>
        <v>dcj*****310@mail2.dcjh.tyc.edu.tw</v>
      </c>
      <c r="E1468" s="17" t="str">
        <f>IFERROR(__xludf.DUMMYFUNCTION("""COMPUTED_VALUE"""),"桃園市立大竹國民中學")</f>
        <v>桃園市立大竹國民中學</v>
      </c>
      <c r="F1468" s="14" t="str">
        <f>IFERROR(__xludf.DUMMYFUNCTION("""COMPUTED_VALUE"""),"九年級")</f>
        <v>九年級</v>
      </c>
      <c r="G1468" s="14" t="str">
        <f>IFERROR(__xludf.DUMMYFUNCTION("""COMPUTED_VALUE"""),"★禮券$200")</f>
        <v>★禮券$200</v>
      </c>
      <c r="H1468" s="8"/>
    </row>
    <row r="1469">
      <c r="A1469" s="18"/>
      <c r="B1469" s="14">
        <f>IFERROR(__xludf.DUMMYFUNCTION("""COMPUTED_VALUE"""),1028223.0)</f>
        <v>1028223</v>
      </c>
      <c r="C1469" s="14" t="str">
        <f>IFERROR(__xludf.DUMMYFUNCTION("""COMPUTED_VALUE"""),"蔡沂真")</f>
        <v>蔡沂真</v>
      </c>
      <c r="D1469" s="16" t="str">
        <f>IFERROR(__xludf.DUMMYFUNCTION("""COMPUTED_VALUE"""),"gmj*****441@ms.gmjh.tyc.edu.tw")</f>
        <v>gmj*****441@ms.gmjh.tyc.edu.tw</v>
      </c>
      <c r="E1469" s="17" t="str">
        <f>IFERROR(__xludf.DUMMYFUNCTION("""COMPUTED_VALUE"""),"桃園市立光明國民中學")</f>
        <v>桃園市立光明國民中學</v>
      </c>
      <c r="F1469" s="14" t="str">
        <f>IFERROR(__xludf.DUMMYFUNCTION("""COMPUTED_VALUE"""),"八年級")</f>
        <v>八年級</v>
      </c>
      <c r="G1469" s="14" t="str">
        <f>IFERROR(__xludf.DUMMYFUNCTION("""COMPUTED_VALUE"""),"●小禮物")</f>
        <v>●小禮物</v>
      </c>
      <c r="H1469" s="8"/>
    </row>
    <row r="1470">
      <c r="A1470" s="18"/>
      <c r="B1470" s="14">
        <f>IFERROR(__xludf.DUMMYFUNCTION("""COMPUTED_VALUE"""),1028187.0)</f>
        <v>1028187</v>
      </c>
      <c r="C1470" s="14" t="str">
        <f>IFERROR(__xludf.DUMMYFUNCTION("""COMPUTED_VALUE"""),"王歆月")</f>
        <v>王歆月</v>
      </c>
      <c r="D1470" s="16" t="str">
        <f>IFERROR(__xludf.DUMMYFUNCTION("""COMPUTED_VALUE"""),"gmj*****232@ms.gmjh.tyc.edu.tw")</f>
        <v>gmj*****232@ms.gmjh.tyc.edu.tw</v>
      </c>
      <c r="E1470" s="17" t="str">
        <f>IFERROR(__xludf.DUMMYFUNCTION("""COMPUTED_VALUE"""),"桃園市立光明國民中學")</f>
        <v>桃園市立光明國民中學</v>
      </c>
      <c r="F1470" s="14" t="str">
        <f>IFERROR(__xludf.DUMMYFUNCTION("""COMPUTED_VALUE"""),"八年級")</f>
        <v>八年級</v>
      </c>
      <c r="G1470" s="14" t="str">
        <f>IFERROR(__xludf.DUMMYFUNCTION("""COMPUTED_VALUE"""),"●小禮物")</f>
        <v>●小禮物</v>
      </c>
      <c r="H1470" s="8"/>
    </row>
    <row r="1471">
      <c r="A1471" s="18"/>
      <c r="B1471" s="14">
        <f>IFERROR(__xludf.DUMMYFUNCTION("""COMPUTED_VALUE"""),484856.0)</f>
        <v>484856</v>
      </c>
      <c r="C1471" s="14" t="str">
        <f>IFERROR(__xludf.DUMMYFUNCTION("""COMPUTED_VALUE"""),"陳柏宇")</f>
        <v>陳柏宇</v>
      </c>
      <c r="D1471" s="16" t="str">
        <f>IFERROR(__xludf.DUMMYFUNCTION("""COMPUTED_VALUE"""),"qw1*****24@mail.edu.tw")</f>
        <v>qw1*****24@mail.edu.tw</v>
      </c>
      <c r="E1471" s="17" t="str">
        <f>IFERROR(__xludf.DUMMYFUNCTION("""COMPUTED_VALUE"""),"苗栗縣立大同高級中學附設國中部")</f>
        <v>苗栗縣立大同高級中學附設國中部</v>
      </c>
      <c r="F1471" s="14" t="str">
        <f>IFERROR(__xludf.DUMMYFUNCTION("""COMPUTED_VALUE"""),"九年級")</f>
        <v>九年級</v>
      </c>
      <c r="G1471" s="14" t="str">
        <f>IFERROR(__xludf.DUMMYFUNCTION("""COMPUTED_VALUE"""),"獎狀")</f>
        <v>獎狀</v>
      </c>
      <c r="H1471" s="8"/>
    </row>
    <row r="1472">
      <c r="A1472" s="18"/>
      <c r="B1472" s="14">
        <f>IFERROR(__xludf.DUMMYFUNCTION("""COMPUTED_VALUE"""),273971.0)</f>
        <v>273971</v>
      </c>
      <c r="C1472" s="14" t="str">
        <f>IFERROR(__xludf.DUMMYFUNCTION("""COMPUTED_VALUE"""),"魏浚承")</f>
        <v>魏浚承</v>
      </c>
      <c r="D1472" s="16" t="str">
        <f>IFERROR(__xludf.DUMMYFUNCTION("""COMPUTED_VALUE"""),"ala*****05214@gmail.com")</f>
        <v>ala*****05214@gmail.com</v>
      </c>
      <c r="E1472" s="17" t="str">
        <f>IFERROR(__xludf.DUMMYFUNCTION("""COMPUTED_VALUE"""),"苗栗縣私立君毅高級中學附設國中部")</f>
        <v>苗栗縣私立君毅高級中學附設國中部</v>
      </c>
      <c r="F1472" s="14" t="str">
        <f>IFERROR(__xludf.DUMMYFUNCTION("""COMPUTED_VALUE"""),"七年級")</f>
        <v>七年級</v>
      </c>
      <c r="G1472" s="14" t="str">
        <f>IFERROR(__xludf.DUMMYFUNCTION("""COMPUTED_VALUE"""),"獎狀")</f>
        <v>獎狀</v>
      </c>
      <c r="H1472" s="8"/>
    </row>
    <row r="1473">
      <c r="A1473" s="18"/>
      <c r="B1473" s="14">
        <f>IFERROR(__xludf.DUMMYFUNCTION("""COMPUTED_VALUE"""),273960.0)</f>
        <v>273960</v>
      </c>
      <c r="C1473" s="14" t="str">
        <f>IFERROR(__xludf.DUMMYFUNCTION("""COMPUTED_VALUE"""),"魏宥銨")</f>
        <v>魏宥銨</v>
      </c>
      <c r="D1473" s="16" t="str">
        <f>IFERROR(__xludf.DUMMYFUNCTION("""COMPUTED_VALUE"""),"ale*****03085@gmail.com")</f>
        <v>ale*****03085@gmail.com</v>
      </c>
      <c r="E1473" s="17" t="str">
        <f>IFERROR(__xludf.DUMMYFUNCTION("""COMPUTED_VALUE"""),"苗栗縣私立君毅高級中學附設國中部")</f>
        <v>苗栗縣私立君毅高級中學附設國中部</v>
      </c>
      <c r="F1473" s="14" t="str">
        <f>IFERROR(__xludf.DUMMYFUNCTION("""COMPUTED_VALUE"""),"九年級")</f>
        <v>九年級</v>
      </c>
      <c r="G1473" s="14" t="str">
        <f>IFERROR(__xludf.DUMMYFUNCTION("""COMPUTED_VALUE"""),"●小禮物")</f>
        <v>●小禮物</v>
      </c>
      <c r="H1473" s="8"/>
    </row>
    <row r="1474">
      <c r="A1474" s="18"/>
      <c r="B1474" s="14">
        <f>IFERROR(__xludf.DUMMYFUNCTION("""COMPUTED_VALUE"""),716350.0)</f>
        <v>716350</v>
      </c>
      <c r="C1474" s="14" t="str">
        <f>IFERROR(__xludf.DUMMYFUNCTION("""COMPUTED_VALUE"""),"邱琳恩")</f>
        <v>邱琳恩</v>
      </c>
      <c r="D1474" s="16" t="str">
        <f>IFERROR(__xludf.DUMMYFUNCTION("""COMPUTED_VALUE"""),"abc*****2@mail.edu.tw")</f>
        <v>abc*****2@mail.edu.tw</v>
      </c>
      <c r="E1474" s="17" t="str">
        <f>IFERROR(__xludf.DUMMYFUNCTION("""COMPUTED_VALUE"""),"苗栗縣立竹南國民中學")</f>
        <v>苗栗縣立竹南國民中學</v>
      </c>
      <c r="F1474" s="14" t="str">
        <f>IFERROR(__xludf.DUMMYFUNCTION("""COMPUTED_VALUE"""),"七年級")</f>
        <v>七年級</v>
      </c>
      <c r="G1474" s="14" t="str">
        <f>IFERROR(__xludf.DUMMYFUNCTION("""COMPUTED_VALUE"""),"●小禮物")</f>
        <v>●小禮物</v>
      </c>
      <c r="H1474" s="8"/>
    </row>
    <row r="1475">
      <c r="A1475" s="18"/>
      <c r="B1475" s="14">
        <f>IFERROR(__xludf.DUMMYFUNCTION("""COMPUTED_VALUE"""),482068.0)</f>
        <v>482068</v>
      </c>
      <c r="C1475" s="14" t="str">
        <f>IFERROR(__xludf.DUMMYFUNCTION("""COMPUTED_VALUE"""),"楊承皓")</f>
        <v>楊承皓</v>
      </c>
      <c r="D1475" s="16" t="str">
        <f>IFERROR(__xludf.DUMMYFUNCTION("""COMPUTED_VALUE"""),"rya*****01@mail.edu.tw")</f>
        <v>rya*****01@mail.edu.tw</v>
      </c>
      <c r="E1475" s="17" t="str">
        <f>IFERROR(__xludf.DUMMYFUNCTION("""COMPUTED_VALUE"""),"苗栗縣立竹南國民中學")</f>
        <v>苗栗縣立竹南國民中學</v>
      </c>
      <c r="F1475" s="14" t="str">
        <f>IFERROR(__xludf.DUMMYFUNCTION("""COMPUTED_VALUE"""),"七年級")</f>
        <v>七年級</v>
      </c>
      <c r="G1475" s="14" t="str">
        <f>IFERROR(__xludf.DUMMYFUNCTION("""COMPUTED_VALUE"""),"●小禮物")</f>
        <v>●小禮物</v>
      </c>
      <c r="H1475" s="8"/>
    </row>
    <row r="1476">
      <c r="A1476" s="18"/>
      <c r="B1476" s="14">
        <f>IFERROR(__xludf.DUMMYFUNCTION("""COMPUTED_VALUE"""),483348.0)</f>
        <v>483348</v>
      </c>
      <c r="C1476" s="14" t="str">
        <f>IFERROR(__xludf.DUMMYFUNCTION("""COMPUTED_VALUE"""),"謝愛玲")</f>
        <v>謝愛玲</v>
      </c>
      <c r="D1476" s="16" t="str">
        <f>IFERROR(__xludf.DUMMYFUNCTION("""COMPUTED_VALUE"""),"mlc*****9105076@mail.edu.tw")</f>
        <v>mlc*****9105076@mail.edu.tw</v>
      </c>
      <c r="E1476" s="17" t="str">
        <f>IFERROR(__xludf.DUMMYFUNCTION("""COMPUTED_VALUE"""),"苗栗縣立竹南國民中學")</f>
        <v>苗栗縣立竹南國民中學</v>
      </c>
      <c r="F1476" s="14" t="str">
        <f>IFERROR(__xludf.DUMMYFUNCTION("""COMPUTED_VALUE"""),"七年級")</f>
        <v>七年級</v>
      </c>
      <c r="G1476" s="14" t="str">
        <f>IFERROR(__xludf.DUMMYFUNCTION("""COMPUTED_VALUE"""),"●小禮物")</f>
        <v>●小禮物</v>
      </c>
      <c r="H1476" s="8"/>
    </row>
    <row r="1477">
      <c r="A1477" s="18"/>
      <c r="B1477" s="14">
        <f>IFERROR(__xludf.DUMMYFUNCTION("""COMPUTED_VALUE"""),518018.0)</f>
        <v>518018</v>
      </c>
      <c r="C1477" s="14" t="str">
        <f>IFERROR(__xludf.DUMMYFUNCTION("""COMPUTED_VALUE"""),"謝採緁")</f>
        <v>謝採緁</v>
      </c>
      <c r="D1477" s="16" t="str">
        <f>IFERROR(__xludf.DUMMYFUNCTION("""COMPUTED_VALUE"""),"mlc*****9105246@mail.edu.tw")</f>
        <v>mlc*****9105246@mail.edu.tw</v>
      </c>
      <c r="E1477" s="17" t="str">
        <f>IFERROR(__xludf.DUMMYFUNCTION("""COMPUTED_VALUE"""),"苗栗縣立竹南國民中學")</f>
        <v>苗栗縣立竹南國民中學</v>
      </c>
      <c r="F1477" s="14" t="str">
        <f>IFERROR(__xludf.DUMMYFUNCTION("""COMPUTED_VALUE"""),"七年級")</f>
        <v>七年級</v>
      </c>
      <c r="G1477" s="14" t="str">
        <f>IFERROR(__xludf.DUMMYFUNCTION("""COMPUTED_VALUE"""),"獎狀")</f>
        <v>獎狀</v>
      </c>
      <c r="H1477" s="8"/>
    </row>
    <row r="1478">
      <c r="A1478" s="18"/>
      <c r="B1478" s="14">
        <f>IFERROR(__xludf.DUMMYFUNCTION("""COMPUTED_VALUE"""),1197897.0)</f>
        <v>1197897</v>
      </c>
      <c r="C1478" s="14" t="str">
        <f>IFERROR(__xludf.DUMMYFUNCTION("""COMPUTED_VALUE"""),"陳旖恩")</f>
        <v>陳旖恩</v>
      </c>
      <c r="D1478" s="16" t="str">
        <f>IFERROR(__xludf.DUMMYFUNCTION("""COMPUTED_VALUE"""),"coy*****05050@mail.edu.tw")</f>
        <v>coy*****05050@mail.edu.tw</v>
      </c>
      <c r="E1478" s="17" t="str">
        <f>IFERROR(__xludf.DUMMYFUNCTION("""COMPUTED_VALUE"""),"苗栗縣立竹南國民中學")</f>
        <v>苗栗縣立竹南國民中學</v>
      </c>
      <c r="F1478" s="14" t="str">
        <f>IFERROR(__xludf.DUMMYFUNCTION("""COMPUTED_VALUE"""),"七年級")</f>
        <v>七年級</v>
      </c>
      <c r="G1478" s="14" t="str">
        <f>IFERROR(__xludf.DUMMYFUNCTION("""COMPUTED_VALUE"""),"獎狀")</f>
        <v>獎狀</v>
      </c>
      <c r="H1478" s="8"/>
    </row>
    <row r="1479">
      <c r="A1479" s="18"/>
      <c r="B1479" s="14">
        <f>IFERROR(__xludf.DUMMYFUNCTION("""COMPUTED_VALUE"""),482914.0)</f>
        <v>482914</v>
      </c>
      <c r="C1479" s="14" t="str">
        <f>IFERROR(__xludf.DUMMYFUNCTION("""COMPUTED_VALUE"""),"鍾銘城")</f>
        <v>鍾銘城</v>
      </c>
      <c r="D1479" s="16" t="str">
        <f>IFERROR(__xludf.DUMMYFUNCTION("""COMPUTED_VALUE"""),"mlc*****9105004@mail.edu.tw")</f>
        <v>mlc*****9105004@mail.edu.tw</v>
      </c>
      <c r="E1479" s="17" t="str">
        <f>IFERROR(__xludf.DUMMYFUNCTION("""COMPUTED_VALUE"""),"苗栗縣立竹南國民中學")</f>
        <v>苗栗縣立竹南國民中學</v>
      </c>
      <c r="F1479" s="14" t="str">
        <f>IFERROR(__xludf.DUMMYFUNCTION("""COMPUTED_VALUE"""),"七年級")</f>
        <v>七年級</v>
      </c>
      <c r="G1479" s="14" t="str">
        <f>IFERROR(__xludf.DUMMYFUNCTION("""COMPUTED_VALUE"""),"●小禮物")</f>
        <v>●小禮物</v>
      </c>
      <c r="H1479" s="8"/>
    </row>
    <row r="1480">
      <c r="A1480" s="18"/>
      <c r="B1480" s="14">
        <f>IFERROR(__xludf.DUMMYFUNCTION("""COMPUTED_VALUE"""),1200096.0)</f>
        <v>1200096</v>
      </c>
      <c r="C1480" s="14" t="str">
        <f>IFERROR(__xludf.DUMMYFUNCTION("""COMPUTED_VALUE"""),"江珈穎")</f>
        <v>江珈穎</v>
      </c>
      <c r="D1480" s="16" t="str">
        <f>IFERROR(__xludf.DUMMYFUNCTION("""COMPUTED_VALUE"""),"110*****njh.mlc.edu.tw")</f>
        <v>110*****njh.mlc.edu.tw</v>
      </c>
      <c r="E1480" s="17" t="str">
        <f>IFERROR(__xludf.DUMMYFUNCTION("""COMPUTED_VALUE"""),"苗栗縣立竹南國民中學")</f>
        <v>苗栗縣立竹南國民中學</v>
      </c>
      <c r="F1480" s="14" t="str">
        <f>IFERROR(__xludf.DUMMYFUNCTION("""COMPUTED_VALUE"""),"八年級")</f>
        <v>八年級</v>
      </c>
      <c r="G1480" s="14" t="str">
        <f>IFERROR(__xludf.DUMMYFUNCTION("""COMPUTED_VALUE"""),"●小禮物")</f>
        <v>●小禮物</v>
      </c>
      <c r="H1480" s="8"/>
    </row>
    <row r="1481">
      <c r="A1481" s="18"/>
      <c r="B1481" s="14">
        <f>IFERROR(__xludf.DUMMYFUNCTION("""COMPUTED_VALUE"""),1209739.0)</f>
        <v>1209739</v>
      </c>
      <c r="C1481" s="14" t="str">
        <f>IFERROR(__xludf.DUMMYFUNCTION("""COMPUTED_VALUE"""),"胡家瑜")</f>
        <v>胡家瑜</v>
      </c>
      <c r="D1481" s="16" t="str">
        <f>IFERROR(__xludf.DUMMYFUNCTION("""COMPUTED_VALUE"""),"110*****njh.mlc.edu.tw")</f>
        <v>110*****njh.mlc.edu.tw</v>
      </c>
      <c r="E1481" s="17" t="str">
        <f>IFERROR(__xludf.DUMMYFUNCTION("""COMPUTED_VALUE"""),"苗栗縣立竹南國民中學")</f>
        <v>苗栗縣立竹南國民中學</v>
      </c>
      <c r="F1481" s="14" t="str">
        <f>IFERROR(__xludf.DUMMYFUNCTION("""COMPUTED_VALUE"""),"八年級")</f>
        <v>八年級</v>
      </c>
      <c r="G1481" s="14" t="str">
        <f>IFERROR(__xludf.DUMMYFUNCTION("""COMPUTED_VALUE"""),"●小禮物")</f>
        <v>●小禮物</v>
      </c>
      <c r="H1481" s="8"/>
    </row>
    <row r="1482">
      <c r="A1482" s="18"/>
      <c r="B1482" s="14">
        <f>IFERROR(__xludf.DUMMYFUNCTION("""COMPUTED_VALUE"""),1200081.0)</f>
        <v>1200081</v>
      </c>
      <c r="C1482" s="14" t="str">
        <f>IFERROR(__xludf.DUMMYFUNCTION("""COMPUTED_VALUE"""),"風光佑")</f>
        <v>風光佑</v>
      </c>
      <c r="D1482" s="16" t="str">
        <f>IFERROR(__xludf.DUMMYFUNCTION("""COMPUTED_VALUE"""),"110*****njh.mlc.edu.tw")</f>
        <v>110*****njh.mlc.edu.tw</v>
      </c>
      <c r="E1482" s="17" t="str">
        <f>IFERROR(__xludf.DUMMYFUNCTION("""COMPUTED_VALUE"""),"苗栗縣立竹南國民中學")</f>
        <v>苗栗縣立竹南國民中學</v>
      </c>
      <c r="F1482" s="14" t="str">
        <f>IFERROR(__xludf.DUMMYFUNCTION("""COMPUTED_VALUE"""),"八年級")</f>
        <v>八年級</v>
      </c>
      <c r="G1482" s="14" t="str">
        <f>IFERROR(__xludf.DUMMYFUNCTION("""COMPUTED_VALUE"""),"●小禮物")</f>
        <v>●小禮物</v>
      </c>
      <c r="H1482" s="8"/>
    </row>
    <row r="1483">
      <c r="A1483" s="18"/>
      <c r="B1483" s="14">
        <f>IFERROR(__xludf.DUMMYFUNCTION("""COMPUTED_VALUE"""),1200094.0)</f>
        <v>1200094</v>
      </c>
      <c r="C1483" s="14" t="str">
        <f>IFERROR(__xludf.DUMMYFUNCTION("""COMPUTED_VALUE"""),"張語哲")</f>
        <v>張語哲</v>
      </c>
      <c r="D1483" s="16" t="str">
        <f>IFERROR(__xludf.DUMMYFUNCTION("""COMPUTED_VALUE"""),"110*****njh.mlc.edu.tw")</f>
        <v>110*****njh.mlc.edu.tw</v>
      </c>
      <c r="E1483" s="17" t="str">
        <f>IFERROR(__xludf.DUMMYFUNCTION("""COMPUTED_VALUE"""),"苗栗縣立竹南國民中學")</f>
        <v>苗栗縣立竹南國民中學</v>
      </c>
      <c r="F1483" s="14" t="str">
        <f>IFERROR(__xludf.DUMMYFUNCTION("""COMPUTED_VALUE"""),"八年級")</f>
        <v>八年級</v>
      </c>
      <c r="G1483" s="14" t="str">
        <f>IFERROR(__xludf.DUMMYFUNCTION("""COMPUTED_VALUE"""),"●小禮物")</f>
        <v>●小禮物</v>
      </c>
      <c r="H1483" s="8"/>
    </row>
    <row r="1484">
      <c r="A1484" s="18"/>
      <c r="B1484" s="14">
        <f>IFERROR(__xludf.DUMMYFUNCTION("""COMPUTED_VALUE"""),1200087.0)</f>
        <v>1200087</v>
      </c>
      <c r="C1484" s="14" t="str">
        <f>IFERROR(__xludf.DUMMYFUNCTION("""COMPUTED_VALUE"""),"陳瑞瑜")</f>
        <v>陳瑞瑜</v>
      </c>
      <c r="D1484" s="16" t="str">
        <f>IFERROR(__xludf.DUMMYFUNCTION("""COMPUTED_VALUE"""),"110*****njh.mlc.edu.tw")</f>
        <v>110*****njh.mlc.edu.tw</v>
      </c>
      <c r="E1484" s="17" t="str">
        <f>IFERROR(__xludf.DUMMYFUNCTION("""COMPUTED_VALUE"""),"苗栗縣立竹南國民中學")</f>
        <v>苗栗縣立竹南國民中學</v>
      </c>
      <c r="F1484" s="14" t="str">
        <f>IFERROR(__xludf.DUMMYFUNCTION("""COMPUTED_VALUE"""),"八年級")</f>
        <v>八年級</v>
      </c>
      <c r="G1484" s="14" t="str">
        <f>IFERROR(__xludf.DUMMYFUNCTION("""COMPUTED_VALUE"""),"●小禮物")</f>
        <v>●小禮物</v>
      </c>
      <c r="H1484" s="8"/>
    </row>
    <row r="1485">
      <c r="A1485" s="18"/>
      <c r="B1485" s="14">
        <f>IFERROR(__xludf.DUMMYFUNCTION("""COMPUTED_VALUE"""),1200083.0)</f>
        <v>1200083</v>
      </c>
      <c r="C1485" s="14" t="str">
        <f>IFERROR(__xludf.DUMMYFUNCTION("""COMPUTED_VALUE"""),"丁彥瑋")</f>
        <v>丁彥瑋</v>
      </c>
      <c r="D1485" s="16" t="str">
        <f>IFERROR(__xludf.DUMMYFUNCTION("""COMPUTED_VALUE"""),"110*****njh.mlc.edu.tw")</f>
        <v>110*****njh.mlc.edu.tw</v>
      </c>
      <c r="E1485" s="17" t="str">
        <f>IFERROR(__xludf.DUMMYFUNCTION("""COMPUTED_VALUE"""),"苗栗縣立竹南國民中學")</f>
        <v>苗栗縣立竹南國民中學</v>
      </c>
      <c r="F1485" s="14" t="str">
        <f>IFERROR(__xludf.DUMMYFUNCTION("""COMPUTED_VALUE"""),"八年級")</f>
        <v>八年級</v>
      </c>
      <c r="G1485" s="14" t="str">
        <f>IFERROR(__xludf.DUMMYFUNCTION("""COMPUTED_VALUE"""),"獎狀")</f>
        <v>獎狀</v>
      </c>
      <c r="H1485" s="8"/>
    </row>
    <row r="1486">
      <c r="A1486" s="18"/>
      <c r="B1486" s="14">
        <f>IFERROR(__xludf.DUMMYFUNCTION("""COMPUTED_VALUE"""),1200090.0)</f>
        <v>1200090</v>
      </c>
      <c r="C1486" s="14" t="str">
        <f>IFERROR(__xludf.DUMMYFUNCTION("""COMPUTED_VALUE"""),"余虹萱")</f>
        <v>余虹萱</v>
      </c>
      <c r="D1486" s="16" t="str">
        <f>IFERROR(__xludf.DUMMYFUNCTION("""COMPUTED_VALUE"""),"110*****njh.mlc.edu.tw")</f>
        <v>110*****njh.mlc.edu.tw</v>
      </c>
      <c r="E1486" s="17" t="str">
        <f>IFERROR(__xludf.DUMMYFUNCTION("""COMPUTED_VALUE"""),"苗栗縣立竹南國民中學")</f>
        <v>苗栗縣立竹南國民中學</v>
      </c>
      <c r="F1486" s="14" t="str">
        <f>IFERROR(__xludf.DUMMYFUNCTION("""COMPUTED_VALUE"""),"八年級")</f>
        <v>八年級</v>
      </c>
      <c r="G1486" s="14" t="str">
        <f>IFERROR(__xludf.DUMMYFUNCTION("""COMPUTED_VALUE"""),"獎狀")</f>
        <v>獎狀</v>
      </c>
      <c r="H1486" s="8"/>
    </row>
    <row r="1487">
      <c r="A1487" s="18"/>
      <c r="B1487" s="14">
        <f>IFERROR(__xludf.DUMMYFUNCTION("""COMPUTED_VALUE"""),1200093.0)</f>
        <v>1200093</v>
      </c>
      <c r="C1487" s="14" t="str">
        <f>IFERROR(__xludf.DUMMYFUNCTION("""COMPUTED_VALUE"""),"李秉鴻")</f>
        <v>李秉鴻</v>
      </c>
      <c r="D1487" s="16" t="str">
        <f>IFERROR(__xludf.DUMMYFUNCTION("""COMPUTED_VALUE"""),"110*****njh.mlc.edu.tw")</f>
        <v>110*****njh.mlc.edu.tw</v>
      </c>
      <c r="E1487" s="17" t="str">
        <f>IFERROR(__xludf.DUMMYFUNCTION("""COMPUTED_VALUE"""),"苗栗縣立竹南國民中學")</f>
        <v>苗栗縣立竹南國民中學</v>
      </c>
      <c r="F1487" s="14" t="str">
        <f>IFERROR(__xludf.DUMMYFUNCTION("""COMPUTED_VALUE"""),"八年級")</f>
        <v>八年級</v>
      </c>
      <c r="G1487" s="14" t="str">
        <f>IFERROR(__xludf.DUMMYFUNCTION("""COMPUTED_VALUE"""),"獎狀")</f>
        <v>獎狀</v>
      </c>
      <c r="H1487" s="8"/>
    </row>
    <row r="1488">
      <c r="A1488" s="18"/>
      <c r="B1488" s="14">
        <f>IFERROR(__xludf.DUMMYFUNCTION("""COMPUTED_VALUE"""),1200086.0)</f>
        <v>1200086</v>
      </c>
      <c r="C1488" s="14" t="str">
        <f>IFERROR(__xludf.DUMMYFUNCTION("""COMPUTED_VALUE"""),"徐祐棋")</f>
        <v>徐祐棋</v>
      </c>
      <c r="D1488" s="16" t="str">
        <f>IFERROR(__xludf.DUMMYFUNCTION("""COMPUTED_VALUE"""),"110*****njh.mlc.edu.tw")</f>
        <v>110*****njh.mlc.edu.tw</v>
      </c>
      <c r="E1488" s="17" t="str">
        <f>IFERROR(__xludf.DUMMYFUNCTION("""COMPUTED_VALUE"""),"苗栗縣立竹南國民中學")</f>
        <v>苗栗縣立竹南國民中學</v>
      </c>
      <c r="F1488" s="14" t="str">
        <f>IFERROR(__xludf.DUMMYFUNCTION("""COMPUTED_VALUE"""),"八年級")</f>
        <v>八年級</v>
      </c>
      <c r="G1488" s="14" t="str">
        <f>IFERROR(__xludf.DUMMYFUNCTION("""COMPUTED_VALUE"""),"獎狀")</f>
        <v>獎狀</v>
      </c>
      <c r="H1488" s="8"/>
    </row>
    <row r="1489">
      <c r="A1489" s="18"/>
      <c r="B1489" s="14">
        <f>IFERROR(__xludf.DUMMYFUNCTION("""COMPUTED_VALUE"""),1200098.0)</f>
        <v>1200098</v>
      </c>
      <c r="C1489" s="14" t="str">
        <f>IFERROR(__xludf.DUMMYFUNCTION("""COMPUTED_VALUE"""),"梁詠詒")</f>
        <v>梁詠詒</v>
      </c>
      <c r="D1489" s="16" t="str">
        <f>IFERROR(__xludf.DUMMYFUNCTION("""COMPUTED_VALUE"""),"110*****njh.mlc.edu.tw")</f>
        <v>110*****njh.mlc.edu.tw</v>
      </c>
      <c r="E1489" s="17" t="str">
        <f>IFERROR(__xludf.DUMMYFUNCTION("""COMPUTED_VALUE"""),"苗栗縣立竹南國民中學")</f>
        <v>苗栗縣立竹南國民中學</v>
      </c>
      <c r="F1489" s="14" t="str">
        <f>IFERROR(__xludf.DUMMYFUNCTION("""COMPUTED_VALUE"""),"八年級")</f>
        <v>八年級</v>
      </c>
      <c r="G1489" s="14" t="str">
        <f>IFERROR(__xludf.DUMMYFUNCTION("""COMPUTED_VALUE"""),"獎狀")</f>
        <v>獎狀</v>
      </c>
      <c r="H1489" s="8"/>
    </row>
    <row r="1490">
      <c r="A1490" s="18"/>
      <c r="B1490" s="14">
        <f>IFERROR(__xludf.DUMMYFUNCTION("""COMPUTED_VALUE"""),1200097.0)</f>
        <v>1200097</v>
      </c>
      <c r="C1490" s="14" t="str">
        <f>IFERROR(__xludf.DUMMYFUNCTION("""COMPUTED_VALUE"""),"郭采妍")</f>
        <v>郭采妍</v>
      </c>
      <c r="D1490" s="16" t="str">
        <f>IFERROR(__xludf.DUMMYFUNCTION("""COMPUTED_VALUE"""),"110*****njh.mlc.edu.tw")</f>
        <v>110*****njh.mlc.edu.tw</v>
      </c>
      <c r="E1490" s="17" t="str">
        <f>IFERROR(__xludf.DUMMYFUNCTION("""COMPUTED_VALUE"""),"苗栗縣立竹南國民中學")</f>
        <v>苗栗縣立竹南國民中學</v>
      </c>
      <c r="F1490" s="14" t="str">
        <f>IFERROR(__xludf.DUMMYFUNCTION("""COMPUTED_VALUE"""),"八年級")</f>
        <v>八年級</v>
      </c>
      <c r="G1490" s="14" t="str">
        <f>IFERROR(__xludf.DUMMYFUNCTION("""COMPUTED_VALUE"""),"獎狀")</f>
        <v>獎狀</v>
      </c>
      <c r="H1490" s="8"/>
    </row>
    <row r="1491">
      <c r="A1491" s="18"/>
      <c r="B1491" s="14">
        <f>IFERROR(__xludf.DUMMYFUNCTION("""COMPUTED_VALUE"""),1200085.0)</f>
        <v>1200085</v>
      </c>
      <c r="C1491" s="14" t="str">
        <f>IFERROR(__xludf.DUMMYFUNCTION("""COMPUTED_VALUE"""),"趙于昀")</f>
        <v>趙于昀</v>
      </c>
      <c r="D1491" s="16" t="str">
        <f>IFERROR(__xludf.DUMMYFUNCTION("""COMPUTED_VALUE"""),"110*****njh.mlc.edu.tw")</f>
        <v>110*****njh.mlc.edu.tw</v>
      </c>
      <c r="E1491" s="17" t="str">
        <f>IFERROR(__xludf.DUMMYFUNCTION("""COMPUTED_VALUE"""),"苗栗縣立竹南國民中學")</f>
        <v>苗栗縣立竹南國民中學</v>
      </c>
      <c r="F1491" s="14" t="str">
        <f>IFERROR(__xludf.DUMMYFUNCTION("""COMPUTED_VALUE"""),"八年級")</f>
        <v>八年級</v>
      </c>
      <c r="G1491" s="14" t="str">
        <f>IFERROR(__xludf.DUMMYFUNCTION("""COMPUTED_VALUE"""),"獎狀")</f>
        <v>獎狀</v>
      </c>
      <c r="H1491" s="8"/>
    </row>
    <row r="1492">
      <c r="A1492" s="18"/>
      <c r="B1492" s="14">
        <f>IFERROR(__xludf.DUMMYFUNCTION("""COMPUTED_VALUE"""),875400.0)</f>
        <v>875400</v>
      </c>
      <c r="C1492" s="14" t="str">
        <f>IFERROR(__xludf.DUMMYFUNCTION("""COMPUTED_VALUE"""),"李芃軒")</f>
        <v>李芃軒</v>
      </c>
      <c r="D1492" s="16" t="str">
        <f>IFERROR(__xludf.DUMMYFUNCTION("""COMPUTED_VALUE"""),"mlc*****3@mail.edu.tw")</f>
        <v>mlc*****3@mail.edu.tw</v>
      </c>
      <c r="E1492" s="17" t="str">
        <f>IFERROR(__xludf.DUMMYFUNCTION("""COMPUTED_VALUE"""),"苗栗縣立竹南國民中學")</f>
        <v>苗栗縣立竹南國民中學</v>
      </c>
      <c r="F1492" s="14" t="str">
        <f>IFERROR(__xludf.DUMMYFUNCTION("""COMPUTED_VALUE"""),"八年級")</f>
        <v>八年級</v>
      </c>
      <c r="G1492" s="14" t="str">
        <f>IFERROR(__xludf.DUMMYFUNCTION("""COMPUTED_VALUE"""),"●小禮物")</f>
        <v>●小禮物</v>
      </c>
      <c r="H1492" s="8"/>
    </row>
    <row r="1493">
      <c r="A1493" s="18"/>
      <c r="B1493" s="14">
        <f>IFERROR(__xludf.DUMMYFUNCTION("""COMPUTED_VALUE"""),496373.0)</f>
        <v>496373</v>
      </c>
      <c r="C1493" s="14" t="str">
        <f>IFERROR(__xludf.DUMMYFUNCTION("""COMPUTED_VALUE"""),"甘芸甄")</f>
        <v>甘芸甄</v>
      </c>
      <c r="D1493" s="16" t="str">
        <f>IFERROR(__xludf.DUMMYFUNCTION("""COMPUTED_VALUE"""),"mlc*****9104122@mail.edu.tw")</f>
        <v>mlc*****9104122@mail.edu.tw</v>
      </c>
      <c r="E1493" s="17" t="str">
        <f>IFERROR(__xludf.DUMMYFUNCTION("""COMPUTED_VALUE"""),"苗栗縣立竹南國民中學")</f>
        <v>苗栗縣立竹南國民中學</v>
      </c>
      <c r="F1493" s="14" t="str">
        <f>IFERROR(__xludf.DUMMYFUNCTION("""COMPUTED_VALUE"""),"八年級")</f>
        <v>八年級</v>
      </c>
      <c r="G1493" s="14" t="str">
        <f>IFERROR(__xludf.DUMMYFUNCTION("""COMPUTED_VALUE"""),"獎狀")</f>
        <v>獎狀</v>
      </c>
      <c r="H1493" s="8"/>
    </row>
    <row r="1494">
      <c r="A1494" s="18"/>
      <c r="B1494" s="14">
        <f>IFERROR(__xludf.DUMMYFUNCTION("""COMPUTED_VALUE"""),287987.0)</f>
        <v>287987</v>
      </c>
      <c r="C1494" s="14" t="str">
        <f>IFERROR(__xludf.DUMMYFUNCTION("""COMPUTED_VALUE"""),"巫瑀宸")</f>
        <v>巫瑀宸</v>
      </c>
      <c r="D1494" s="16" t="str">
        <f>IFERROR(__xludf.DUMMYFUNCTION("""COMPUTED_VALUE"""),"sum*****96@mail.edu.tw")</f>
        <v>sum*****96@mail.edu.tw</v>
      </c>
      <c r="E1494" s="17" t="str">
        <f>IFERROR(__xludf.DUMMYFUNCTION("""COMPUTED_VALUE"""),"苗栗縣立竹南國民中學")</f>
        <v>苗栗縣立竹南國民中學</v>
      </c>
      <c r="F1494" s="14" t="str">
        <f>IFERROR(__xludf.DUMMYFUNCTION("""COMPUTED_VALUE"""),"八年級")</f>
        <v>八年級</v>
      </c>
      <c r="G1494" s="14" t="str">
        <f>IFERROR(__xludf.DUMMYFUNCTION("""COMPUTED_VALUE"""),"獎狀")</f>
        <v>獎狀</v>
      </c>
      <c r="H1494" s="8"/>
    </row>
    <row r="1495">
      <c r="A1495" s="18"/>
      <c r="B1495" s="14">
        <f>IFERROR(__xludf.DUMMYFUNCTION("""COMPUTED_VALUE"""),268127.0)</f>
        <v>268127</v>
      </c>
      <c r="C1495" s="14" t="str">
        <f>IFERROR(__xludf.DUMMYFUNCTION("""COMPUTED_VALUE"""),"林嘉怡")</f>
        <v>林嘉怡</v>
      </c>
      <c r="D1495" s="16" t="str">
        <f>IFERROR(__xludf.DUMMYFUNCTION("""COMPUTED_VALUE"""),"jes*****5@mail.edu.tw")</f>
        <v>jes*****5@mail.edu.tw</v>
      </c>
      <c r="E1495" s="17" t="str">
        <f>IFERROR(__xludf.DUMMYFUNCTION("""COMPUTED_VALUE"""),"苗栗縣立竹南國民中學")</f>
        <v>苗栗縣立竹南國民中學</v>
      </c>
      <c r="F1495" s="14" t="str">
        <f>IFERROR(__xludf.DUMMYFUNCTION("""COMPUTED_VALUE"""),"八年級")</f>
        <v>八年級</v>
      </c>
      <c r="G1495" s="14" t="str">
        <f>IFERROR(__xludf.DUMMYFUNCTION("""COMPUTED_VALUE"""),"獎狀")</f>
        <v>獎狀</v>
      </c>
      <c r="H1495" s="8"/>
    </row>
    <row r="1496">
      <c r="A1496" s="18"/>
      <c r="B1496" s="14">
        <f>IFERROR(__xludf.DUMMYFUNCTION("""COMPUTED_VALUE"""),494092.0)</f>
        <v>494092</v>
      </c>
      <c r="C1496" s="14" t="str">
        <f>IFERROR(__xludf.DUMMYFUNCTION("""COMPUTED_VALUE"""),"鄒丞智")</f>
        <v>鄒丞智</v>
      </c>
      <c r="D1496" s="16" t="str">
        <f>IFERROR(__xludf.DUMMYFUNCTION("""COMPUTED_VALUE"""),"hk1*****@mail.edu.tw")</f>
        <v>hk1*****@mail.edu.tw</v>
      </c>
      <c r="E1496" s="17" t="str">
        <f>IFERROR(__xludf.DUMMYFUNCTION("""COMPUTED_VALUE"""),"苗栗縣立竹南國民中學")</f>
        <v>苗栗縣立竹南國民中學</v>
      </c>
      <c r="F1496" s="14" t="str">
        <f>IFERROR(__xludf.DUMMYFUNCTION("""COMPUTED_VALUE"""),"八年級")</f>
        <v>八年級</v>
      </c>
      <c r="G1496" s="14" t="str">
        <f>IFERROR(__xludf.DUMMYFUNCTION("""COMPUTED_VALUE"""),"獎狀")</f>
        <v>獎狀</v>
      </c>
      <c r="H1496" s="8"/>
    </row>
    <row r="1497">
      <c r="A1497" s="18"/>
      <c r="B1497" s="14">
        <f>IFERROR(__xludf.DUMMYFUNCTION("""COMPUTED_VALUE"""),1207135.0)</f>
        <v>1207135</v>
      </c>
      <c r="C1497" s="14" t="str">
        <f>IFERROR(__xludf.DUMMYFUNCTION("""COMPUTED_VALUE"""),"葉韋彤")</f>
        <v>葉韋彤</v>
      </c>
      <c r="D1497" s="16" t="str">
        <f>IFERROR(__xludf.DUMMYFUNCTION("""COMPUTED_VALUE"""),"110*****njh.mlc.edu.tw")</f>
        <v>110*****njh.mlc.edu.tw</v>
      </c>
      <c r="E1497" s="17" t="str">
        <f>IFERROR(__xludf.DUMMYFUNCTION("""COMPUTED_VALUE"""),"苗栗縣立竹南國民中學")</f>
        <v>苗栗縣立竹南國民中學</v>
      </c>
      <c r="F1497" s="14" t="str">
        <f>IFERROR(__xludf.DUMMYFUNCTION("""COMPUTED_VALUE"""),"八年級")</f>
        <v>八年級</v>
      </c>
      <c r="G1497" s="14" t="str">
        <f>IFERROR(__xludf.DUMMYFUNCTION("""COMPUTED_VALUE"""),"●小禮物")</f>
        <v>●小禮物</v>
      </c>
      <c r="H1497" s="8"/>
    </row>
    <row r="1498">
      <c r="A1498" s="18"/>
      <c r="B1498" s="14">
        <f>IFERROR(__xludf.DUMMYFUNCTION("""COMPUTED_VALUE"""),498013.0)</f>
        <v>498013</v>
      </c>
      <c r="C1498" s="14" t="str">
        <f>IFERROR(__xludf.DUMMYFUNCTION("""COMPUTED_VALUE"""),"姚又庭")</f>
        <v>姚又庭</v>
      </c>
      <c r="D1498" s="16" t="str">
        <f>IFERROR(__xludf.DUMMYFUNCTION("""COMPUTED_VALUE"""),"mlc*****@mail.edu.tw")</f>
        <v>mlc*****@mail.edu.tw</v>
      </c>
      <c r="E1498" s="17" t="str">
        <f>IFERROR(__xludf.DUMMYFUNCTION("""COMPUTED_VALUE"""),"苗栗縣立竹南國民中學")</f>
        <v>苗栗縣立竹南國民中學</v>
      </c>
      <c r="F1498" s="14" t="str">
        <f>IFERROR(__xludf.DUMMYFUNCTION("""COMPUTED_VALUE"""),"八年級")</f>
        <v>八年級</v>
      </c>
      <c r="G1498" s="14" t="str">
        <f>IFERROR(__xludf.DUMMYFUNCTION("""COMPUTED_VALUE"""),"●小禮物")</f>
        <v>●小禮物</v>
      </c>
      <c r="H1498" s="8"/>
    </row>
    <row r="1499">
      <c r="A1499" s="18"/>
      <c r="B1499" s="14">
        <f>IFERROR(__xludf.DUMMYFUNCTION("""COMPUTED_VALUE"""),491399.0)</f>
        <v>491399</v>
      </c>
      <c r="C1499" s="14" t="str">
        <f>IFERROR(__xludf.DUMMYFUNCTION("""COMPUTED_VALUE"""),"劉秉承")</f>
        <v>劉秉承</v>
      </c>
      <c r="D1499" s="16" t="str">
        <f>IFERROR(__xludf.DUMMYFUNCTION("""COMPUTED_VALUE"""),"mlc*****9104289@mail.edu.tw")</f>
        <v>mlc*****9104289@mail.edu.tw</v>
      </c>
      <c r="E1499" s="17" t="str">
        <f>IFERROR(__xludf.DUMMYFUNCTION("""COMPUTED_VALUE"""),"苗栗縣立竹南國民中學")</f>
        <v>苗栗縣立竹南國民中學</v>
      </c>
      <c r="F1499" s="14" t="str">
        <f>IFERROR(__xludf.DUMMYFUNCTION("""COMPUTED_VALUE"""),"八年級")</f>
        <v>八年級</v>
      </c>
      <c r="G1499" s="14" t="str">
        <f>IFERROR(__xludf.DUMMYFUNCTION("""COMPUTED_VALUE"""),"獎狀")</f>
        <v>獎狀</v>
      </c>
      <c r="H1499" s="8"/>
    </row>
    <row r="1500">
      <c r="A1500" s="18"/>
      <c r="B1500" s="14">
        <f>IFERROR(__xludf.DUMMYFUNCTION("""COMPUTED_VALUE"""),1207137.0)</f>
        <v>1207137</v>
      </c>
      <c r="C1500" s="14" t="str">
        <f>IFERROR(__xludf.DUMMYFUNCTION("""COMPUTED_VALUE"""),"林彥宇")</f>
        <v>林彥宇</v>
      </c>
      <c r="D1500" s="16" t="str">
        <f>IFERROR(__xludf.DUMMYFUNCTION("""COMPUTED_VALUE"""),"110*****njh.mlc.edu.tw")</f>
        <v>110*****njh.mlc.edu.tw</v>
      </c>
      <c r="E1500" s="17" t="str">
        <f>IFERROR(__xludf.DUMMYFUNCTION("""COMPUTED_VALUE"""),"苗栗縣立竹南國民中學")</f>
        <v>苗栗縣立竹南國民中學</v>
      </c>
      <c r="F1500" s="14" t="str">
        <f>IFERROR(__xludf.DUMMYFUNCTION("""COMPUTED_VALUE"""),"八年級")</f>
        <v>八年級</v>
      </c>
      <c r="G1500" s="14" t="str">
        <f>IFERROR(__xludf.DUMMYFUNCTION("""COMPUTED_VALUE"""),"獎狀")</f>
        <v>獎狀</v>
      </c>
      <c r="H1500" s="8"/>
    </row>
    <row r="1501">
      <c r="A1501" s="18"/>
      <c r="B1501" s="14">
        <f>IFERROR(__xludf.DUMMYFUNCTION("""COMPUTED_VALUE"""),485387.0)</f>
        <v>485387</v>
      </c>
      <c r="C1501" s="14" t="str">
        <f>IFERROR(__xludf.DUMMYFUNCTION("""COMPUTED_VALUE"""),"劉又榕")</f>
        <v>劉又榕</v>
      </c>
      <c r="D1501" s="16" t="str">
        <f>IFERROR(__xludf.DUMMYFUNCTION("""COMPUTED_VALUE"""),"mlc*****84@mail.edu.tw")</f>
        <v>mlc*****84@mail.edu.tw</v>
      </c>
      <c r="E1501" s="17" t="str">
        <f>IFERROR(__xludf.DUMMYFUNCTION("""COMPUTED_VALUE"""),"苗栗縣立竹南國民中學")</f>
        <v>苗栗縣立竹南國民中學</v>
      </c>
      <c r="F1501" s="14" t="str">
        <f>IFERROR(__xludf.DUMMYFUNCTION("""COMPUTED_VALUE"""),"八年級")</f>
        <v>八年級</v>
      </c>
      <c r="G1501" s="14" t="str">
        <f>IFERROR(__xludf.DUMMYFUNCTION("""COMPUTED_VALUE"""),"★禮券$200")</f>
        <v>★禮券$200</v>
      </c>
      <c r="H1501" s="8"/>
    </row>
    <row r="1502">
      <c r="A1502" s="18"/>
      <c r="B1502" s="14">
        <f>IFERROR(__xludf.DUMMYFUNCTION("""COMPUTED_VALUE"""),485510.0)</f>
        <v>485510</v>
      </c>
      <c r="C1502" s="14" t="str">
        <f>IFERROR(__xludf.DUMMYFUNCTION("""COMPUTED_VALUE"""),"吳宜錡")</f>
        <v>吳宜錡</v>
      </c>
      <c r="D1502" s="16" t="str">
        <f>IFERROR(__xludf.DUMMYFUNCTION("""COMPUTED_VALUE"""),"mlc*****6@mail.edu.tw")</f>
        <v>mlc*****6@mail.edu.tw</v>
      </c>
      <c r="E1502" s="17" t="str">
        <f>IFERROR(__xludf.DUMMYFUNCTION("""COMPUTED_VALUE"""),"苗栗縣立竹南國民中學")</f>
        <v>苗栗縣立竹南國民中學</v>
      </c>
      <c r="F1502" s="14" t="str">
        <f>IFERROR(__xludf.DUMMYFUNCTION("""COMPUTED_VALUE"""),"八年級")</f>
        <v>八年級</v>
      </c>
      <c r="G1502" s="14" t="str">
        <f>IFERROR(__xludf.DUMMYFUNCTION("""COMPUTED_VALUE"""),"●小禮物")</f>
        <v>●小禮物</v>
      </c>
      <c r="H1502" s="8"/>
    </row>
    <row r="1503">
      <c r="A1503" s="18"/>
      <c r="B1503" s="14">
        <f>IFERROR(__xludf.DUMMYFUNCTION("""COMPUTED_VALUE"""),271625.0)</f>
        <v>271625</v>
      </c>
      <c r="C1503" s="14" t="str">
        <f>IFERROR(__xludf.DUMMYFUNCTION("""COMPUTED_VALUE"""),"張林可馨")</f>
        <v>張林可馨</v>
      </c>
      <c r="D1503" s="16" t="str">
        <f>IFERROR(__xludf.DUMMYFUNCTION("""COMPUTED_VALUE"""),"kat*****e104012@mail.edu.tw")</f>
        <v>kat*****e104012@mail.edu.tw</v>
      </c>
      <c r="E1503" s="17" t="str">
        <f>IFERROR(__xludf.DUMMYFUNCTION("""COMPUTED_VALUE"""),"苗栗縣立竹南國民中學")</f>
        <v>苗栗縣立竹南國民中學</v>
      </c>
      <c r="F1503" s="14" t="str">
        <f>IFERROR(__xludf.DUMMYFUNCTION("""COMPUTED_VALUE"""),"八年級")</f>
        <v>八年級</v>
      </c>
      <c r="G1503" s="14" t="str">
        <f>IFERROR(__xludf.DUMMYFUNCTION("""COMPUTED_VALUE"""),"獎狀")</f>
        <v>獎狀</v>
      </c>
      <c r="H1503" s="8"/>
    </row>
    <row r="1504">
      <c r="A1504" s="18"/>
      <c r="B1504" s="14">
        <f>IFERROR(__xludf.DUMMYFUNCTION("""COMPUTED_VALUE"""),479558.0)</f>
        <v>479558</v>
      </c>
      <c r="C1504" s="14" t="str">
        <f>IFERROR(__xludf.DUMMYFUNCTION("""COMPUTED_VALUE"""),"黃怡茹")</f>
        <v>黃怡茹</v>
      </c>
      <c r="D1504" s="16" t="str">
        <f>IFERROR(__xludf.DUMMYFUNCTION("""COMPUTED_VALUE"""),"hk1*****@mail.edu.tw")</f>
        <v>hk1*****@mail.edu.tw</v>
      </c>
      <c r="E1504" s="17" t="str">
        <f>IFERROR(__xludf.DUMMYFUNCTION("""COMPUTED_VALUE"""),"苗栗縣立竹南國民中學")</f>
        <v>苗栗縣立竹南國民中學</v>
      </c>
      <c r="F1504" s="14" t="str">
        <f>IFERROR(__xludf.DUMMYFUNCTION("""COMPUTED_VALUE"""),"八年級")</f>
        <v>八年級</v>
      </c>
      <c r="G1504" s="14" t="str">
        <f>IFERROR(__xludf.DUMMYFUNCTION("""COMPUTED_VALUE"""),"●小禮物")</f>
        <v>●小禮物</v>
      </c>
      <c r="H1504" s="8"/>
    </row>
    <row r="1505">
      <c r="A1505" s="18"/>
      <c r="B1505" s="14">
        <f>IFERROR(__xludf.DUMMYFUNCTION("""COMPUTED_VALUE"""),268125.0)</f>
        <v>268125</v>
      </c>
      <c r="C1505" s="14" t="str">
        <f>IFERROR(__xludf.DUMMYFUNCTION("""COMPUTED_VALUE"""),"邱毓芯")</f>
        <v>邱毓芯</v>
      </c>
      <c r="D1505" s="16" t="str">
        <f>IFERROR(__xludf.DUMMYFUNCTION("""COMPUTED_VALUE"""),"jes*****1@mail.edu.tw")</f>
        <v>jes*****1@mail.edu.tw</v>
      </c>
      <c r="E1505" s="17" t="str">
        <f>IFERROR(__xludf.DUMMYFUNCTION("""COMPUTED_VALUE"""),"苗栗縣立竹南國民中學")</f>
        <v>苗栗縣立竹南國民中學</v>
      </c>
      <c r="F1505" s="14" t="str">
        <f>IFERROR(__xludf.DUMMYFUNCTION("""COMPUTED_VALUE"""),"八年級")</f>
        <v>八年級</v>
      </c>
      <c r="G1505" s="14" t="str">
        <f>IFERROR(__xludf.DUMMYFUNCTION("""COMPUTED_VALUE"""),"獎狀")</f>
        <v>獎狀</v>
      </c>
      <c r="H1505" s="8"/>
    </row>
    <row r="1506">
      <c r="A1506" s="18"/>
      <c r="B1506" s="14">
        <f>IFERROR(__xludf.DUMMYFUNCTION("""COMPUTED_VALUE"""),1203595.0)</f>
        <v>1203595</v>
      </c>
      <c r="C1506" s="14" t="str">
        <f>IFERROR(__xludf.DUMMYFUNCTION("""COMPUTED_VALUE"""),"葉政廣")</f>
        <v>葉政廣</v>
      </c>
      <c r="D1506" s="16" t="str">
        <f>IFERROR(__xludf.DUMMYFUNCTION("""COMPUTED_VALUE"""),"109*****njh.mlc.edu.tw")</f>
        <v>109*****njh.mlc.edu.tw</v>
      </c>
      <c r="E1506" s="17" t="str">
        <f>IFERROR(__xludf.DUMMYFUNCTION("""COMPUTED_VALUE"""),"苗栗縣立竹南國民中學")</f>
        <v>苗栗縣立竹南國民中學</v>
      </c>
      <c r="F1506" s="14" t="str">
        <f>IFERROR(__xludf.DUMMYFUNCTION("""COMPUTED_VALUE"""),"九年級")</f>
        <v>九年級</v>
      </c>
      <c r="G1506" s="14" t="str">
        <f>IFERROR(__xludf.DUMMYFUNCTION("""COMPUTED_VALUE"""),"●小禮物")</f>
        <v>●小禮物</v>
      </c>
      <c r="H1506" s="8"/>
    </row>
    <row r="1507">
      <c r="A1507" s="18"/>
      <c r="B1507" s="14">
        <f>IFERROR(__xludf.DUMMYFUNCTION("""COMPUTED_VALUE"""),704518.0)</f>
        <v>704518</v>
      </c>
      <c r="C1507" s="14" t="str">
        <f>IFERROR(__xludf.DUMMYFUNCTION("""COMPUTED_VALUE"""),"林彥岑")</f>
        <v>林彥岑</v>
      </c>
      <c r="D1507" s="16" t="str">
        <f>IFERROR(__xludf.DUMMYFUNCTION("""COMPUTED_VALUE"""),"109*****njh.mlc.edu.tw")</f>
        <v>109*****njh.mlc.edu.tw</v>
      </c>
      <c r="E1507" s="17" t="str">
        <f>IFERROR(__xludf.DUMMYFUNCTION("""COMPUTED_VALUE"""),"苗栗縣立竹南國民中學")</f>
        <v>苗栗縣立竹南國民中學</v>
      </c>
      <c r="F1507" s="14" t="str">
        <f>IFERROR(__xludf.DUMMYFUNCTION("""COMPUTED_VALUE"""),"九年級")</f>
        <v>九年級</v>
      </c>
      <c r="G1507" s="14" t="str">
        <f>IFERROR(__xludf.DUMMYFUNCTION("""COMPUTED_VALUE"""),"●小禮物")</f>
        <v>●小禮物</v>
      </c>
      <c r="H1507" s="8"/>
    </row>
    <row r="1508">
      <c r="A1508" s="18"/>
      <c r="B1508" s="14">
        <f>IFERROR(__xludf.DUMMYFUNCTION("""COMPUTED_VALUE"""),1204977.0)</f>
        <v>1204977</v>
      </c>
      <c r="C1508" s="14" t="str">
        <f>IFERROR(__xludf.DUMMYFUNCTION("""COMPUTED_VALUE"""),"蔡依璇")</f>
        <v>蔡依璇</v>
      </c>
      <c r="D1508" s="16" t="str">
        <f>IFERROR(__xludf.DUMMYFUNCTION("""COMPUTED_VALUE"""),"109*****njh.mlc.edu.tw")</f>
        <v>109*****njh.mlc.edu.tw</v>
      </c>
      <c r="E1508" s="17" t="str">
        <f>IFERROR(__xludf.DUMMYFUNCTION("""COMPUTED_VALUE"""),"苗栗縣立竹南國民中學")</f>
        <v>苗栗縣立竹南國民中學</v>
      </c>
      <c r="F1508" s="14" t="str">
        <f>IFERROR(__xludf.DUMMYFUNCTION("""COMPUTED_VALUE"""),"九年級")</f>
        <v>九年級</v>
      </c>
      <c r="G1508" s="14" t="str">
        <f>IFERROR(__xludf.DUMMYFUNCTION("""COMPUTED_VALUE"""),"●小禮物")</f>
        <v>●小禮物</v>
      </c>
      <c r="H1508" s="8"/>
    </row>
    <row r="1509">
      <c r="A1509" s="18"/>
      <c r="B1509" s="14">
        <f>IFERROR(__xludf.DUMMYFUNCTION("""COMPUTED_VALUE"""),1204957.0)</f>
        <v>1204957</v>
      </c>
      <c r="C1509" s="14" t="str">
        <f>IFERROR(__xludf.DUMMYFUNCTION("""COMPUTED_VALUE"""),"賴新妮")</f>
        <v>賴新妮</v>
      </c>
      <c r="D1509" s="16" t="str">
        <f>IFERROR(__xludf.DUMMYFUNCTION("""COMPUTED_VALUE"""),"109*****njh.mlc.edu.tw")</f>
        <v>109*****njh.mlc.edu.tw</v>
      </c>
      <c r="E1509" s="17" t="str">
        <f>IFERROR(__xludf.DUMMYFUNCTION("""COMPUTED_VALUE"""),"苗栗縣立竹南國民中學")</f>
        <v>苗栗縣立竹南國民中學</v>
      </c>
      <c r="F1509" s="14" t="str">
        <f>IFERROR(__xludf.DUMMYFUNCTION("""COMPUTED_VALUE"""),"九年級")</f>
        <v>九年級</v>
      </c>
      <c r="G1509" s="14" t="str">
        <f>IFERROR(__xludf.DUMMYFUNCTION("""COMPUTED_VALUE"""),"●小禮物")</f>
        <v>●小禮物</v>
      </c>
      <c r="H1509" s="8"/>
    </row>
    <row r="1510">
      <c r="A1510" s="18"/>
      <c r="B1510" s="14">
        <f>IFERROR(__xludf.DUMMYFUNCTION("""COMPUTED_VALUE"""),1204976.0)</f>
        <v>1204976</v>
      </c>
      <c r="C1510" s="14" t="str">
        <f>IFERROR(__xludf.DUMMYFUNCTION("""COMPUTED_VALUE"""),"鍾百城")</f>
        <v>鍾百城</v>
      </c>
      <c r="D1510" s="16" t="str">
        <f>IFERROR(__xludf.DUMMYFUNCTION("""COMPUTED_VALUE"""),"109*****njh.mlc.edu.tw")</f>
        <v>109*****njh.mlc.edu.tw</v>
      </c>
      <c r="E1510" s="17" t="str">
        <f>IFERROR(__xludf.DUMMYFUNCTION("""COMPUTED_VALUE"""),"苗栗縣立竹南國民中學")</f>
        <v>苗栗縣立竹南國民中學</v>
      </c>
      <c r="F1510" s="14" t="str">
        <f>IFERROR(__xludf.DUMMYFUNCTION("""COMPUTED_VALUE"""),"九年級")</f>
        <v>九年級</v>
      </c>
      <c r="G1510" s="14" t="str">
        <f>IFERROR(__xludf.DUMMYFUNCTION("""COMPUTED_VALUE"""),"●小禮物")</f>
        <v>●小禮物</v>
      </c>
      <c r="H1510" s="8"/>
    </row>
    <row r="1511">
      <c r="A1511" s="18"/>
      <c r="B1511" s="14">
        <f>IFERROR(__xludf.DUMMYFUNCTION("""COMPUTED_VALUE"""),1204969.0)</f>
        <v>1204969</v>
      </c>
      <c r="C1511" s="14" t="str">
        <f>IFERROR(__xludf.DUMMYFUNCTION("""COMPUTED_VALUE"""),"蘇柏諺")</f>
        <v>蘇柏諺</v>
      </c>
      <c r="D1511" s="16" t="str">
        <f>IFERROR(__xludf.DUMMYFUNCTION("""COMPUTED_VALUE"""),"109*****njh.mlc.edu.tw")</f>
        <v>109*****njh.mlc.edu.tw</v>
      </c>
      <c r="E1511" s="17" t="str">
        <f>IFERROR(__xludf.DUMMYFUNCTION("""COMPUTED_VALUE"""),"苗栗縣立竹南國民中學")</f>
        <v>苗栗縣立竹南國民中學</v>
      </c>
      <c r="F1511" s="14" t="str">
        <f>IFERROR(__xludf.DUMMYFUNCTION("""COMPUTED_VALUE"""),"九年級")</f>
        <v>九年級</v>
      </c>
      <c r="G1511" s="14" t="str">
        <f>IFERROR(__xludf.DUMMYFUNCTION("""COMPUTED_VALUE"""),"★禮券$200")</f>
        <v>★禮券$200</v>
      </c>
      <c r="H1511" s="8"/>
    </row>
    <row r="1512">
      <c r="A1512" s="18"/>
      <c r="B1512" s="14">
        <f>IFERROR(__xludf.DUMMYFUNCTION("""COMPUTED_VALUE"""),1204980.0)</f>
        <v>1204980</v>
      </c>
      <c r="C1512" s="14" t="str">
        <f>IFERROR(__xludf.DUMMYFUNCTION("""COMPUTED_VALUE"""),"邱品榛")</f>
        <v>邱品榛</v>
      </c>
      <c r="D1512" s="16" t="str">
        <f>IFERROR(__xludf.DUMMYFUNCTION("""COMPUTED_VALUE"""),"109*****njh.mlc.edu.tw")</f>
        <v>109*****njh.mlc.edu.tw</v>
      </c>
      <c r="E1512" s="17" t="str">
        <f>IFERROR(__xludf.DUMMYFUNCTION("""COMPUTED_VALUE"""),"苗栗縣立竹南國民中學")</f>
        <v>苗栗縣立竹南國民中學</v>
      </c>
      <c r="F1512" s="14" t="str">
        <f>IFERROR(__xludf.DUMMYFUNCTION("""COMPUTED_VALUE"""),"九年級")</f>
        <v>九年級</v>
      </c>
      <c r="G1512" s="14" t="str">
        <f>IFERROR(__xludf.DUMMYFUNCTION("""COMPUTED_VALUE"""),"獎狀")</f>
        <v>獎狀</v>
      </c>
      <c r="H1512" s="8"/>
    </row>
    <row r="1513">
      <c r="A1513" s="18"/>
      <c r="B1513" s="14">
        <f>IFERROR(__xludf.DUMMYFUNCTION("""COMPUTED_VALUE"""),1205019.0)</f>
        <v>1205019</v>
      </c>
      <c r="C1513" s="14" t="str">
        <f>IFERROR(__xludf.DUMMYFUNCTION("""COMPUTED_VALUE"""),"姚沁諭")</f>
        <v>姚沁諭</v>
      </c>
      <c r="D1513" s="16" t="str">
        <f>IFERROR(__xludf.DUMMYFUNCTION("""COMPUTED_VALUE"""),"109*****njh.mlc.edu.tw")</f>
        <v>109*****njh.mlc.edu.tw</v>
      </c>
      <c r="E1513" s="17" t="str">
        <f>IFERROR(__xludf.DUMMYFUNCTION("""COMPUTED_VALUE"""),"苗栗縣立竹南國民中學")</f>
        <v>苗栗縣立竹南國民中學</v>
      </c>
      <c r="F1513" s="14" t="str">
        <f>IFERROR(__xludf.DUMMYFUNCTION("""COMPUTED_VALUE"""),"九年級")</f>
        <v>九年級</v>
      </c>
      <c r="G1513" s="14" t="str">
        <f>IFERROR(__xludf.DUMMYFUNCTION("""COMPUTED_VALUE"""),"獎狀")</f>
        <v>獎狀</v>
      </c>
      <c r="H1513" s="8"/>
    </row>
    <row r="1514">
      <c r="A1514" s="18"/>
      <c r="B1514" s="14">
        <f>IFERROR(__xludf.DUMMYFUNCTION("""COMPUTED_VALUE"""),1204965.0)</f>
        <v>1204965</v>
      </c>
      <c r="C1514" s="14" t="str">
        <f>IFERROR(__xludf.DUMMYFUNCTION("""COMPUTED_VALUE"""),"洪研修")</f>
        <v>洪研修</v>
      </c>
      <c r="D1514" s="16" t="str">
        <f>IFERROR(__xludf.DUMMYFUNCTION("""COMPUTED_VALUE"""),"109*****njh.mlc.edu.tw")</f>
        <v>109*****njh.mlc.edu.tw</v>
      </c>
      <c r="E1514" s="17" t="str">
        <f>IFERROR(__xludf.DUMMYFUNCTION("""COMPUTED_VALUE"""),"苗栗縣立竹南國民中學")</f>
        <v>苗栗縣立竹南國民中學</v>
      </c>
      <c r="F1514" s="14" t="str">
        <f>IFERROR(__xludf.DUMMYFUNCTION("""COMPUTED_VALUE"""),"九年級")</f>
        <v>九年級</v>
      </c>
      <c r="G1514" s="14" t="str">
        <f>IFERROR(__xludf.DUMMYFUNCTION("""COMPUTED_VALUE"""),"獎狀")</f>
        <v>獎狀</v>
      </c>
      <c r="H1514" s="8"/>
    </row>
    <row r="1515">
      <c r="A1515" s="18"/>
      <c r="B1515" s="14">
        <f>IFERROR(__xludf.DUMMYFUNCTION("""COMPUTED_VALUE"""),1204978.0)</f>
        <v>1204978</v>
      </c>
      <c r="C1515" s="14" t="str">
        <f>IFERROR(__xludf.DUMMYFUNCTION("""COMPUTED_VALUE"""),"莊主兒")</f>
        <v>莊主兒</v>
      </c>
      <c r="D1515" s="16" t="str">
        <f>IFERROR(__xludf.DUMMYFUNCTION("""COMPUTED_VALUE"""),"109*****njh.mlc.edu.tw")</f>
        <v>109*****njh.mlc.edu.tw</v>
      </c>
      <c r="E1515" s="17" t="str">
        <f>IFERROR(__xludf.DUMMYFUNCTION("""COMPUTED_VALUE"""),"苗栗縣立竹南國民中學")</f>
        <v>苗栗縣立竹南國民中學</v>
      </c>
      <c r="F1515" s="14" t="str">
        <f>IFERROR(__xludf.DUMMYFUNCTION("""COMPUTED_VALUE"""),"九年級")</f>
        <v>九年級</v>
      </c>
      <c r="G1515" s="14" t="str">
        <f>IFERROR(__xludf.DUMMYFUNCTION("""COMPUTED_VALUE"""),"獎狀")</f>
        <v>獎狀</v>
      </c>
      <c r="H1515" s="8"/>
    </row>
    <row r="1516">
      <c r="A1516" s="18"/>
      <c r="B1516" s="14">
        <f>IFERROR(__xludf.DUMMYFUNCTION("""COMPUTED_VALUE"""),1205005.0)</f>
        <v>1205005</v>
      </c>
      <c r="C1516" s="14" t="str">
        <f>IFERROR(__xludf.DUMMYFUNCTION("""COMPUTED_VALUE"""),"陳擘恩")</f>
        <v>陳擘恩</v>
      </c>
      <c r="D1516" s="16" t="str">
        <f>IFERROR(__xludf.DUMMYFUNCTION("""COMPUTED_VALUE"""),"109*****njh.mlc.edu.tw")</f>
        <v>109*****njh.mlc.edu.tw</v>
      </c>
      <c r="E1516" s="17" t="str">
        <f>IFERROR(__xludf.DUMMYFUNCTION("""COMPUTED_VALUE"""),"苗栗縣立竹南國民中學")</f>
        <v>苗栗縣立竹南國民中學</v>
      </c>
      <c r="F1516" s="14" t="str">
        <f>IFERROR(__xludf.DUMMYFUNCTION("""COMPUTED_VALUE"""),"九年級")</f>
        <v>九年級</v>
      </c>
      <c r="G1516" s="14" t="str">
        <f>IFERROR(__xludf.DUMMYFUNCTION("""COMPUTED_VALUE"""),"獎狀")</f>
        <v>獎狀</v>
      </c>
      <c r="H1516" s="8"/>
    </row>
    <row r="1517">
      <c r="A1517" s="18"/>
      <c r="B1517" s="14">
        <f>IFERROR(__xludf.DUMMYFUNCTION("""COMPUTED_VALUE"""),1204968.0)</f>
        <v>1204968</v>
      </c>
      <c r="C1517" s="14" t="str">
        <f>IFERROR(__xludf.DUMMYFUNCTION("""COMPUTED_VALUE"""),"謝昕達")</f>
        <v>謝昕達</v>
      </c>
      <c r="D1517" s="16" t="str">
        <f>IFERROR(__xludf.DUMMYFUNCTION("""COMPUTED_VALUE"""),"109*****njh.mlc.edu.tw")</f>
        <v>109*****njh.mlc.edu.tw</v>
      </c>
      <c r="E1517" s="17" t="str">
        <f>IFERROR(__xludf.DUMMYFUNCTION("""COMPUTED_VALUE"""),"苗栗縣立竹南國民中學")</f>
        <v>苗栗縣立竹南國民中學</v>
      </c>
      <c r="F1517" s="14" t="str">
        <f>IFERROR(__xludf.DUMMYFUNCTION("""COMPUTED_VALUE"""),"九年級")</f>
        <v>九年級</v>
      </c>
      <c r="G1517" s="14" t="str">
        <f>IFERROR(__xludf.DUMMYFUNCTION("""COMPUTED_VALUE"""),"獎狀")</f>
        <v>獎狀</v>
      </c>
      <c r="H1517" s="8"/>
    </row>
    <row r="1518">
      <c r="A1518" s="18"/>
      <c r="B1518" s="14">
        <f>IFERROR(__xludf.DUMMYFUNCTION("""COMPUTED_VALUE"""),875371.0)</f>
        <v>875371</v>
      </c>
      <c r="C1518" s="14" t="str">
        <f>IFERROR(__xludf.DUMMYFUNCTION("""COMPUTED_VALUE"""),"方彥博")</f>
        <v>方彥博</v>
      </c>
      <c r="D1518" s="16" t="str">
        <f>IFERROR(__xludf.DUMMYFUNCTION("""COMPUTED_VALUE"""),"109*****njh.mlc.edu.tw")</f>
        <v>109*****njh.mlc.edu.tw</v>
      </c>
      <c r="E1518" s="17" t="str">
        <f>IFERROR(__xludf.DUMMYFUNCTION("""COMPUTED_VALUE"""),"苗栗縣立竹南國民中學")</f>
        <v>苗栗縣立竹南國民中學</v>
      </c>
      <c r="F1518" s="14" t="str">
        <f>IFERROR(__xludf.DUMMYFUNCTION("""COMPUTED_VALUE"""),"九年級")</f>
        <v>九年級</v>
      </c>
      <c r="G1518" s="14" t="str">
        <f>IFERROR(__xludf.DUMMYFUNCTION("""COMPUTED_VALUE"""),"●小禮物")</f>
        <v>●小禮物</v>
      </c>
      <c r="H1518" s="8"/>
    </row>
    <row r="1519">
      <c r="A1519" s="18"/>
      <c r="B1519" s="14">
        <f>IFERROR(__xludf.DUMMYFUNCTION("""COMPUTED_VALUE"""),875508.0)</f>
        <v>875508</v>
      </c>
      <c r="C1519" s="14" t="str">
        <f>IFERROR(__xludf.DUMMYFUNCTION("""COMPUTED_VALUE"""),"林晏亭")</f>
        <v>林晏亭</v>
      </c>
      <c r="D1519" s="16" t="str">
        <f>IFERROR(__xludf.DUMMYFUNCTION("""COMPUTED_VALUE"""),"109*****njh.mlc.edu.tw")</f>
        <v>109*****njh.mlc.edu.tw</v>
      </c>
      <c r="E1519" s="17" t="str">
        <f>IFERROR(__xludf.DUMMYFUNCTION("""COMPUTED_VALUE"""),"苗栗縣立竹南國民中學")</f>
        <v>苗栗縣立竹南國民中學</v>
      </c>
      <c r="F1519" s="14" t="str">
        <f>IFERROR(__xludf.DUMMYFUNCTION("""COMPUTED_VALUE"""),"九年級")</f>
        <v>九年級</v>
      </c>
      <c r="G1519" s="14" t="str">
        <f>IFERROR(__xludf.DUMMYFUNCTION("""COMPUTED_VALUE"""),"●小禮物")</f>
        <v>●小禮物</v>
      </c>
      <c r="H1519" s="8"/>
    </row>
    <row r="1520">
      <c r="A1520" s="18"/>
      <c r="B1520" s="14">
        <f>IFERROR(__xludf.DUMMYFUNCTION("""COMPUTED_VALUE"""),875456.0)</f>
        <v>875456</v>
      </c>
      <c r="C1520" s="14" t="str">
        <f>IFERROR(__xludf.DUMMYFUNCTION("""COMPUTED_VALUE"""),"林鼎鈞")</f>
        <v>林鼎鈞</v>
      </c>
      <c r="D1520" s="16" t="str">
        <f>IFERROR(__xludf.DUMMYFUNCTION("""COMPUTED_VALUE"""),"109*****njh.mlc.edu.tw")</f>
        <v>109*****njh.mlc.edu.tw</v>
      </c>
      <c r="E1520" s="17" t="str">
        <f>IFERROR(__xludf.DUMMYFUNCTION("""COMPUTED_VALUE"""),"苗栗縣立竹南國民中學")</f>
        <v>苗栗縣立竹南國民中學</v>
      </c>
      <c r="F1520" s="14" t="str">
        <f>IFERROR(__xludf.DUMMYFUNCTION("""COMPUTED_VALUE"""),"九年級")</f>
        <v>九年級</v>
      </c>
      <c r="G1520" s="14" t="str">
        <f>IFERROR(__xludf.DUMMYFUNCTION("""COMPUTED_VALUE"""),"●小禮物")</f>
        <v>●小禮物</v>
      </c>
      <c r="H1520" s="8"/>
    </row>
    <row r="1521">
      <c r="A1521" s="18"/>
      <c r="B1521" s="14">
        <f>IFERROR(__xludf.DUMMYFUNCTION("""COMPUTED_VALUE"""),875468.0)</f>
        <v>875468</v>
      </c>
      <c r="C1521" s="14" t="str">
        <f>IFERROR(__xludf.DUMMYFUNCTION("""COMPUTED_VALUE"""),"陳姿妘")</f>
        <v>陳姿妘</v>
      </c>
      <c r="D1521" s="16" t="str">
        <f>IFERROR(__xludf.DUMMYFUNCTION("""COMPUTED_VALUE"""),"109*****njh.mlc.edu.tw")</f>
        <v>109*****njh.mlc.edu.tw</v>
      </c>
      <c r="E1521" s="17" t="str">
        <f>IFERROR(__xludf.DUMMYFUNCTION("""COMPUTED_VALUE"""),"苗栗縣立竹南國民中學")</f>
        <v>苗栗縣立竹南國民中學</v>
      </c>
      <c r="F1521" s="14" t="str">
        <f>IFERROR(__xludf.DUMMYFUNCTION("""COMPUTED_VALUE"""),"九年級")</f>
        <v>九年級</v>
      </c>
      <c r="G1521" s="14" t="str">
        <f>IFERROR(__xludf.DUMMYFUNCTION("""COMPUTED_VALUE"""),"●小禮物")</f>
        <v>●小禮物</v>
      </c>
      <c r="H1521" s="8"/>
    </row>
    <row r="1522">
      <c r="A1522" s="18"/>
      <c r="B1522" s="14">
        <f>IFERROR(__xludf.DUMMYFUNCTION("""COMPUTED_VALUE"""),1205173.0)</f>
        <v>1205173</v>
      </c>
      <c r="C1522" s="14" t="str">
        <f>IFERROR(__xludf.DUMMYFUNCTION("""COMPUTED_VALUE"""),"黃柏鈞")</f>
        <v>黃柏鈞</v>
      </c>
      <c r="D1522" s="16" t="str">
        <f>IFERROR(__xludf.DUMMYFUNCTION("""COMPUTED_VALUE"""),"109*****njh.mlc.edu.tw")</f>
        <v>109*****njh.mlc.edu.tw</v>
      </c>
      <c r="E1522" s="17" t="str">
        <f>IFERROR(__xludf.DUMMYFUNCTION("""COMPUTED_VALUE"""),"苗栗縣立竹南國民中學")</f>
        <v>苗栗縣立竹南國民中學</v>
      </c>
      <c r="F1522" s="14" t="str">
        <f>IFERROR(__xludf.DUMMYFUNCTION("""COMPUTED_VALUE"""),"九年級")</f>
        <v>九年級</v>
      </c>
      <c r="G1522" s="14" t="str">
        <f>IFERROR(__xludf.DUMMYFUNCTION("""COMPUTED_VALUE"""),"●小禮物")</f>
        <v>●小禮物</v>
      </c>
      <c r="H1522" s="8"/>
    </row>
    <row r="1523">
      <c r="A1523" s="18"/>
      <c r="B1523" s="14">
        <f>IFERROR(__xludf.DUMMYFUNCTION("""COMPUTED_VALUE"""),875367.0)</f>
        <v>875367</v>
      </c>
      <c r="C1523" s="14" t="str">
        <f>IFERROR(__xludf.DUMMYFUNCTION("""COMPUTED_VALUE"""),"鄭允傑")</f>
        <v>鄭允傑</v>
      </c>
      <c r="D1523" s="16" t="str">
        <f>IFERROR(__xludf.DUMMYFUNCTION("""COMPUTED_VALUE"""),"109*****njh.mlc.edu.tw")</f>
        <v>109*****njh.mlc.edu.tw</v>
      </c>
      <c r="E1523" s="17" t="str">
        <f>IFERROR(__xludf.DUMMYFUNCTION("""COMPUTED_VALUE"""),"苗栗縣立竹南國民中學")</f>
        <v>苗栗縣立竹南國民中學</v>
      </c>
      <c r="F1523" s="14" t="str">
        <f>IFERROR(__xludf.DUMMYFUNCTION("""COMPUTED_VALUE"""),"九年級")</f>
        <v>九年級</v>
      </c>
      <c r="G1523" s="14" t="str">
        <f>IFERROR(__xludf.DUMMYFUNCTION("""COMPUTED_VALUE"""),"●小禮物")</f>
        <v>●小禮物</v>
      </c>
      <c r="H1523" s="8"/>
    </row>
    <row r="1524">
      <c r="A1524" s="18"/>
      <c r="B1524" s="14">
        <f>IFERROR(__xludf.DUMMYFUNCTION("""COMPUTED_VALUE"""),875457.0)</f>
        <v>875457</v>
      </c>
      <c r="C1524" s="14" t="str">
        <f>IFERROR(__xludf.DUMMYFUNCTION("""COMPUTED_VALUE"""),"姜翔文")</f>
        <v>姜翔文</v>
      </c>
      <c r="D1524" s="16" t="str">
        <f>IFERROR(__xludf.DUMMYFUNCTION("""COMPUTED_VALUE"""),"109*****njh.mlc.edu.tw")</f>
        <v>109*****njh.mlc.edu.tw</v>
      </c>
      <c r="E1524" s="17" t="str">
        <f>IFERROR(__xludf.DUMMYFUNCTION("""COMPUTED_VALUE"""),"苗栗縣立竹南國民中學")</f>
        <v>苗栗縣立竹南國民中學</v>
      </c>
      <c r="F1524" s="14" t="str">
        <f>IFERROR(__xludf.DUMMYFUNCTION("""COMPUTED_VALUE"""),"九年級")</f>
        <v>九年級</v>
      </c>
      <c r="G1524" s="14" t="str">
        <f>IFERROR(__xludf.DUMMYFUNCTION("""COMPUTED_VALUE"""),"獎狀")</f>
        <v>獎狀</v>
      </c>
      <c r="H1524" s="8"/>
    </row>
    <row r="1525">
      <c r="A1525" s="18"/>
      <c r="B1525" s="14">
        <f>IFERROR(__xludf.DUMMYFUNCTION("""COMPUTED_VALUE"""),875450.0)</f>
        <v>875450</v>
      </c>
      <c r="C1525" s="14" t="str">
        <f>IFERROR(__xludf.DUMMYFUNCTION("""COMPUTED_VALUE"""),"陳俞臻")</f>
        <v>陳俞臻</v>
      </c>
      <c r="D1525" s="16" t="str">
        <f>IFERROR(__xludf.DUMMYFUNCTION("""COMPUTED_VALUE"""),"109*****njh.mlc.edu.tw")</f>
        <v>109*****njh.mlc.edu.tw</v>
      </c>
      <c r="E1525" s="17" t="str">
        <f>IFERROR(__xludf.DUMMYFUNCTION("""COMPUTED_VALUE"""),"苗栗縣立竹南國民中學")</f>
        <v>苗栗縣立竹南國民中學</v>
      </c>
      <c r="F1525" s="14" t="str">
        <f>IFERROR(__xludf.DUMMYFUNCTION("""COMPUTED_VALUE"""),"九年級")</f>
        <v>九年級</v>
      </c>
      <c r="G1525" s="14" t="str">
        <f>IFERROR(__xludf.DUMMYFUNCTION("""COMPUTED_VALUE"""),"獎狀")</f>
        <v>獎狀</v>
      </c>
      <c r="H1525" s="8"/>
    </row>
    <row r="1526">
      <c r="A1526" s="18"/>
      <c r="B1526" s="14">
        <f>IFERROR(__xludf.DUMMYFUNCTION("""COMPUTED_VALUE"""),1029991.0)</f>
        <v>1029991</v>
      </c>
      <c r="C1526" s="14" t="str">
        <f>IFERROR(__xludf.DUMMYFUNCTION("""COMPUTED_VALUE"""),"陳郁恩")</f>
        <v>陳郁恩</v>
      </c>
      <c r="D1526" s="16" t="str">
        <f>IFERROR(__xludf.DUMMYFUNCTION("""COMPUTED_VALUE"""),"109*****njh.mlc.edu.tw")</f>
        <v>109*****njh.mlc.edu.tw</v>
      </c>
      <c r="E1526" s="17" t="str">
        <f>IFERROR(__xludf.DUMMYFUNCTION("""COMPUTED_VALUE"""),"苗栗縣立竹南國民中學")</f>
        <v>苗栗縣立竹南國民中學</v>
      </c>
      <c r="F1526" s="14" t="str">
        <f>IFERROR(__xludf.DUMMYFUNCTION("""COMPUTED_VALUE"""),"九年級")</f>
        <v>九年級</v>
      </c>
      <c r="G1526" s="14" t="str">
        <f>IFERROR(__xludf.DUMMYFUNCTION("""COMPUTED_VALUE"""),"獎狀")</f>
        <v>獎狀</v>
      </c>
      <c r="H1526" s="8"/>
    </row>
    <row r="1527">
      <c r="A1527" s="18"/>
      <c r="B1527" s="14">
        <f>IFERROR(__xludf.DUMMYFUNCTION("""COMPUTED_VALUE"""),881628.0)</f>
        <v>881628</v>
      </c>
      <c r="C1527" s="14" t="str">
        <f>IFERROR(__xludf.DUMMYFUNCTION("""COMPUTED_VALUE"""),"林宥瑋")</f>
        <v>林宥瑋</v>
      </c>
      <c r="D1527" s="16" t="str">
        <f>IFERROR(__xludf.DUMMYFUNCTION("""COMPUTED_VALUE"""),"109*****njh.mlc.edu.tw")</f>
        <v>109*****njh.mlc.edu.tw</v>
      </c>
      <c r="E1527" s="17" t="str">
        <f>IFERROR(__xludf.DUMMYFUNCTION("""COMPUTED_VALUE"""),"苗栗縣立竹南國民中學")</f>
        <v>苗栗縣立竹南國民中學</v>
      </c>
      <c r="F1527" s="14" t="str">
        <f>IFERROR(__xludf.DUMMYFUNCTION("""COMPUTED_VALUE"""),"九年級")</f>
        <v>九年級</v>
      </c>
      <c r="G1527" s="14" t="str">
        <f>IFERROR(__xludf.DUMMYFUNCTION("""COMPUTED_VALUE"""),"●小禮物")</f>
        <v>●小禮物</v>
      </c>
      <c r="H1527" s="8"/>
    </row>
    <row r="1528">
      <c r="A1528" s="18"/>
      <c r="B1528" s="14">
        <f>IFERROR(__xludf.DUMMYFUNCTION("""COMPUTED_VALUE"""),881641.0)</f>
        <v>881641</v>
      </c>
      <c r="C1528" s="14" t="str">
        <f>IFERROR(__xludf.DUMMYFUNCTION("""COMPUTED_VALUE"""),"林靖恩")</f>
        <v>林靖恩</v>
      </c>
      <c r="D1528" s="16" t="str">
        <f>IFERROR(__xludf.DUMMYFUNCTION("""COMPUTED_VALUE"""),"109*****njh.mlc.edu.tw")</f>
        <v>109*****njh.mlc.edu.tw</v>
      </c>
      <c r="E1528" s="17" t="str">
        <f>IFERROR(__xludf.DUMMYFUNCTION("""COMPUTED_VALUE"""),"苗栗縣立竹南國民中學")</f>
        <v>苗栗縣立竹南國民中學</v>
      </c>
      <c r="F1528" s="14" t="str">
        <f>IFERROR(__xludf.DUMMYFUNCTION("""COMPUTED_VALUE"""),"九年級")</f>
        <v>九年級</v>
      </c>
      <c r="G1528" s="14" t="str">
        <f>IFERROR(__xludf.DUMMYFUNCTION("""COMPUTED_VALUE"""),"●小禮物")</f>
        <v>●小禮物</v>
      </c>
      <c r="H1528" s="8"/>
    </row>
    <row r="1529">
      <c r="A1529" s="18"/>
      <c r="B1529" s="14">
        <f>IFERROR(__xludf.DUMMYFUNCTION("""COMPUTED_VALUE"""),881635.0)</f>
        <v>881635</v>
      </c>
      <c r="C1529" s="14" t="str">
        <f>IFERROR(__xludf.DUMMYFUNCTION("""COMPUTED_VALUE"""),"許奕俊")</f>
        <v>許奕俊</v>
      </c>
      <c r="D1529" s="16" t="str">
        <f>IFERROR(__xludf.DUMMYFUNCTION("""COMPUTED_VALUE"""),"109*****njh.mlc.edu.tw")</f>
        <v>109*****njh.mlc.edu.tw</v>
      </c>
      <c r="E1529" s="17" t="str">
        <f>IFERROR(__xludf.DUMMYFUNCTION("""COMPUTED_VALUE"""),"苗栗縣立竹南國民中學")</f>
        <v>苗栗縣立竹南國民中學</v>
      </c>
      <c r="F1529" s="14" t="str">
        <f>IFERROR(__xludf.DUMMYFUNCTION("""COMPUTED_VALUE"""),"九年級")</f>
        <v>九年級</v>
      </c>
      <c r="G1529" s="14" t="str">
        <f>IFERROR(__xludf.DUMMYFUNCTION("""COMPUTED_VALUE"""),"●小禮物")</f>
        <v>●小禮物</v>
      </c>
      <c r="H1529" s="8"/>
    </row>
    <row r="1530">
      <c r="A1530" s="18"/>
      <c r="B1530" s="14">
        <f>IFERROR(__xludf.DUMMYFUNCTION("""COMPUTED_VALUE"""),881626.0)</f>
        <v>881626</v>
      </c>
      <c r="C1530" s="14" t="str">
        <f>IFERROR(__xludf.DUMMYFUNCTION("""COMPUTED_VALUE"""),"鄭湘錞")</f>
        <v>鄭湘錞</v>
      </c>
      <c r="D1530" s="16" t="str">
        <f>IFERROR(__xludf.DUMMYFUNCTION("""COMPUTED_VALUE"""),"109*****njh.mlc.edu.tw")</f>
        <v>109*****njh.mlc.edu.tw</v>
      </c>
      <c r="E1530" s="17" t="str">
        <f>IFERROR(__xludf.DUMMYFUNCTION("""COMPUTED_VALUE"""),"苗栗縣立竹南國民中學")</f>
        <v>苗栗縣立竹南國民中學</v>
      </c>
      <c r="F1530" s="14" t="str">
        <f>IFERROR(__xludf.DUMMYFUNCTION("""COMPUTED_VALUE"""),"九年級")</f>
        <v>九年級</v>
      </c>
      <c r="G1530" s="14" t="str">
        <f>IFERROR(__xludf.DUMMYFUNCTION("""COMPUTED_VALUE"""),"●小禮物")</f>
        <v>●小禮物</v>
      </c>
      <c r="H1530" s="8"/>
    </row>
    <row r="1531">
      <c r="A1531" s="18"/>
      <c r="B1531" s="14">
        <f>IFERROR(__xludf.DUMMYFUNCTION("""COMPUTED_VALUE"""),1203298.0)</f>
        <v>1203298</v>
      </c>
      <c r="C1531" s="14" t="str">
        <f>IFERROR(__xludf.DUMMYFUNCTION("""COMPUTED_VALUE"""),"李佩宸")</f>
        <v>李佩宸</v>
      </c>
      <c r="D1531" s="16" t="str">
        <f>IFERROR(__xludf.DUMMYFUNCTION("""COMPUTED_VALUE"""),"109*****njh.mlc.edu.tw")</f>
        <v>109*****njh.mlc.edu.tw</v>
      </c>
      <c r="E1531" s="17" t="str">
        <f>IFERROR(__xludf.DUMMYFUNCTION("""COMPUTED_VALUE"""),"苗栗縣立竹南國民中學")</f>
        <v>苗栗縣立竹南國民中學</v>
      </c>
      <c r="F1531" s="14" t="str">
        <f>IFERROR(__xludf.DUMMYFUNCTION("""COMPUTED_VALUE"""),"九年級")</f>
        <v>九年級</v>
      </c>
      <c r="G1531" s="14" t="str">
        <f>IFERROR(__xludf.DUMMYFUNCTION("""COMPUTED_VALUE"""),"獎狀")</f>
        <v>獎狀</v>
      </c>
      <c r="H1531" s="8"/>
    </row>
    <row r="1532">
      <c r="A1532" s="18"/>
      <c r="B1532" s="14">
        <f>IFERROR(__xludf.DUMMYFUNCTION("""COMPUTED_VALUE"""),881603.0)</f>
        <v>881603</v>
      </c>
      <c r="C1532" s="14" t="str">
        <f>IFERROR(__xludf.DUMMYFUNCTION("""COMPUTED_VALUE"""),"沈彥辰")</f>
        <v>沈彥辰</v>
      </c>
      <c r="D1532" s="16" t="str">
        <f>IFERROR(__xludf.DUMMYFUNCTION("""COMPUTED_VALUE"""),"109*****njh.mlc.edu.tw")</f>
        <v>109*****njh.mlc.edu.tw</v>
      </c>
      <c r="E1532" s="17" t="str">
        <f>IFERROR(__xludf.DUMMYFUNCTION("""COMPUTED_VALUE"""),"苗栗縣立竹南國民中學")</f>
        <v>苗栗縣立竹南國民中學</v>
      </c>
      <c r="F1532" s="14" t="str">
        <f>IFERROR(__xludf.DUMMYFUNCTION("""COMPUTED_VALUE"""),"九年級")</f>
        <v>九年級</v>
      </c>
      <c r="G1532" s="14" t="str">
        <f>IFERROR(__xludf.DUMMYFUNCTION("""COMPUTED_VALUE"""),"獎狀")</f>
        <v>獎狀</v>
      </c>
      <c r="H1532" s="8"/>
    </row>
    <row r="1533">
      <c r="A1533" s="18"/>
      <c r="B1533" s="14">
        <f>IFERROR(__xludf.DUMMYFUNCTION("""COMPUTED_VALUE"""),881627.0)</f>
        <v>881627</v>
      </c>
      <c r="C1533" s="14" t="str">
        <f>IFERROR(__xludf.DUMMYFUNCTION("""COMPUTED_VALUE"""),"張兆翔")</f>
        <v>張兆翔</v>
      </c>
      <c r="D1533" s="16" t="str">
        <f>IFERROR(__xludf.DUMMYFUNCTION("""COMPUTED_VALUE"""),"109*****njh.mlc.edu.tw")</f>
        <v>109*****njh.mlc.edu.tw</v>
      </c>
      <c r="E1533" s="17" t="str">
        <f>IFERROR(__xludf.DUMMYFUNCTION("""COMPUTED_VALUE"""),"苗栗縣立竹南國民中學")</f>
        <v>苗栗縣立竹南國民中學</v>
      </c>
      <c r="F1533" s="14" t="str">
        <f>IFERROR(__xludf.DUMMYFUNCTION("""COMPUTED_VALUE"""),"九年級")</f>
        <v>九年級</v>
      </c>
      <c r="G1533" s="14" t="str">
        <f>IFERROR(__xludf.DUMMYFUNCTION("""COMPUTED_VALUE"""),"獎狀")</f>
        <v>獎狀</v>
      </c>
      <c r="H1533" s="8"/>
    </row>
    <row r="1534">
      <c r="A1534" s="18"/>
      <c r="B1534" s="14">
        <f>IFERROR(__xludf.DUMMYFUNCTION("""COMPUTED_VALUE"""),881625.0)</f>
        <v>881625</v>
      </c>
      <c r="C1534" s="14" t="str">
        <f>IFERROR(__xludf.DUMMYFUNCTION("""COMPUTED_VALUE"""),"陳依昕")</f>
        <v>陳依昕</v>
      </c>
      <c r="D1534" s="16" t="str">
        <f>IFERROR(__xludf.DUMMYFUNCTION("""COMPUTED_VALUE"""),"109*****njh.mlc.edu.tw")</f>
        <v>109*****njh.mlc.edu.tw</v>
      </c>
      <c r="E1534" s="17" t="str">
        <f>IFERROR(__xludf.DUMMYFUNCTION("""COMPUTED_VALUE"""),"苗栗縣立竹南國民中學")</f>
        <v>苗栗縣立竹南國民中學</v>
      </c>
      <c r="F1534" s="14" t="str">
        <f>IFERROR(__xludf.DUMMYFUNCTION("""COMPUTED_VALUE"""),"九年級")</f>
        <v>九年級</v>
      </c>
      <c r="G1534" s="14" t="str">
        <f>IFERROR(__xludf.DUMMYFUNCTION("""COMPUTED_VALUE"""),"獎狀")</f>
        <v>獎狀</v>
      </c>
      <c r="H1534" s="8"/>
    </row>
    <row r="1535">
      <c r="A1535" s="18"/>
      <c r="B1535" s="14">
        <f>IFERROR(__xludf.DUMMYFUNCTION("""COMPUTED_VALUE"""),881642.0)</f>
        <v>881642</v>
      </c>
      <c r="C1535" s="14" t="str">
        <f>IFERROR(__xludf.DUMMYFUNCTION("""COMPUTED_VALUE"""),"葉舒嫺")</f>
        <v>葉舒嫺</v>
      </c>
      <c r="D1535" s="16" t="str">
        <f>IFERROR(__xludf.DUMMYFUNCTION("""COMPUTED_VALUE"""),"109*****njh.mlc.edu.tw")</f>
        <v>109*****njh.mlc.edu.tw</v>
      </c>
      <c r="E1535" s="17" t="str">
        <f>IFERROR(__xludf.DUMMYFUNCTION("""COMPUTED_VALUE"""),"苗栗縣立竹南國民中學")</f>
        <v>苗栗縣立竹南國民中學</v>
      </c>
      <c r="F1535" s="14" t="str">
        <f>IFERROR(__xludf.DUMMYFUNCTION("""COMPUTED_VALUE"""),"九年級")</f>
        <v>九年級</v>
      </c>
      <c r="G1535" s="14" t="str">
        <f>IFERROR(__xludf.DUMMYFUNCTION("""COMPUTED_VALUE"""),"獎狀")</f>
        <v>獎狀</v>
      </c>
      <c r="H1535" s="8"/>
    </row>
    <row r="1536">
      <c r="A1536" s="18"/>
      <c r="B1536" s="14">
        <f>IFERROR(__xludf.DUMMYFUNCTION("""COMPUTED_VALUE"""),1031932.0)</f>
        <v>1031932</v>
      </c>
      <c r="C1536" s="14" t="str">
        <f>IFERROR(__xludf.DUMMYFUNCTION("""COMPUTED_VALUE"""),"王楷學")</f>
        <v>王楷學</v>
      </c>
      <c r="D1536" s="16" t="str">
        <f>IFERROR(__xludf.DUMMYFUNCTION("""COMPUTED_VALUE"""),"109*****njh.mlc.edu.tw")</f>
        <v>109*****njh.mlc.edu.tw</v>
      </c>
      <c r="E1536" s="17" t="str">
        <f>IFERROR(__xludf.DUMMYFUNCTION("""COMPUTED_VALUE"""),"苗栗縣立竹南國民中學")</f>
        <v>苗栗縣立竹南國民中學</v>
      </c>
      <c r="F1536" s="14" t="str">
        <f>IFERROR(__xludf.DUMMYFUNCTION("""COMPUTED_VALUE"""),"九年級")</f>
        <v>九年級</v>
      </c>
      <c r="G1536" s="14" t="str">
        <f>IFERROR(__xludf.DUMMYFUNCTION("""COMPUTED_VALUE"""),"獎狀")</f>
        <v>獎狀</v>
      </c>
      <c r="H1536" s="8"/>
    </row>
    <row r="1537">
      <c r="A1537" s="18"/>
      <c r="B1537" s="14">
        <f>IFERROR(__xludf.DUMMYFUNCTION("""COMPUTED_VALUE"""),1199759.0)</f>
        <v>1199759</v>
      </c>
      <c r="C1537" s="14" t="str">
        <f>IFERROR(__xludf.DUMMYFUNCTION("""COMPUTED_VALUE"""),"黃瑋傑")</f>
        <v>黃瑋傑</v>
      </c>
      <c r="D1537" s="16" t="str">
        <f>IFERROR(__xludf.DUMMYFUNCTION("""COMPUTED_VALUE"""),"109*****njh.mlc.edu.tw")</f>
        <v>109*****njh.mlc.edu.tw</v>
      </c>
      <c r="E1537" s="17" t="str">
        <f>IFERROR(__xludf.DUMMYFUNCTION("""COMPUTED_VALUE"""),"苗栗縣立竹南國民中學")</f>
        <v>苗栗縣立竹南國民中學</v>
      </c>
      <c r="F1537" s="14" t="str">
        <f>IFERROR(__xludf.DUMMYFUNCTION("""COMPUTED_VALUE"""),"九年級")</f>
        <v>九年級</v>
      </c>
      <c r="G1537" s="14" t="str">
        <f>IFERROR(__xludf.DUMMYFUNCTION("""COMPUTED_VALUE"""),"獎狀")</f>
        <v>獎狀</v>
      </c>
      <c r="H1537" s="8"/>
    </row>
    <row r="1538">
      <c r="A1538" s="18"/>
      <c r="B1538" s="14">
        <f>IFERROR(__xludf.DUMMYFUNCTION("""COMPUTED_VALUE"""),1199778.0)</f>
        <v>1199778</v>
      </c>
      <c r="C1538" s="14" t="str">
        <f>IFERROR(__xludf.DUMMYFUNCTION("""COMPUTED_VALUE"""),"劉哲瑋")</f>
        <v>劉哲瑋</v>
      </c>
      <c r="D1538" s="16" t="str">
        <f>IFERROR(__xludf.DUMMYFUNCTION("""COMPUTED_VALUE"""),"109*****njh.mlc.edu.tw")</f>
        <v>109*****njh.mlc.edu.tw</v>
      </c>
      <c r="E1538" s="17" t="str">
        <f>IFERROR(__xludf.DUMMYFUNCTION("""COMPUTED_VALUE"""),"苗栗縣立竹南國民中學")</f>
        <v>苗栗縣立竹南國民中學</v>
      </c>
      <c r="F1538" s="14" t="str">
        <f>IFERROR(__xludf.DUMMYFUNCTION("""COMPUTED_VALUE"""),"九年級")</f>
        <v>九年級</v>
      </c>
      <c r="G1538" s="14" t="str">
        <f>IFERROR(__xludf.DUMMYFUNCTION("""COMPUTED_VALUE"""),"獎狀")</f>
        <v>獎狀</v>
      </c>
      <c r="H1538" s="8"/>
    </row>
    <row r="1539">
      <c r="A1539" s="18"/>
      <c r="B1539" s="14">
        <f>IFERROR(__xludf.DUMMYFUNCTION("""COMPUTED_VALUE"""),1199760.0)</f>
        <v>1199760</v>
      </c>
      <c r="C1539" s="14" t="str">
        <f>IFERROR(__xludf.DUMMYFUNCTION("""COMPUTED_VALUE"""),"鄭竣璟")</f>
        <v>鄭竣璟</v>
      </c>
      <c r="D1539" s="16" t="str">
        <f>IFERROR(__xludf.DUMMYFUNCTION("""COMPUTED_VALUE"""),"109*****njh.mlc.edu.tw")</f>
        <v>109*****njh.mlc.edu.tw</v>
      </c>
      <c r="E1539" s="17" t="str">
        <f>IFERROR(__xludf.DUMMYFUNCTION("""COMPUTED_VALUE"""),"苗栗縣立竹南國民中學")</f>
        <v>苗栗縣立竹南國民中學</v>
      </c>
      <c r="F1539" s="14" t="str">
        <f>IFERROR(__xludf.DUMMYFUNCTION("""COMPUTED_VALUE"""),"九年級")</f>
        <v>九年級</v>
      </c>
      <c r="G1539" s="14" t="str">
        <f>IFERROR(__xludf.DUMMYFUNCTION("""COMPUTED_VALUE"""),"獎狀")</f>
        <v>獎狀</v>
      </c>
      <c r="H1539" s="8"/>
    </row>
    <row r="1540">
      <c r="A1540" s="18"/>
      <c r="B1540" s="14">
        <f>IFERROR(__xludf.DUMMYFUNCTION("""COMPUTED_VALUE"""),712454.0)</f>
        <v>712454</v>
      </c>
      <c r="C1540" s="14" t="str">
        <f>IFERROR(__xludf.DUMMYFUNCTION("""COMPUTED_VALUE"""),"籃云若")</f>
        <v>籃云若</v>
      </c>
      <c r="D1540" s="16" t="str">
        <f>IFERROR(__xludf.DUMMYFUNCTION("""COMPUTED_VALUE"""),"109*****njh.mlc.edu.tw")</f>
        <v>109*****njh.mlc.edu.tw</v>
      </c>
      <c r="E1540" s="17" t="str">
        <f>IFERROR(__xludf.DUMMYFUNCTION("""COMPUTED_VALUE"""),"苗栗縣立竹南國民中學")</f>
        <v>苗栗縣立竹南國民中學</v>
      </c>
      <c r="F1540" s="14" t="str">
        <f>IFERROR(__xludf.DUMMYFUNCTION("""COMPUTED_VALUE"""),"九年級")</f>
        <v>九年級</v>
      </c>
      <c r="G1540" s="14" t="str">
        <f>IFERROR(__xludf.DUMMYFUNCTION("""COMPUTED_VALUE"""),"獎狀")</f>
        <v>獎狀</v>
      </c>
      <c r="H1540" s="8"/>
    </row>
    <row r="1541">
      <c r="A1541" s="18"/>
      <c r="B1541" s="14">
        <f>IFERROR(__xludf.DUMMYFUNCTION("""COMPUTED_VALUE"""),1199961.0)</f>
        <v>1199961</v>
      </c>
      <c r="C1541" s="14" t="str">
        <f>IFERROR(__xludf.DUMMYFUNCTION("""COMPUTED_VALUE"""),"陳妤瑄")</f>
        <v>陳妤瑄</v>
      </c>
      <c r="D1541" s="16" t="str">
        <f>IFERROR(__xludf.DUMMYFUNCTION("""COMPUTED_VALUE"""),"109*****njh.mlc.edu.tw")</f>
        <v>109*****njh.mlc.edu.tw</v>
      </c>
      <c r="E1541" s="17" t="str">
        <f>IFERROR(__xludf.DUMMYFUNCTION("""COMPUTED_VALUE"""),"苗栗縣立竹南國民中學")</f>
        <v>苗栗縣立竹南國民中學</v>
      </c>
      <c r="F1541" s="14" t="str">
        <f>IFERROR(__xludf.DUMMYFUNCTION("""COMPUTED_VALUE"""),"九年級")</f>
        <v>九年級</v>
      </c>
      <c r="G1541" s="14" t="str">
        <f>IFERROR(__xludf.DUMMYFUNCTION("""COMPUTED_VALUE"""),"★禮券$200")</f>
        <v>★禮券$200</v>
      </c>
      <c r="H1541" s="8"/>
    </row>
    <row r="1542">
      <c r="A1542" s="18"/>
      <c r="B1542" s="14">
        <f>IFERROR(__xludf.DUMMYFUNCTION("""COMPUTED_VALUE"""),1199972.0)</f>
        <v>1199972</v>
      </c>
      <c r="C1542" s="14" t="str">
        <f>IFERROR(__xludf.DUMMYFUNCTION("""COMPUTED_VALUE"""),"王詩昀")</f>
        <v>王詩昀</v>
      </c>
      <c r="D1542" s="16" t="str">
        <f>IFERROR(__xludf.DUMMYFUNCTION("""COMPUTED_VALUE"""),"109*****njh.mlc.edu.tw")</f>
        <v>109*****njh.mlc.edu.tw</v>
      </c>
      <c r="E1542" s="17" t="str">
        <f>IFERROR(__xludf.DUMMYFUNCTION("""COMPUTED_VALUE"""),"苗栗縣立竹南國民中學")</f>
        <v>苗栗縣立竹南國民中學</v>
      </c>
      <c r="F1542" s="14" t="str">
        <f>IFERROR(__xludf.DUMMYFUNCTION("""COMPUTED_VALUE"""),"九年級")</f>
        <v>九年級</v>
      </c>
      <c r="G1542" s="14" t="str">
        <f>IFERROR(__xludf.DUMMYFUNCTION("""COMPUTED_VALUE"""),"●小禮物")</f>
        <v>●小禮物</v>
      </c>
      <c r="H1542" s="8"/>
    </row>
    <row r="1543">
      <c r="A1543" s="18"/>
      <c r="B1543" s="14">
        <f>IFERROR(__xludf.DUMMYFUNCTION("""COMPUTED_VALUE"""),1199969.0)</f>
        <v>1199969</v>
      </c>
      <c r="C1543" s="14" t="str">
        <f>IFERROR(__xludf.DUMMYFUNCTION("""COMPUTED_VALUE"""),"宋家赫")</f>
        <v>宋家赫</v>
      </c>
      <c r="D1543" s="16" t="str">
        <f>IFERROR(__xludf.DUMMYFUNCTION("""COMPUTED_VALUE"""),"109*****njh.mlc.edu.tw")</f>
        <v>109*****njh.mlc.edu.tw</v>
      </c>
      <c r="E1543" s="17" t="str">
        <f>IFERROR(__xludf.DUMMYFUNCTION("""COMPUTED_VALUE"""),"苗栗縣立竹南國民中學")</f>
        <v>苗栗縣立竹南國民中學</v>
      </c>
      <c r="F1543" s="14" t="str">
        <f>IFERROR(__xludf.DUMMYFUNCTION("""COMPUTED_VALUE"""),"九年級")</f>
        <v>九年級</v>
      </c>
      <c r="G1543" s="14" t="str">
        <f>IFERROR(__xludf.DUMMYFUNCTION("""COMPUTED_VALUE"""),"●小禮物")</f>
        <v>●小禮物</v>
      </c>
      <c r="H1543" s="8"/>
    </row>
    <row r="1544">
      <c r="A1544" s="18"/>
      <c r="B1544" s="14">
        <f>IFERROR(__xludf.DUMMYFUNCTION("""COMPUTED_VALUE"""),1199964.0)</f>
        <v>1199964</v>
      </c>
      <c r="C1544" s="14" t="str">
        <f>IFERROR(__xludf.DUMMYFUNCTION("""COMPUTED_VALUE"""),"林耘萱")</f>
        <v>林耘萱</v>
      </c>
      <c r="D1544" s="16" t="str">
        <f>IFERROR(__xludf.DUMMYFUNCTION("""COMPUTED_VALUE"""),"109*****njh.mlc.edu.tw")</f>
        <v>109*****njh.mlc.edu.tw</v>
      </c>
      <c r="E1544" s="17" t="str">
        <f>IFERROR(__xludf.DUMMYFUNCTION("""COMPUTED_VALUE"""),"苗栗縣立竹南國民中學")</f>
        <v>苗栗縣立竹南國民中學</v>
      </c>
      <c r="F1544" s="14" t="str">
        <f>IFERROR(__xludf.DUMMYFUNCTION("""COMPUTED_VALUE"""),"九年級")</f>
        <v>九年級</v>
      </c>
      <c r="G1544" s="14" t="str">
        <f>IFERROR(__xludf.DUMMYFUNCTION("""COMPUTED_VALUE"""),"●小禮物")</f>
        <v>●小禮物</v>
      </c>
      <c r="H1544" s="8"/>
    </row>
    <row r="1545">
      <c r="A1545" s="18"/>
      <c r="B1545" s="14">
        <f>IFERROR(__xludf.DUMMYFUNCTION("""COMPUTED_VALUE"""),1199959.0)</f>
        <v>1199959</v>
      </c>
      <c r="C1545" s="14" t="str">
        <f>IFERROR(__xludf.DUMMYFUNCTION("""COMPUTED_VALUE"""),"黃堇睿")</f>
        <v>黃堇睿</v>
      </c>
      <c r="D1545" s="16" t="str">
        <f>IFERROR(__xludf.DUMMYFUNCTION("""COMPUTED_VALUE"""),"109*****njh.mlc.edu.tw")</f>
        <v>109*****njh.mlc.edu.tw</v>
      </c>
      <c r="E1545" s="17" t="str">
        <f>IFERROR(__xludf.DUMMYFUNCTION("""COMPUTED_VALUE"""),"苗栗縣立竹南國民中學")</f>
        <v>苗栗縣立竹南國民中學</v>
      </c>
      <c r="F1545" s="14" t="str">
        <f>IFERROR(__xludf.DUMMYFUNCTION("""COMPUTED_VALUE"""),"九年級")</f>
        <v>九年級</v>
      </c>
      <c r="G1545" s="14" t="str">
        <f>IFERROR(__xludf.DUMMYFUNCTION("""COMPUTED_VALUE"""),"●小禮物")</f>
        <v>●小禮物</v>
      </c>
      <c r="H1545" s="8"/>
    </row>
    <row r="1546">
      <c r="A1546" s="18"/>
      <c r="B1546" s="14">
        <f>IFERROR(__xludf.DUMMYFUNCTION("""COMPUTED_VALUE"""),1199966.0)</f>
        <v>1199966</v>
      </c>
      <c r="C1546" s="14" t="str">
        <f>IFERROR(__xludf.DUMMYFUNCTION("""COMPUTED_VALUE"""),"魏兆碩")</f>
        <v>魏兆碩</v>
      </c>
      <c r="D1546" s="16" t="str">
        <f>IFERROR(__xludf.DUMMYFUNCTION("""COMPUTED_VALUE"""),"109*****njh.mlc.edu.tw")</f>
        <v>109*****njh.mlc.edu.tw</v>
      </c>
      <c r="E1546" s="17" t="str">
        <f>IFERROR(__xludf.DUMMYFUNCTION("""COMPUTED_VALUE"""),"苗栗縣立竹南國民中學")</f>
        <v>苗栗縣立竹南國民中學</v>
      </c>
      <c r="F1546" s="14" t="str">
        <f>IFERROR(__xludf.DUMMYFUNCTION("""COMPUTED_VALUE"""),"九年級")</f>
        <v>九年級</v>
      </c>
      <c r="G1546" s="14" t="str">
        <f>IFERROR(__xludf.DUMMYFUNCTION("""COMPUTED_VALUE"""),"●小禮物")</f>
        <v>●小禮物</v>
      </c>
      <c r="H1546" s="8"/>
    </row>
    <row r="1547">
      <c r="A1547" s="18"/>
      <c r="B1547" s="14">
        <f>IFERROR(__xludf.DUMMYFUNCTION("""COMPUTED_VALUE"""),1199977.0)</f>
        <v>1199977</v>
      </c>
      <c r="C1547" s="14" t="str">
        <f>IFERROR(__xludf.DUMMYFUNCTION("""COMPUTED_VALUE"""),"吳繼灝")</f>
        <v>吳繼灝</v>
      </c>
      <c r="D1547" s="16" t="str">
        <f>IFERROR(__xludf.DUMMYFUNCTION("""COMPUTED_VALUE"""),"109*****njh.mlc.edu.tw")</f>
        <v>109*****njh.mlc.edu.tw</v>
      </c>
      <c r="E1547" s="17" t="str">
        <f>IFERROR(__xludf.DUMMYFUNCTION("""COMPUTED_VALUE"""),"苗栗縣立竹南國民中學")</f>
        <v>苗栗縣立竹南國民中學</v>
      </c>
      <c r="F1547" s="14" t="str">
        <f>IFERROR(__xludf.DUMMYFUNCTION("""COMPUTED_VALUE"""),"九年級")</f>
        <v>九年級</v>
      </c>
      <c r="G1547" s="14" t="str">
        <f>IFERROR(__xludf.DUMMYFUNCTION("""COMPUTED_VALUE"""),"★禮券$200")</f>
        <v>★禮券$200</v>
      </c>
      <c r="H1547" s="8"/>
    </row>
    <row r="1548">
      <c r="A1548" s="18"/>
      <c r="B1548" s="14">
        <f>IFERROR(__xludf.DUMMYFUNCTION("""COMPUTED_VALUE"""),1200007.0)</f>
        <v>1200007</v>
      </c>
      <c r="C1548" s="14" t="str">
        <f>IFERROR(__xludf.DUMMYFUNCTION("""COMPUTED_VALUE"""),"沈欣妤")</f>
        <v>沈欣妤</v>
      </c>
      <c r="D1548" s="16" t="str">
        <f>IFERROR(__xludf.DUMMYFUNCTION("""COMPUTED_VALUE"""),"109*****njh.mlc.edu.tw")</f>
        <v>109*****njh.mlc.edu.tw</v>
      </c>
      <c r="E1548" s="17" t="str">
        <f>IFERROR(__xludf.DUMMYFUNCTION("""COMPUTED_VALUE"""),"苗栗縣立竹南國民中學")</f>
        <v>苗栗縣立竹南國民中學</v>
      </c>
      <c r="F1548" s="14" t="str">
        <f>IFERROR(__xludf.DUMMYFUNCTION("""COMPUTED_VALUE"""),"九年級")</f>
        <v>九年級</v>
      </c>
      <c r="G1548" s="14" t="str">
        <f>IFERROR(__xludf.DUMMYFUNCTION("""COMPUTED_VALUE"""),"★禮券$500")</f>
        <v>★禮券$500</v>
      </c>
      <c r="H1548" s="8"/>
    </row>
    <row r="1549">
      <c r="A1549" s="18"/>
      <c r="B1549" s="14">
        <f>IFERROR(__xludf.DUMMYFUNCTION("""COMPUTED_VALUE"""),1200008.0)</f>
        <v>1200008</v>
      </c>
      <c r="C1549" s="14" t="str">
        <f>IFERROR(__xludf.DUMMYFUNCTION("""COMPUTED_VALUE"""),"陳榆鈞")</f>
        <v>陳榆鈞</v>
      </c>
      <c r="D1549" s="16" t="str">
        <f>IFERROR(__xludf.DUMMYFUNCTION("""COMPUTED_VALUE"""),"109*****njh.mlc.edu.tw")</f>
        <v>109*****njh.mlc.edu.tw</v>
      </c>
      <c r="E1549" s="17" t="str">
        <f>IFERROR(__xludf.DUMMYFUNCTION("""COMPUTED_VALUE"""),"苗栗縣立竹南國民中學")</f>
        <v>苗栗縣立竹南國民中學</v>
      </c>
      <c r="F1549" s="14" t="str">
        <f>IFERROR(__xludf.DUMMYFUNCTION("""COMPUTED_VALUE"""),"九年級")</f>
        <v>九年級</v>
      </c>
      <c r="G1549" s="14" t="str">
        <f>IFERROR(__xludf.DUMMYFUNCTION("""COMPUTED_VALUE"""),"獎狀")</f>
        <v>獎狀</v>
      </c>
      <c r="H1549" s="8"/>
    </row>
    <row r="1550">
      <c r="A1550" s="18"/>
      <c r="B1550" s="14">
        <f>IFERROR(__xludf.DUMMYFUNCTION("""COMPUTED_VALUE"""),821651.0)</f>
        <v>821651</v>
      </c>
      <c r="C1550" s="14" t="str">
        <f>IFERROR(__xludf.DUMMYFUNCTION("""COMPUTED_VALUE"""),"林媺涵")</f>
        <v>林媺涵</v>
      </c>
      <c r="D1550" s="16" t="str">
        <f>IFERROR(__xludf.DUMMYFUNCTION("""COMPUTED_VALUE"""),"jnj*****ail.edu.tw")</f>
        <v>jnj*****ail.edu.tw</v>
      </c>
      <c r="E1550" s="17" t="str">
        <f>IFERROR(__xludf.DUMMYFUNCTION("""COMPUTED_VALUE"""),"苗栗縣立竹南國民中學")</f>
        <v>苗栗縣立竹南國民中學</v>
      </c>
      <c r="F1550" s="14" t="str">
        <f>IFERROR(__xludf.DUMMYFUNCTION("""COMPUTED_VALUE"""),"九年級")</f>
        <v>九年級</v>
      </c>
      <c r="G1550" s="14" t="str">
        <f>IFERROR(__xludf.DUMMYFUNCTION("""COMPUTED_VALUE"""),"●小禮物")</f>
        <v>●小禮物</v>
      </c>
      <c r="H1550" s="8"/>
    </row>
    <row r="1551">
      <c r="A1551" s="18"/>
      <c r="B1551" s="14">
        <f>IFERROR(__xludf.DUMMYFUNCTION("""COMPUTED_VALUE"""),1205299.0)</f>
        <v>1205299</v>
      </c>
      <c r="C1551" s="14" t="str">
        <f>IFERROR(__xludf.DUMMYFUNCTION("""COMPUTED_VALUE"""),"陳軍安")</f>
        <v>陳軍安</v>
      </c>
      <c r="D1551" s="16" t="str">
        <f>IFERROR(__xludf.DUMMYFUNCTION("""COMPUTED_VALUE"""),"109*****njh.mlc.edu.tw")</f>
        <v>109*****njh.mlc.edu.tw</v>
      </c>
      <c r="E1551" s="17" t="str">
        <f>IFERROR(__xludf.DUMMYFUNCTION("""COMPUTED_VALUE"""),"苗栗縣立竹南國民中學")</f>
        <v>苗栗縣立竹南國民中學</v>
      </c>
      <c r="F1551" s="14" t="str">
        <f>IFERROR(__xludf.DUMMYFUNCTION("""COMPUTED_VALUE"""),"九年級")</f>
        <v>九年級</v>
      </c>
      <c r="G1551" s="14" t="str">
        <f>IFERROR(__xludf.DUMMYFUNCTION("""COMPUTED_VALUE"""),"●小禮物")</f>
        <v>●小禮物</v>
      </c>
      <c r="H1551" s="8"/>
    </row>
    <row r="1552">
      <c r="A1552" s="18"/>
      <c r="B1552" s="14">
        <f>IFERROR(__xludf.DUMMYFUNCTION("""COMPUTED_VALUE"""),1205297.0)</f>
        <v>1205297</v>
      </c>
      <c r="C1552" s="14" t="str">
        <f>IFERROR(__xludf.DUMMYFUNCTION("""COMPUTED_VALUE"""),"蔡佩安")</f>
        <v>蔡佩安</v>
      </c>
      <c r="D1552" s="16" t="str">
        <f>IFERROR(__xludf.DUMMYFUNCTION("""COMPUTED_VALUE"""),"109*****njh.mlc.edu.tw")</f>
        <v>109*****njh.mlc.edu.tw</v>
      </c>
      <c r="E1552" s="17" t="str">
        <f>IFERROR(__xludf.DUMMYFUNCTION("""COMPUTED_VALUE"""),"苗栗縣立竹南國民中學")</f>
        <v>苗栗縣立竹南國民中學</v>
      </c>
      <c r="F1552" s="14" t="str">
        <f>IFERROR(__xludf.DUMMYFUNCTION("""COMPUTED_VALUE"""),"九年級")</f>
        <v>九年級</v>
      </c>
      <c r="G1552" s="14" t="str">
        <f>IFERROR(__xludf.DUMMYFUNCTION("""COMPUTED_VALUE"""),"●小禮物")</f>
        <v>●小禮物</v>
      </c>
      <c r="H1552" s="8"/>
    </row>
    <row r="1553">
      <c r="A1553" s="18"/>
      <c r="B1553" s="14">
        <f>IFERROR(__xludf.DUMMYFUNCTION("""COMPUTED_VALUE"""),1205301.0)</f>
        <v>1205301</v>
      </c>
      <c r="C1553" s="14" t="str">
        <f>IFERROR(__xludf.DUMMYFUNCTION("""COMPUTED_VALUE"""),"林宥辰")</f>
        <v>林宥辰</v>
      </c>
      <c r="D1553" s="16" t="str">
        <f>IFERROR(__xludf.DUMMYFUNCTION("""COMPUTED_VALUE"""),"109*****njh.mlc.edu.tw")</f>
        <v>109*****njh.mlc.edu.tw</v>
      </c>
      <c r="E1553" s="17" t="str">
        <f>IFERROR(__xludf.DUMMYFUNCTION("""COMPUTED_VALUE"""),"苗栗縣立竹南國民中學")</f>
        <v>苗栗縣立竹南國民中學</v>
      </c>
      <c r="F1553" s="14" t="str">
        <f>IFERROR(__xludf.DUMMYFUNCTION("""COMPUTED_VALUE"""),"九年級")</f>
        <v>九年級</v>
      </c>
      <c r="G1553" s="14" t="str">
        <f>IFERROR(__xludf.DUMMYFUNCTION("""COMPUTED_VALUE"""),"●小禮物")</f>
        <v>●小禮物</v>
      </c>
      <c r="H1553" s="8"/>
    </row>
    <row r="1554">
      <c r="A1554" s="18"/>
      <c r="B1554" s="14">
        <f>IFERROR(__xludf.DUMMYFUNCTION("""COMPUTED_VALUE"""),263721.0)</f>
        <v>263721</v>
      </c>
      <c r="C1554" s="14" t="str">
        <f>IFERROR(__xludf.DUMMYFUNCTION("""COMPUTED_VALUE"""),"蕭潔")</f>
        <v>蕭潔</v>
      </c>
      <c r="D1554" s="16" t="str">
        <f>IFERROR(__xludf.DUMMYFUNCTION("""COMPUTED_VALUE"""),"k10*****mail.edu.tw")</f>
        <v>k10*****mail.edu.tw</v>
      </c>
      <c r="E1554" s="17" t="str">
        <f>IFERROR(__xludf.DUMMYFUNCTION("""COMPUTED_VALUE"""),"苗栗縣立竹南國民中學")</f>
        <v>苗栗縣立竹南國民中學</v>
      </c>
      <c r="F1554" s="14" t="str">
        <f>IFERROR(__xludf.DUMMYFUNCTION("""COMPUTED_VALUE"""),"九年級")</f>
        <v>九年級</v>
      </c>
      <c r="G1554" s="14" t="str">
        <f>IFERROR(__xludf.DUMMYFUNCTION("""COMPUTED_VALUE"""),"●小禮物")</f>
        <v>●小禮物</v>
      </c>
      <c r="H1554" s="8"/>
    </row>
    <row r="1555">
      <c r="A1555" s="18"/>
      <c r="B1555" s="14">
        <f>IFERROR(__xludf.DUMMYFUNCTION("""COMPUTED_VALUE"""),1205300.0)</f>
        <v>1205300</v>
      </c>
      <c r="C1555" s="14" t="str">
        <f>IFERROR(__xludf.DUMMYFUNCTION("""COMPUTED_VALUE"""),"蔡典杰")</f>
        <v>蔡典杰</v>
      </c>
      <c r="D1555" s="16" t="str">
        <f>IFERROR(__xludf.DUMMYFUNCTION("""COMPUTED_VALUE"""),"109*****njh.mlc.edu.tw")</f>
        <v>109*****njh.mlc.edu.tw</v>
      </c>
      <c r="E1555" s="17" t="str">
        <f>IFERROR(__xludf.DUMMYFUNCTION("""COMPUTED_VALUE"""),"苗栗縣立竹南國民中學")</f>
        <v>苗栗縣立竹南國民中學</v>
      </c>
      <c r="F1555" s="14" t="str">
        <f>IFERROR(__xludf.DUMMYFUNCTION("""COMPUTED_VALUE"""),"九年級")</f>
        <v>九年級</v>
      </c>
      <c r="G1555" s="14" t="str">
        <f>IFERROR(__xludf.DUMMYFUNCTION("""COMPUTED_VALUE"""),"獎狀")</f>
        <v>獎狀</v>
      </c>
      <c r="H1555" s="8"/>
    </row>
    <row r="1556">
      <c r="A1556" s="18"/>
      <c r="B1556" s="14">
        <f>IFERROR(__xludf.DUMMYFUNCTION("""COMPUTED_VALUE"""),1205945.0)</f>
        <v>1205945</v>
      </c>
      <c r="C1556" s="14" t="str">
        <f>IFERROR(__xludf.DUMMYFUNCTION("""COMPUTED_VALUE"""),"朱謄宇")</f>
        <v>朱謄宇</v>
      </c>
      <c r="D1556" s="16" t="str">
        <f>IFERROR(__xludf.DUMMYFUNCTION("""COMPUTED_VALUE"""),"109*****njh.mlc.edu.tw")</f>
        <v>109*****njh.mlc.edu.tw</v>
      </c>
      <c r="E1556" s="17" t="str">
        <f>IFERROR(__xludf.DUMMYFUNCTION("""COMPUTED_VALUE"""),"苗栗縣立竹南國民中學")</f>
        <v>苗栗縣立竹南國民中學</v>
      </c>
      <c r="F1556" s="14" t="str">
        <f>IFERROR(__xludf.DUMMYFUNCTION("""COMPUTED_VALUE"""),"九年級")</f>
        <v>九年級</v>
      </c>
      <c r="G1556" s="14" t="str">
        <f>IFERROR(__xludf.DUMMYFUNCTION("""COMPUTED_VALUE"""),"●小禮物")</f>
        <v>●小禮物</v>
      </c>
      <c r="H1556" s="8"/>
    </row>
    <row r="1557">
      <c r="A1557" s="18"/>
      <c r="B1557" s="14">
        <f>IFERROR(__xludf.DUMMYFUNCTION("""COMPUTED_VALUE"""),1205939.0)</f>
        <v>1205939</v>
      </c>
      <c r="C1557" s="14" t="str">
        <f>IFERROR(__xludf.DUMMYFUNCTION("""COMPUTED_VALUE"""),"凃兆恩")</f>
        <v>凃兆恩</v>
      </c>
      <c r="D1557" s="16" t="str">
        <f>IFERROR(__xludf.DUMMYFUNCTION("""COMPUTED_VALUE"""),"109*****njh.mlc.edu.tw")</f>
        <v>109*****njh.mlc.edu.tw</v>
      </c>
      <c r="E1557" s="17" t="str">
        <f>IFERROR(__xludf.DUMMYFUNCTION("""COMPUTED_VALUE"""),"苗栗縣立竹南國民中學")</f>
        <v>苗栗縣立竹南國民中學</v>
      </c>
      <c r="F1557" s="14" t="str">
        <f>IFERROR(__xludf.DUMMYFUNCTION("""COMPUTED_VALUE"""),"九年級")</f>
        <v>九年級</v>
      </c>
      <c r="G1557" s="14" t="str">
        <f>IFERROR(__xludf.DUMMYFUNCTION("""COMPUTED_VALUE"""),"●小禮物")</f>
        <v>●小禮物</v>
      </c>
      <c r="H1557" s="8"/>
    </row>
    <row r="1558">
      <c r="A1558" s="18"/>
      <c r="B1558" s="14">
        <f>IFERROR(__xludf.DUMMYFUNCTION("""COMPUTED_VALUE"""),1205969.0)</f>
        <v>1205969</v>
      </c>
      <c r="C1558" s="14" t="str">
        <f>IFERROR(__xludf.DUMMYFUNCTION("""COMPUTED_VALUE"""),"胡家維")</f>
        <v>胡家維</v>
      </c>
      <c r="D1558" s="16" t="str">
        <f>IFERROR(__xludf.DUMMYFUNCTION("""COMPUTED_VALUE"""),"109*****njh.mlc.edu.tw")</f>
        <v>109*****njh.mlc.edu.tw</v>
      </c>
      <c r="E1558" s="17" t="str">
        <f>IFERROR(__xludf.DUMMYFUNCTION("""COMPUTED_VALUE"""),"苗栗縣立竹南國民中學")</f>
        <v>苗栗縣立竹南國民中學</v>
      </c>
      <c r="F1558" s="14" t="str">
        <f>IFERROR(__xludf.DUMMYFUNCTION("""COMPUTED_VALUE"""),"九年級")</f>
        <v>九年級</v>
      </c>
      <c r="G1558" s="14" t="str">
        <f>IFERROR(__xludf.DUMMYFUNCTION("""COMPUTED_VALUE"""),"●小禮物")</f>
        <v>●小禮物</v>
      </c>
      <c r="H1558" s="8"/>
    </row>
    <row r="1559">
      <c r="A1559" s="18"/>
      <c r="B1559" s="14">
        <f>IFERROR(__xludf.DUMMYFUNCTION("""COMPUTED_VALUE"""),1205951.0)</f>
        <v>1205951</v>
      </c>
      <c r="C1559" s="14" t="str">
        <f>IFERROR(__xludf.DUMMYFUNCTION("""COMPUTED_VALUE"""),"孫羽嫻")</f>
        <v>孫羽嫻</v>
      </c>
      <c r="D1559" s="16" t="str">
        <f>IFERROR(__xludf.DUMMYFUNCTION("""COMPUTED_VALUE"""),"109*****njh.mlc.edu.tw")</f>
        <v>109*****njh.mlc.edu.tw</v>
      </c>
      <c r="E1559" s="17" t="str">
        <f>IFERROR(__xludf.DUMMYFUNCTION("""COMPUTED_VALUE"""),"苗栗縣立竹南國民中學")</f>
        <v>苗栗縣立竹南國民中學</v>
      </c>
      <c r="F1559" s="14" t="str">
        <f>IFERROR(__xludf.DUMMYFUNCTION("""COMPUTED_VALUE"""),"九年級")</f>
        <v>九年級</v>
      </c>
      <c r="G1559" s="14" t="str">
        <f>IFERROR(__xludf.DUMMYFUNCTION("""COMPUTED_VALUE"""),"●小禮物")</f>
        <v>●小禮物</v>
      </c>
      <c r="H1559" s="8"/>
    </row>
    <row r="1560">
      <c r="A1560" s="18"/>
      <c r="B1560" s="14">
        <f>IFERROR(__xludf.DUMMYFUNCTION("""COMPUTED_VALUE"""),1205954.0)</f>
        <v>1205954</v>
      </c>
      <c r="C1560" s="14" t="str">
        <f>IFERROR(__xludf.DUMMYFUNCTION("""COMPUTED_VALUE"""),"黃靖蓉")</f>
        <v>黃靖蓉</v>
      </c>
      <c r="D1560" s="16" t="str">
        <f>IFERROR(__xludf.DUMMYFUNCTION("""COMPUTED_VALUE"""),"109*****njh.mlc.edu.tw")</f>
        <v>109*****njh.mlc.edu.tw</v>
      </c>
      <c r="E1560" s="17" t="str">
        <f>IFERROR(__xludf.DUMMYFUNCTION("""COMPUTED_VALUE"""),"苗栗縣立竹南國民中學")</f>
        <v>苗栗縣立竹南國民中學</v>
      </c>
      <c r="F1560" s="14" t="str">
        <f>IFERROR(__xludf.DUMMYFUNCTION("""COMPUTED_VALUE"""),"九年級")</f>
        <v>九年級</v>
      </c>
      <c r="G1560" s="14" t="str">
        <f>IFERROR(__xludf.DUMMYFUNCTION("""COMPUTED_VALUE"""),"●小禮物")</f>
        <v>●小禮物</v>
      </c>
      <c r="H1560" s="8"/>
    </row>
    <row r="1561">
      <c r="A1561" s="18"/>
      <c r="B1561" s="14">
        <f>IFERROR(__xludf.DUMMYFUNCTION("""COMPUTED_VALUE"""),1205946.0)</f>
        <v>1205946</v>
      </c>
      <c r="C1561" s="14" t="str">
        <f>IFERROR(__xludf.DUMMYFUNCTION("""COMPUTED_VALUE"""),"杜繡誼")</f>
        <v>杜繡誼</v>
      </c>
      <c r="D1561" s="16" t="str">
        <f>IFERROR(__xludf.DUMMYFUNCTION("""COMPUTED_VALUE"""),"109*****njh.mlc.edu.tw")</f>
        <v>109*****njh.mlc.edu.tw</v>
      </c>
      <c r="E1561" s="17" t="str">
        <f>IFERROR(__xludf.DUMMYFUNCTION("""COMPUTED_VALUE"""),"苗栗縣立竹南國民中學")</f>
        <v>苗栗縣立竹南國民中學</v>
      </c>
      <c r="F1561" s="14" t="str">
        <f>IFERROR(__xludf.DUMMYFUNCTION("""COMPUTED_VALUE"""),"九年級")</f>
        <v>九年級</v>
      </c>
      <c r="G1561" s="14" t="str">
        <f>IFERROR(__xludf.DUMMYFUNCTION("""COMPUTED_VALUE"""),"獎狀")</f>
        <v>獎狀</v>
      </c>
      <c r="H1561" s="8"/>
    </row>
    <row r="1562">
      <c r="A1562" s="18"/>
      <c r="B1562" s="14">
        <f>IFERROR(__xludf.DUMMYFUNCTION("""COMPUTED_VALUE"""),1205956.0)</f>
        <v>1205956</v>
      </c>
      <c r="C1562" s="14" t="str">
        <f>IFERROR(__xludf.DUMMYFUNCTION("""COMPUTED_VALUE"""),"洪淯緯")</f>
        <v>洪淯緯</v>
      </c>
      <c r="D1562" s="16" t="str">
        <f>IFERROR(__xludf.DUMMYFUNCTION("""COMPUTED_VALUE"""),"109*****njh.mlc.edu.tw")</f>
        <v>109*****njh.mlc.edu.tw</v>
      </c>
      <c r="E1562" s="17" t="str">
        <f>IFERROR(__xludf.DUMMYFUNCTION("""COMPUTED_VALUE"""),"苗栗縣立竹南國民中學")</f>
        <v>苗栗縣立竹南國民中學</v>
      </c>
      <c r="F1562" s="14" t="str">
        <f>IFERROR(__xludf.DUMMYFUNCTION("""COMPUTED_VALUE"""),"九年級")</f>
        <v>九年級</v>
      </c>
      <c r="G1562" s="14" t="str">
        <f>IFERROR(__xludf.DUMMYFUNCTION("""COMPUTED_VALUE"""),"獎狀")</f>
        <v>獎狀</v>
      </c>
      <c r="H1562" s="8"/>
    </row>
    <row r="1563">
      <c r="A1563" s="18"/>
      <c r="B1563" s="14">
        <f>IFERROR(__xludf.DUMMYFUNCTION("""COMPUTED_VALUE"""),492614.0)</f>
        <v>492614</v>
      </c>
      <c r="C1563" s="14" t="str">
        <f>IFERROR(__xludf.DUMMYFUNCTION("""COMPUTED_VALUE"""),"黃品甄")</f>
        <v>黃品甄</v>
      </c>
      <c r="D1563" s="16" t="str">
        <f>IFERROR(__xludf.DUMMYFUNCTION("""COMPUTED_VALUE"""),"109*****njh.mlc.edu.tw")</f>
        <v>109*****njh.mlc.edu.tw</v>
      </c>
      <c r="E1563" s="17" t="str">
        <f>IFERROR(__xludf.DUMMYFUNCTION("""COMPUTED_VALUE"""),"苗栗縣立竹南國民中學")</f>
        <v>苗栗縣立竹南國民中學</v>
      </c>
      <c r="F1563" s="14" t="str">
        <f>IFERROR(__xludf.DUMMYFUNCTION("""COMPUTED_VALUE"""),"九年級")</f>
        <v>九年級</v>
      </c>
      <c r="G1563" s="14" t="str">
        <f>IFERROR(__xludf.DUMMYFUNCTION("""COMPUTED_VALUE"""),"獎狀")</f>
        <v>獎狀</v>
      </c>
      <c r="H1563" s="8"/>
    </row>
    <row r="1564">
      <c r="A1564" s="18"/>
      <c r="B1564" s="14">
        <f>IFERROR(__xludf.DUMMYFUNCTION("""COMPUTED_VALUE"""),1205949.0)</f>
        <v>1205949</v>
      </c>
      <c r="C1564" s="14" t="str">
        <f>IFERROR(__xludf.DUMMYFUNCTION("""COMPUTED_VALUE"""),"魏泓晟")</f>
        <v>魏泓晟</v>
      </c>
      <c r="D1564" s="16" t="str">
        <f>IFERROR(__xludf.DUMMYFUNCTION("""COMPUTED_VALUE"""),"109*****njh.mlc.edu.tw")</f>
        <v>109*****njh.mlc.edu.tw</v>
      </c>
      <c r="E1564" s="17" t="str">
        <f>IFERROR(__xludf.DUMMYFUNCTION("""COMPUTED_VALUE"""),"苗栗縣立竹南國民中學")</f>
        <v>苗栗縣立竹南國民中學</v>
      </c>
      <c r="F1564" s="14" t="str">
        <f>IFERROR(__xludf.DUMMYFUNCTION("""COMPUTED_VALUE"""),"九年級")</f>
        <v>九年級</v>
      </c>
      <c r="G1564" s="14" t="str">
        <f>IFERROR(__xludf.DUMMYFUNCTION("""COMPUTED_VALUE"""),"獎狀")</f>
        <v>獎狀</v>
      </c>
      <c r="H1564" s="8"/>
    </row>
    <row r="1565">
      <c r="A1565" s="18"/>
      <c r="B1565" s="14">
        <f>IFERROR(__xludf.DUMMYFUNCTION("""COMPUTED_VALUE"""),1205943.0)</f>
        <v>1205943</v>
      </c>
      <c r="C1565" s="14" t="str">
        <f>IFERROR(__xludf.DUMMYFUNCTION("""COMPUTED_VALUE"""),"譚崴澤")</f>
        <v>譚崴澤</v>
      </c>
      <c r="D1565" s="16" t="str">
        <f>IFERROR(__xludf.DUMMYFUNCTION("""COMPUTED_VALUE"""),"109*****njh.mlc.edu.tw")</f>
        <v>109*****njh.mlc.edu.tw</v>
      </c>
      <c r="E1565" s="17" t="str">
        <f>IFERROR(__xludf.DUMMYFUNCTION("""COMPUTED_VALUE"""),"苗栗縣立竹南國民中學")</f>
        <v>苗栗縣立竹南國民中學</v>
      </c>
      <c r="F1565" s="14" t="str">
        <f>IFERROR(__xludf.DUMMYFUNCTION("""COMPUTED_VALUE"""),"九年級")</f>
        <v>九年級</v>
      </c>
      <c r="G1565" s="14" t="str">
        <f>IFERROR(__xludf.DUMMYFUNCTION("""COMPUTED_VALUE"""),"獎狀")</f>
        <v>獎狀</v>
      </c>
      <c r="H1565" s="8"/>
    </row>
    <row r="1566">
      <c r="A1566" s="18"/>
      <c r="B1566" s="14">
        <f>IFERROR(__xludf.DUMMYFUNCTION("""COMPUTED_VALUE"""),493603.0)</f>
        <v>493603</v>
      </c>
      <c r="C1566" s="14" t="str">
        <f>IFERROR(__xludf.DUMMYFUNCTION("""COMPUTED_VALUE"""),"孫育涵")</f>
        <v>孫育涵</v>
      </c>
      <c r="D1566" s="16" t="str">
        <f>IFERROR(__xludf.DUMMYFUNCTION("""COMPUTED_VALUE"""),"jn1*****1027@mail.edu.tw")</f>
        <v>jn1*****1027@mail.edu.tw</v>
      </c>
      <c r="E1566" s="17" t="str">
        <f>IFERROR(__xludf.DUMMYFUNCTION("""COMPUTED_VALUE"""),"苗栗縣立竹南國民中學")</f>
        <v>苗栗縣立竹南國民中學</v>
      </c>
      <c r="F1566" s="14" t="str">
        <f>IFERROR(__xludf.DUMMYFUNCTION("""COMPUTED_VALUE"""),"九年級")</f>
        <v>九年級</v>
      </c>
      <c r="G1566" s="14" t="str">
        <f>IFERROR(__xludf.DUMMYFUNCTION("""COMPUTED_VALUE"""),"獎狀")</f>
        <v>獎狀</v>
      </c>
      <c r="H1566" s="8"/>
    </row>
    <row r="1567">
      <c r="A1567" s="18"/>
      <c r="B1567" s="14">
        <f>IFERROR(__xludf.DUMMYFUNCTION("""COMPUTED_VALUE"""),1203611.0)</f>
        <v>1203611</v>
      </c>
      <c r="C1567" s="14" t="str">
        <f>IFERROR(__xludf.DUMMYFUNCTION("""COMPUTED_VALUE"""),"莊旻晃")</f>
        <v>莊旻晃</v>
      </c>
      <c r="D1567" s="16" t="str">
        <f>IFERROR(__xludf.DUMMYFUNCTION("""COMPUTED_VALUE"""),"109*****njh.mlc.edu.tw")</f>
        <v>109*****njh.mlc.edu.tw</v>
      </c>
      <c r="E1567" s="17" t="str">
        <f>IFERROR(__xludf.DUMMYFUNCTION("""COMPUTED_VALUE"""),"苗栗縣立竹南國民中學")</f>
        <v>苗栗縣立竹南國民中學</v>
      </c>
      <c r="F1567" s="14" t="str">
        <f>IFERROR(__xludf.DUMMYFUNCTION("""COMPUTED_VALUE"""),"九年級")</f>
        <v>九年級</v>
      </c>
      <c r="G1567" s="14" t="str">
        <f>IFERROR(__xludf.DUMMYFUNCTION("""COMPUTED_VALUE"""),"獎狀")</f>
        <v>獎狀</v>
      </c>
      <c r="H1567" s="8"/>
    </row>
    <row r="1568">
      <c r="A1568" s="18"/>
      <c r="B1568" s="14">
        <f>IFERROR(__xludf.DUMMYFUNCTION("""COMPUTED_VALUE"""),1203594.0)</f>
        <v>1203594</v>
      </c>
      <c r="C1568" s="14" t="str">
        <f>IFERROR(__xludf.DUMMYFUNCTION("""COMPUTED_VALUE"""),"王易方")</f>
        <v>王易方</v>
      </c>
      <c r="D1568" s="16" t="str">
        <f>IFERROR(__xludf.DUMMYFUNCTION("""COMPUTED_VALUE"""),"109*****njh.mlc.edu.tw")</f>
        <v>109*****njh.mlc.edu.tw</v>
      </c>
      <c r="E1568" s="17" t="str">
        <f>IFERROR(__xludf.DUMMYFUNCTION("""COMPUTED_VALUE"""),"苗栗縣立竹南國民中學")</f>
        <v>苗栗縣立竹南國民中學</v>
      </c>
      <c r="F1568" s="14" t="str">
        <f>IFERROR(__xludf.DUMMYFUNCTION("""COMPUTED_VALUE"""),"九年級")</f>
        <v>九年級</v>
      </c>
      <c r="G1568" s="14" t="str">
        <f>IFERROR(__xludf.DUMMYFUNCTION("""COMPUTED_VALUE"""),"●小禮物")</f>
        <v>●小禮物</v>
      </c>
      <c r="H1568" s="8"/>
    </row>
    <row r="1569">
      <c r="A1569" s="18"/>
      <c r="B1569" s="14">
        <f>IFERROR(__xludf.DUMMYFUNCTION("""COMPUTED_VALUE"""),1203593.0)</f>
        <v>1203593</v>
      </c>
      <c r="C1569" s="14" t="str">
        <f>IFERROR(__xludf.DUMMYFUNCTION("""COMPUTED_VALUE"""),"何奕宏")</f>
        <v>何奕宏</v>
      </c>
      <c r="D1569" s="16" t="str">
        <f>IFERROR(__xludf.DUMMYFUNCTION("""COMPUTED_VALUE"""),"109*****njh.mlc.edu.tw")</f>
        <v>109*****njh.mlc.edu.tw</v>
      </c>
      <c r="E1569" s="17" t="str">
        <f>IFERROR(__xludf.DUMMYFUNCTION("""COMPUTED_VALUE"""),"苗栗縣立竹南國民中學")</f>
        <v>苗栗縣立竹南國民中學</v>
      </c>
      <c r="F1569" s="14" t="str">
        <f>IFERROR(__xludf.DUMMYFUNCTION("""COMPUTED_VALUE"""),"九年級")</f>
        <v>九年級</v>
      </c>
      <c r="G1569" s="14" t="str">
        <f>IFERROR(__xludf.DUMMYFUNCTION("""COMPUTED_VALUE"""),"●小禮物")</f>
        <v>●小禮物</v>
      </c>
      <c r="H1569" s="8"/>
    </row>
    <row r="1570">
      <c r="A1570" s="18"/>
      <c r="B1570" s="14">
        <f>IFERROR(__xludf.DUMMYFUNCTION("""COMPUTED_VALUE"""),1203608.0)</f>
        <v>1203608</v>
      </c>
      <c r="C1570" s="14" t="str">
        <f>IFERROR(__xludf.DUMMYFUNCTION("""COMPUTED_VALUE"""),"卓林伯宸")</f>
        <v>卓林伯宸</v>
      </c>
      <c r="D1570" s="16" t="str">
        <f>IFERROR(__xludf.DUMMYFUNCTION("""COMPUTED_VALUE"""),"109*****njh.mlc.edu.tw")</f>
        <v>109*****njh.mlc.edu.tw</v>
      </c>
      <c r="E1570" s="17" t="str">
        <f>IFERROR(__xludf.DUMMYFUNCTION("""COMPUTED_VALUE"""),"苗栗縣立竹南國民中學")</f>
        <v>苗栗縣立竹南國民中學</v>
      </c>
      <c r="F1570" s="14" t="str">
        <f>IFERROR(__xludf.DUMMYFUNCTION("""COMPUTED_VALUE"""),"九年級")</f>
        <v>九年級</v>
      </c>
      <c r="G1570" s="14" t="str">
        <f>IFERROR(__xludf.DUMMYFUNCTION("""COMPUTED_VALUE"""),"●小禮物")</f>
        <v>●小禮物</v>
      </c>
      <c r="H1570" s="8"/>
    </row>
    <row r="1571">
      <c r="A1571" s="18"/>
      <c r="B1571" s="14">
        <f>IFERROR(__xludf.DUMMYFUNCTION("""COMPUTED_VALUE"""),1203596.0)</f>
        <v>1203596</v>
      </c>
      <c r="C1571" s="14" t="str">
        <f>IFERROR(__xludf.DUMMYFUNCTION("""COMPUTED_VALUE"""),"張之嫙")</f>
        <v>張之嫙</v>
      </c>
      <c r="D1571" s="16" t="str">
        <f>IFERROR(__xludf.DUMMYFUNCTION("""COMPUTED_VALUE"""),"109*****njh.mlc.edu.tw")</f>
        <v>109*****njh.mlc.edu.tw</v>
      </c>
      <c r="E1571" s="17" t="str">
        <f>IFERROR(__xludf.DUMMYFUNCTION("""COMPUTED_VALUE"""),"苗栗縣立竹南國民中學")</f>
        <v>苗栗縣立竹南國民中學</v>
      </c>
      <c r="F1571" s="14" t="str">
        <f>IFERROR(__xludf.DUMMYFUNCTION("""COMPUTED_VALUE"""),"九年級")</f>
        <v>九年級</v>
      </c>
      <c r="G1571" s="14" t="str">
        <f>IFERROR(__xludf.DUMMYFUNCTION("""COMPUTED_VALUE"""),"●小禮物")</f>
        <v>●小禮物</v>
      </c>
      <c r="H1571" s="8"/>
    </row>
    <row r="1572">
      <c r="A1572" s="18"/>
      <c r="B1572" s="14">
        <f>IFERROR(__xludf.DUMMYFUNCTION("""COMPUTED_VALUE"""),1203586.0)</f>
        <v>1203586</v>
      </c>
      <c r="C1572" s="14" t="str">
        <f>IFERROR(__xludf.DUMMYFUNCTION("""COMPUTED_VALUE"""),"張惟晴")</f>
        <v>張惟晴</v>
      </c>
      <c r="D1572" s="16" t="str">
        <f>IFERROR(__xludf.DUMMYFUNCTION("""COMPUTED_VALUE"""),"109*****njh.mlc.edu.tw")</f>
        <v>109*****njh.mlc.edu.tw</v>
      </c>
      <c r="E1572" s="17" t="str">
        <f>IFERROR(__xludf.DUMMYFUNCTION("""COMPUTED_VALUE"""),"苗栗縣立竹南國民中學")</f>
        <v>苗栗縣立竹南國民中學</v>
      </c>
      <c r="F1572" s="14" t="str">
        <f>IFERROR(__xludf.DUMMYFUNCTION("""COMPUTED_VALUE"""),"九年級")</f>
        <v>九年級</v>
      </c>
      <c r="G1572" s="14" t="str">
        <f>IFERROR(__xludf.DUMMYFUNCTION("""COMPUTED_VALUE"""),"●小禮物")</f>
        <v>●小禮物</v>
      </c>
      <c r="H1572" s="8"/>
    </row>
    <row r="1573">
      <c r="A1573" s="18"/>
      <c r="B1573" s="14">
        <f>IFERROR(__xludf.DUMMYFUNCTION("""COMPUTED_VALUE"""),1203587.0)</f>
        <v>1203587</v>
      </c>
      <c r="C1573" s="14" t="str">
        <f>IFERROR(__xludf.DUMMYFUNCTION("""COMPUTED_VALUE"""),"陳仕玹")</f>
        <v>陳仕玹</v>
      </c>
      <c r="D1573" s="16" t="str">
        <f>IFERROR(__xludf.DUMMYFUNCTION("""COMPUTED_VALUE"""),"109*****njh.mlc.edu.tw")</f>
        <v>109*****njh.mlc.edu.tw</v>
      </c>
      <c r="E1573" s="17" t="str">
        <f>IFERROR(__xludf.DUMMYFUNCTION("""COMPUTED_VALUE"""),"苗栗縣立竹南國民中學")</f>
        <v>苗栗縣立竹南國民中學</v>
      </c>
      <c r="F1573" s="14" t="str">
        <f>IFERROR(__xludf.DUMMYFUNCTION("""COMPUTED_VALUE"""),"九年級")</f>
        <v>九年級</v>
      </c>
      <c r="G1573" s="14" t="str">
        <f>IFERROR(__xludf.DUMMYFUNCTION("""COMPUTED_VALUE"""),"●小禮物")</f>
        <v>●小禮物</v>
      </c>
      <c r="H1573" s="8"/>
    </row>
    <row r="1574">
      <c r="A1574" s="18"/>
      <c r="B1574" s="14">
        <f>IFERROR(__xludf.DUMMYFUNCTION("""COMPUTED_VALUE"""),712377.0)</f>
        <v>712377</v>
      </c>
      <c r="C1574" s="14" t="str">
        <f>IFERROR(__xludf.DUMMYFUNCTION("""COMPUTED_VALUE"""),"彭宇馨")</f>
        <v>彭宇馨</v>
      </c>
      <c r="D1574" s="16" t="str">
        <f>IFERROR(__xludf.DUMMYFUNCTION("""COMPUTED_VALUE"""),"109*****njh.mlc.edu.tw")</f>
        <v>109*****njh.mlc.edu.tw</v>
      </c>
      <c r="E1574" s="17" t="str">
        <f>IFERROR(__xludf.DUMMYFUNCTION("""COMPUTED_VALUE"""),"苗栗縣立竹南國民中學")</f>
        <v>苗栗縣立竹南國民中學</v>
      </c>
      <c r="F1574" s="14" t="str">
        <f>IFERROR(__xludf.DUMMYFUNCTION("""COMPUTED_VALUE"""),"九年級")</f>
        <v>九年級</v>
      </c>
      <c r="G1574" s="14" t="str">
        <f>IFERROR(__xludf.DUMMYFUNCTION("""COMPUTED_VALUE"""),"●小禮物")</f>
        <v>●小禮物</v>
      </c>
      <c r="H1574" s="8"/>
    </row>
    <row r="1575">
      <c r="A1575" s="18"/>
      <c r="B1575" s="14">
        <f>IFERROR(__xludf.DUMMYFUNCTION("""COMPUTED_VALUE"""),1203588.0)</f>
        <v>1203588</v>
      </c>
      <c r="C1575" s="14" t="str">
        <f>IFERROR(__xludf.DUMMYFUNCTION("""COMPUTED_VALUE"""),"劉瑞涵")</f>
        <v>劉瑞涵</v>
      </c>
      <c r="D1575" s="16" t="str">
        <f>IFERROR(__xludf.DUMMYFUNCTION("""COMPUTED_VALUE"""),"109*****njh.mlc.edu.tw")</f>
        <v>109*****njh.mlc.edu.tw</v>
      </c>
      <c r="E1575" s="17" t="str">
        <f>IFERROR(__xludf.DUMMYFUNCTION("""COMPUTED_VALUE"""),"苗栗縣立竹南國民中學")</f>
        <v>苗栗縣立竹南國民中學</v>
      </c>
      <c r="F1575" s="14" t="str">
        <f>IFERROR(__xludf.DUMMYFUNCTION("""COMPUTED_VALUE"""),"九年級")</f>
        <v>九年級</v>
      </c>
      <c r="G1575" s="14" t="str">
        <f>IFERROR(__xludf.DUMMYFUNCTION("""COMPUTED_VALUE"""),"●小禮物")</f>
        <v>●小禮物</v>
      </c>
      <c r="H1575" s="8"/>
    </row>
    <row r="1576">
      <c r="A1576" s="18"/>
      <c r="B1576" s="14">
        <f>IFERROR(__xludf.DUMMYFUNCTION("""COMPUTED_VALUE"""),1203606.0)</f>
        <v>1203606</v>
      </c>
      <c r="C1576" s="14" t="str">
        <f>IFERROR(__xludf.DUMMYFUNCTION("""COMPUTED_VALUE"""),"姚冠宇")</f>
        <v>姚冠宇</v>
      </c>
      <c r="D1576" s="16" t="str">
        <f>IFERROR(__xludf.DUMMYFUNCTION("""COMPUTED_VALUE"""),"109*****njh.mlc.edu.tw")</f>
        <v>109*****njh.mlc.edu.tw</v>
      </c>
      <c r="E1576" s="17" t="str">
        <f>IFERROR(__xludf.DUMMYFUNCTION("""COMPUTED_VALUE"""),"苗栗縣立竹南國民中學")</f>
        <v>苗栗縣立竹南國民中學</v>
      </c>
      <c r="F1576" s="14" t="str">
        <f>IFERROR(__xludf.DUMMYFUNCTION("""COMPUTED_VALUE"""),"九年級")</f>
        <v>九年級</v>
      </c>
      <c r="G1576" s="14" t="str">
        <f>IFERROR(__xludf.DUMMYFUNCTION("""COMPUTED_VALUE"""),"獎狀")</f>
        <v>獎狀</v>
      </c>
      <c r="H1576" s="8"/>
    </row>
    <row r="1577">
      <c r="A1577" s="18"/>
      <c r="B1577" s="14">
        <f>IFERROR(__xludf.DUMMYFUNCTION("""COMPUTED_VALUE"""),1203590.0)</f>
        <v>1203590</v>
      </c>
      <c r="C1577" s="14" t="str">
        <f>IFERROR(__xludf.DUMMYFUNCTION("""COMPUTED_VALUE"""),"陳品喬")</f>
        <v>陳品喬</v>
      </c>
      <c r="D1577" s="16" t="str">
        <f>IFERROR(__xludf.DUMMYFUNCTION("""COMPUTED_VALUE"""),"109*****njh.mlc.edu.tw")</f>
        <v>109*****njh.mlc.edu.tw</v>
      </c>
      <c r="E1577" s="17" t="str">
        <f>IFERROR(__xludf.DUMMYFUNCTION("""COMPUTED_VALUE"""),"苗栗縣立竹南國民中學")</f>
        <v>苗栗縣立竹南國民中學</v>
      </c>
      <c r="F1577" s="14" t="str">
        <f>IFERROR(__xludf.DUMMYFUNCTION("""COMPUTED_VALUE"""),"九年級")</f>
        <v>九年級</v>
      </c>
      <c r="G1577" s="14" t="str">
        <f>IFERROR(__xludf.DUMMYFUNCTION("""COMPUTED_VALUE"""),"獎狀")</f>
        <v>獎狀</v>
      </c>
      <c r="H1577" s="8"/>
    </row>
    <row r="1578">
      <c r="A1578" s="18"/>
      <c r="B1578" s="14">
        <f>IFERROR(__xludf.DUMMYFUNCTION("""COMPUTED_VALUE"""),1203592.0)</f>
        <v>1203592</v>
      </c>
      <c r="C1578" s="14" t="str">
        <f>IFERROR(__xludf.DUMMYFUNCTION("""COMPUTED_VALUE"""),"陳宥嘉")</f>
        <v>陳宥嘉</v>
      </c>
      <c r="D1578" s="16" t="str">
        <f>IFERROR(__xludf.DUMMYFUNCTION("""COMPUTED_VALUE"""),"109*****njh.mlc.edu.tw")</f>
        <v>109*****njh.mlc.edu.tw</v>
      </c>
      <c r="E1578" s="17" t="str">
        <f>IFERROR(__xludf.DUMMYFUNCTION("""COMPUTED_VALUE"""),"苗栗縣立竹南國民中學")</f>
        <v>苗栗縣立竹南國民中學</v>
      </c>
      <c r="F1578" s="14" t="str">
        <f>IFERROR(__xludf.DUMMYFUNCTION("""COMPUTED_VALUE"""),"九年級")</f>
        <v>九年級</v>
      </c>
      <c r="G1578" s="14" t="str">
        <f>IFERROR(__xludf.DUMMYFUNCTION("""COMPUTED_VALUE"""),"獎狀")</f>
        <v>獎狀</v>
      </c>
      <c r="H1578" s="8"/>
    </row>
    <row r="1579">
      <c r="A1579" s="18"/>
      <c r="B1579" s="14">
        <f>IFERROR(__xludf.DUMMYFUNCTION("""COMPUTED_VALUE"""),1203599.0)</f>
        <v>1203599</v>
      </c>
      <c r="C1579" s="14" t="str">
        <f>IFERROR(__xludf.DUMMYFUNCTION("""COMPUTED_VALUE"""),"馮香瑜")</f>
        <v>馮香瑜</v>
      </c>
      <c r="D1579" s="16" t="str">
        <f>IFERROR(__xludf.DUMMYFUNCTION("""COMPUTED_VALUE"""),"109*****njh.mlc.edu.tw")</f>
        <v>109*****njh.mlc.edu.tw</v>
      </c>
      <c r="E1579" s="17" t="str">
        <f>IFERROR(__xludf.DUMMYFUNCTION("""COMPUTED_VALUE"""),"苗栗縣立竹南國民中學")</f>
        <v>苗栗縣立竹南國民中學</v>
      </c>
      <c r="F1579" s="14" t="str">
        <f>IFERROR(__xludf.DUMMYFUNCTION("""COMPUTED_VALUE"""),"九年級")</f>
        <v>九年級</v>
      </c>
      <c r="G1579" s="14" t="str">
        <f>IFERROR(__xludf.DUMMYFUNCTION("""COMPUTED_VALUE"""),"獎狀")</f>
        <v>獎狀</v>
      </c>
      <c r="H1579" s="8"/>
    </row>
    <row r="1580">
      <c r="A1580" s="18"/>
      <c r="B1580" s="14">
        <f>IFERROR(__xludf.DUMMYFUNCTION("""COMPUTED_VALUE"""),1203602.0)</f>
        <v>1203602</v>
      </c>
      <c r="C1580" s="14" t="str">
        <f>IFERROR(__xludf.DUMMYFUNCTION("""COMPUTED_VALUE"""),"黃羽彤")</f>
        <v>黃羽彤</v>
      </c>
      <c r="D1580" s="16" t="str">
        <f>IFERROR(__xludf.DUMMYFUNCTION("""COMPUTED_VALUE"""),"109*****njh.mlc.edu.tw")</f>
        <v>109*****njh.mlc.edu.tw</v>
      </c>
      <c r="E1580" s="17" t="str">
        <f>IFERROR(__xludf.DUMMYFUNCTION("""COMPUTED_VALUE"""),"苗栗縣立竹南國民中學")</f>
        <v>苗栗縣立竹南國民中學</v>
      </c>
      <c r="F1580" s="14" t="str">
        <f>IFERROR(__xludf.DUMMYFUNCTION("""COMPUTED_VALUE"""),"九年級")</f>
        <v>九年級</v>
      </c>
      <c r="G1580" s="14" t="str">
        <f>IFERROR(__xludf.DUMMYFUNCTION("""COMPUTED_VALUE"""),"獎狀")</f>
        <v>獎狀</v>
      </c>
      <c r="H1580" s="8"/>
    </row>
    <row r="1581">
      <c r="A1581" s="18"/>
      <c r="B1581" s="14">
        <f>IFERROR(__xludf.DUMMYFUNCTION("""COMPUTED_VALUE"""),1203604.0)</f>
        <v>1203604</v>
      </c>
      <c r="C1581" s="14" t="str">
        <f>IFERROR(__xludf.DUMMYFUNCTION("""COMPUTED_VALUE"""),"黃辰英")</f>
        <v>黃辰英</v>
      </c>
      <c r="D1581" s="16" t="str">
        <f>IFERROR(__xludf.DUMMYFUNCTION("""COMPUTED_VALUE"""),"109*****njh.mlc.edu.tw")</f>
        <v>109*****njh.mlc.edu.tw</v>
      </c>
      <c r="E1581" s="17" t="str">
        <f>IFERROR(__xludf.DUMMYFUNCTION("""COMPUTED_VALUE"""),"苗栗縣立竹南國民中學")</f>
        <v>苗栗縣立竹南國民中學</v>
      </c>
      <c r="F1581" s="14" t="str">
        <f>IFERROR(__xludf.DUMMYFUNCTION("""COMPUTED_VALUE"""),"九年級")</f>
        <v>九年級</v>
      </c>
      <c r="G1581" s="14" t="str">
        <f>IFERROR(__xludf.DUMMYFUNCTION("""COMPUTED_VALUE"""),"獎狀")</f>
        <v>獎狀</v>
      </c>
      <c r="H1581" s="8"/>
    </row>
    <row r="1582">
      <c r="A1582" s="18"/>
      <c r="B1582" s="14">
        <f>IFERROR(__xludf.DUMMYFUNCTION("""COMPUTED_VALUE"""),1203615.0)</f>
        <v>1203615</v>
      </c>
      <c r="C1582" s="14" t="str">
        <f>IFERROR(__xludf.DUMMYFUNCTION("""COMPUTED_VALUE"""),"黃聖哲")</f>
        <v>黃聖哲</v>
      </c>
      <c r="D1582" s="16" t="str">
        <f>IFERROR(__xludf.DUMMYFUNCTION("""COMPUTED_VALUE"""),"109*****njh.mlc.edu.tw")</f>
        <v>109*****njh.mlc.edu.tw</v>
      </c>
      <c r="E1582" s="17" t="str">
        <f>IFERROR(__xludf.DUMMYFUNCTION("""COMPUTED_VALUE"""),"苗栗縣立竹南國民中學")</f>
        <v>苗栗縣立竹南國民中學</v>
      </c>
      <c r="F1582" s="14" t="str">
        <f>IFERROR(__xludf.DUMMYFUNCTION("""COMPUTED_VALUE"""),"九年級")</f>
        <v>九年級</v>
      </c>
      <c r="G1582" s="14" t="str">
        <f>IFERROR(__xludf.DUMMYFUNCTION("""COMPUTED_VALUE"""),"獎狀")</f>
        <v>獎狀</v>
      </c>
      <c r="H1582" s="8"/>
    </row>
    <row r="1583">
      <c r="A1583" s="18"/>
      <c r="B1583" s="14">
        <f>IFERROR(__xludf.DUMMYFUNCTION("""COMPUTED_VALUE"""),1203597.0)</f>
        <v>1203597</v>
      </c>
      <c r="C1583" s="14" t="str">
        <f>IFERROR(__xludf.DUMMYFUNCTION("""COMPUTED_VALUE"""),"葉家妤")</f>
        <v>葉家妤</v>
      </c>
      <c r="D1583" s="16" t="str">
        <f>IFERROR(__xludf.DUMMYFUNCTION("""COMPUTED_VALUE"""),"109*****njh.mlc.edu.tw")</f>
        <v>109*****njh.mlc.edu.tw</v>
      </c>
      <c r="E1583" s="17" t="str">
        <f>IFERROR(__xludf.DUMMYFUNCTION("""COMPUTED_VALUE"""),"苗栗縣立竹南國民中學")</f>
        <v>苗栗縣立竹南國民中學</v>
      </c>
      <c r="F1583" s="14" t="str">
        <f>IFERROR(__xludf.DUMMYFUNCTION("""COMPUTED_VALUE"""),"九年級")</f>
        <v>九年級</v>
      </c>
      <c r="G1583" s="14" t="str">
        <f>IFERROR(__xludf.DUMMYFUNCTION("""COMPUTED_VALUE"""),"獎狀")</f>
        <v>獎狀</v>
      </c>
      <c r="H1583" s="8"/>
    </row>
    <row r="1584">
      <c r="A1584" s="18"/>
      <c r="B1584" s="14">
        <f>IFERROR(__xludf.DUMMYFUNCTION("""COMPUTED_VALUE"""),1203591.0)</f>
        <v>1203591</v>
      </c>
      <c r="C1584" s="14" t="str">
        <f>IFERROR(__xludf.DUMMYFUNCTION("""COMPUTED_VALUE"""),"蔡昕佑")</f>
        <v>蔡昕佑</v>
      </c>
      <c r="D1584" s="16" t="str">
        <f>IFERROR(__xludf.DUMMYFUNCTION("""COMPUTED_VALUE"""),"109*****njh.mlc.edu.tw")</f>
        <v>109*****njh.mlc.edu.tw</v>
      </c>
      <c r="E1584" s="17" t="str">
        <f>IFERROR(__xludf.DUMMYFUNCTION("""COMPUTED_VALUE"""),"苗栗縣立竹南國民中學")</f>
        <v>苗栗縣立竹南國民中學</v>
      </c>
      <c r="F1584" s="14" t="str">
        <f>IFERROR(__xludf.DUMMYFUNCTION("""COMPUTED_VALUE"""),"九年級")</f>
        <v>九年級</v>
      </c>
      <c r="G1584" s="14" t="str">
        <f>IFERROR(__xludf.DUMMYFUNCTION("""COMPUTED_VALUE"""),"獎狀")</f>
        <v>獎狀</v>
      </c>
      <c r="H1584" s="8"/>
    </row>
    <row r="1585">
      <c r="A1585" s="18"/>
      <c r="B1585" s="14">
        <f>IFERROR(__xludf.DUMMYFUNCTION("""COMPUTED_VALUE"""),597772.0)</f>
        <v>597772</v>
      </c>
      <c r="C1585" s="14" t="str">
        <f>IFERROR(__xludf.DUMMYFUNCTION("""COMPUTED_VALUE"""),"陳宥荏")</f>
        <v>陳宥荏</v>
      </c>
      <c r="D1585" s="16" t="str">
        <f>IFERROR(__xludf.DUMMYFUNCTION("""COMPUTED_VALUE"""),"yoy*****mail.edu.tw")</f>
        <v>yoy*****mail.edu.tw</v>
      </c>
      <c r="E1585" s="17" t="str">
        <f>IFERROR(__xludf.DUMMYFUNCTION("""COMPUTED_VALUE"""),"苗栗縣立照南國民中學")</f>
        <v>苗栗縣立照南國民中學</v>
      </c>
      <c r="F1585" s="14" t="str">
        <f>IFERROR(__xludf.DUMMYFUNCTION("""COMPUTED_VALUE"""),"七年級")</f>
        <v>七年級</v>
      </c>
      <c r="G1585" s="14" t="str">
        <f>IFERROR(__xludf.DUMMYFUNCTION("""COMPUTED_VALUE"""),"獎狀")</f>
        <v>獎狀</v>
      </c>
      <c r="H1585" s="8"/>
    </row>
    <row r="1586">
      <c r="A1586" s="18"/>
      <c r="B1586" s="14">
        <f>IFERROR(__xludf.DUMMYFUNCTION("""COMPUTED_VALUE"""),817169.0)</f>
        <v>817169</v>
      </c>
      <c r="C1586" s="14" t="str">
        <f>IFERROR(__xludf.DUMMYFUNCTION("""COMPUTED_VALUE"""),"李濬安")</f>
        <v>李濬安</v>
      </c>
      <c r="D1586" s="16" t="str">
        <f>IFERROR(__xludf.DUMMYFUNCTION("""COMPUTED_VALUE"""),"sse*****205@mail.edu.tw")</f>
        <v>sse*****205@mail.edu.tw</v>
      </c>
      <c r="E1586" s="17" t="str">
        <f>IFERROR(__xludf.DUMMYFUNCTION("""COMPUTED_VALUE"""),"苗栗縣立建國國民中學")</f>
        <v>苗栗縣立建國國民中學</v>
      </c>
      <c r="F1586" s="14" t="str">
        <f>IFERROR(__xludf.DUMMYFUNCTION("""COMPUTED_VALUE"""),"九年級")</f>
        <v>九年級</v>
      </c>
      <c r="G1586" s="14" t="str">
        <f>IFERROR(__xludf.DUMMYFUNCTION("""COMPUTED_VALUE"""),"●小禮物")</f>
        <v>●小禮物</v>
      </c>
      <c r="H1586" s="8"/>
    </row>
    <row r="1587">
      <c r="A1587" s="18"/>
      <c r="B1587" s="14">
        <f>IFERROR(__xludf.DUMMYFUNCTION("""COMPUTED_VALUE"""),815997.0)</f>
        <v>815997</v>
      </c>
      <c r="C1587" s="14" t="str">
        <f>IFERROR(__xludf.DUMMYFUNCTION("""COMPUTED_VALUE"""),"張宇辰")</f>
        <v>張宇辰</v>
      </c>
      <c r="D1587" s="16" t="str">
        <f>IFERROR(__xludf.DUMMYFUNCTION("""COMPUTED_VALUE"""),"mlc*****261@mail.edu.tw")</f>
        <v>mlc*****261@mail.edu.tw</v>
      </c>
      <c r="E1587" s="17" t="str">
        <f>IFERROR(__xludf.DUMMYFUNCTION("""COMPUTED_VALUE"""),"苗栗縣立建國國民中學")</f>
        <v>苗栗縣立建國國民中學</v>
      </c>
      <c r="F1587" s="14" t="str">
        <f>IFERROR(__xludf.DUMMYFUNCTION("""COMPUTED_VALUE"""),"九年級")</f>
        <v>九年級</v>
      </c>
      <c r="G1587" s="14" t="str">
        <f>IFERROR(__xludf.DUMMYFUNCTION("""COMPUTED_VALUE"""),"●小禮物")</f>
        <v>●小禮物</v>
      </c>
      <c r="H1587" s="8"/>
    </row>
    <row r="1588">
      <c r="A1588" s="18"/>
      <c r="B1588" s="14">
        <f>IFERROR(__xludf.DUMMYFUNCTION("""COMPUTED_VALUE"""),817170.0)</f>
        <v>817170</v>
      </c>
      <c r="C1588" s="14" t="str">
        <f>IFERROR(__xludf.DUMMYFUNCTION("""COMPUTED_VALUE"""),"鄧家駿")</f>
        <v>鄧家駿</v>
      </c>
      <c r="D1588" s="16" t="str">
        <f>IFERROR(__xludf.DUMMYFUNCTION("""COMPUTED_VALUE"""),"jas*****80805@mail.edu.tw")</f>
        <v>jas*****80805@mail.edu.tw</v>
      </c>
      <c r="E1588" s="17" t="str">
        <f>IFERROR(__xludf.DUMMYFUNCTION("""COMPUTED_VALUE"""),"苗栗縣立建國國民中學")</f>
        <v>苗栗縣立建國國民中學</v>
      </c>
      <c r="F1588" s="14" t="str">
        <f>IFERROR(__xludf.DUMMYFUNCTION("""COMPUTED_VALUE"""),"九年級")</f>
        <v>九年級</v>
      </c>
      <c r="G1588" s="14" t="str">
        <f>IFERROR(__xludf.DUMMYFUNCTION("""COMPUTED_VALUE"""),"●小禮物")</f>
        <v>●小禮物</v>
      </c>
      <c r="H1588" s="8"/>
    </row>
    <row r="1589">
      <c r="A1589" s="18"/>
      <c r="B1589" s="14">
        <f>IFERROR(__xludf.DUMMYFUNCTION("""COMPUTED_VALUE"""),817168.0)</f>
        <v>817168</v>
      </c>
      <c r="C1589" s="14" t="str">
        <f>IFERROR(__xludf.DUMMYFUNCTION("""COMPUTED_VALUE"""),"黃培愷")</f>
        <v>黃培愷</v>
      </c>
      <c r="D1589" s="16" t="str">
        <f>IFERROR(__xludf.DUMMYFUNCTION("""COMPUTED_VALUE"""),"eri*****11@mail.edu.tw")</f>
        <v>eri*****11@mail.edu.tw</v>
      </c>
      <c r="E1589" s="17" t="str">
        <f>IFERROR(__xludf.DUMMYFUNCTION("""COMPUTED_VALUE"""),"苗栗縣立建國國民中學")</f>
        <v>苗栗縣立建國國民中學</v>
      </c>
      <c r="F1589" s="14" t="str">
        <f>IFERROR(__xludf.DUMMYFUNCTION("""COMPUTED_VALUE"""),"九年級")</f>
        <v>九年級</v>
      </c>
      <c r="G1589" s="14" t="str">
        <f>IFERROR(__xludf.DUMMYFUNCTION("""COMPUTED_VALUE"""),"獎狀")</f>
        <v>獎狀</v>
      </c>
      <c r="H1589" s="8"/>
    </row>
    <row r="1590">
      <c r="A1590" s="18"/>
      <c r="B1590" s="14">
        <f>IFERROR(__xludf.DUMMYFUNCTION("""COMPUTED_VALUE"""),1017410.0)</f>
        <v>1017410</v>
      </c>
      <c r="C1590" s="14" t="str">
        <f>IFERROR(__xludf.DUMMYFUNCTION("""COMPUTED_VALUE"""),"盧冠霖")</f>
        <v>盧冠霖</v>
      </c>
      <c r="D1590" s="16" t="str">
        <f>IFERROR(__xludf.DUMMYFUNCTION("""COMPUTED_VALUE"""),"cse*****74@mail.edu.tw")</f>
        <v>cse*****74@mail.edu.tw</v>
      </c>
      <c r="E1590" s="17" t="str">
        <f>IFERROR(__xludf.DUMMYFUNCTION("""COMPUTED_VALUE"""),"苗栗縣立建國國民中學")</f>
        <v>苗栗縣立建國國民中學</v>
      </c>
      <c r="F1590" s="14" t="str">
        <f>IFERROR(__xludf.DUMMYFUNCTION("""COMPUTED_VALUE"""),"九年級")</f>
        <v>九年級</v>
      </c>
      <c r="G1590" s="14" t="str">
        <f>IFERROR(__xludf.DUMMYFUNCTION("""COMPUTED_VALUE"""),"獎狀")</f>
        <v>獎狀</v>
      </c>
      <c r="H1590" s="8"/>
    </row>
    <row r="1591">
      <c r="A1591" s="18"/>
      <c r="B1591" s="14">
        <f>IFERROR(__xludf.DUMMYFUNCTION("""COMPUTED_VALUE"""),393339.0)</f>
        <v>393339</v>
      </c>
      <c r="C1591" s="14" t="str">
        <f>IFERROR(__xludf.DUMMYFUNCTION("""COMPUTED_VALUE"""),"巫芸婕")</f>
        <v>巫芸婕</v>
      </c>
      <c r="D1591" s="16" t="str">
        <f>IFERROR(__xludf.DUMMYFUNCTION("""COMPUTED_VALUE"""),"b09*****762@gmail.com")</f>
        <v>b09*****762@gmail.com</v>
      </c>
      <c r="E1591" s="17" t="str">
        <f>IFERROR(__xludf.DUMMYFUNCTION("""COMPUTED_VALUE"""),"苗栗縣立三灣國民中學")</f>
        <v>苗栗縣立三灣國民中學</v>
      </c>
      <c r="F1591" s="14" t="str">
        <f>IFERROR(__xludf.DUMMYFUNCTION("""COMPUTED_VALUE"""),"九年級")</f>
        <v>九年級</v>
      </c>
      <c r="G1591" s="14" t="str">
        <f>IFERROR(__xludf.DUMMYFUNCTION("""COMPUTED_VALUE"""),"●小禮物")</f>
        <v>●小禮物</v>
      </c>
      <c r="H1591" s="8"/>
    </row>
    <row r="1592">
      <c r="A1592" s="18"/>
      <c r="B1592" s="14">
        <f>IFERROR(__xludf.DUMMYFUNCTION("""COMPUTED_VALUE"""),874345.0)</f>
        <v>874345</v>
      </c>
      <c r="C1592" s="14" t="str">
        <f>IFERROR(__xludf.DUMMYFUNCTION("""COMPUTED_VALUE"""),"黎峻誠")</f>
        <v>黎峻誠</v>
      </c>
      <c r="D1592" s="16" t="str">
        <f>IFERROR(__xludf.DUMMYFUNCTION("""COMPUTED_VALUE"""),"jun*****0122@gmail.com")</f>
        <v>jun*****0122@gmail.com</v>
      </c>
      <c r="E1592" s="17" t="str">
        <f>IFERROR(__xludf.DUMMYFUNCTION("""COMPUTED_VALUE"""),"苗栗縣立三灣國民中學")</f>
        <v>苗栗縣立三灣國民中學</v>
      </c>
      <c r="F1592" s="14" t="str">
        <f>IFERROR(__xludf.DUMMYFUNCTION("""COMPUTED_VALUE"""),"九年級")</f>
        <v>九年級</v>
      </c>
      <c r="G1592" s="14" t="str">
        <f>IFERROR(__xludf.DUMMYFUNCTION("""COMPUTED_VALUE"""),"●小禮物")</f>
        <v>●小禮物</v>
      </c>
      <c r="H1592" s="8"/>
    </row>
    <row r="1593">
      <c r="A1593" s="18"/>
      <c r="B1593" s="14">
        <f>IFERROR(__xludf.DUMMYFUNCTION("""COMPUTED_VALUE"""),875486.0)</f>
        <v>875486</v>
      </c>
      <c r="C1593" s="14" t="str">
        <f>IFERROR(__xludf.DUMMYFUNCTION("""COMPUTED_VALUE"""),"羅美云")</f>
        <v>羅美云</v>
      </c>
      <c r="D1593" s="16" t="str">
        <f>IFERROR(__xludf.DUMMYFUNCTION("""COMPUTED_VALUE"""),"k09*****095@gmail.com")</f>
        <v>k09*****095@gmail.com</v>
      </c>
      <c r="E1593" s="17" t="str">
        <f>IFERROR(__xludf.DUMMYFUNCTION("""COMPUTED_VALUE"""),"苗栗縣立三灣國民中學")</f>
        <v>苗栗縣立三灣國民中學</v>
      </c>
      <c r="F1593" s="14" t="str">
        <f>IFERROR(__xludf.DUMMYFUNCTION("""COMPUTED_VALUE"""),"九年級")</f>
        <v>九年級</v>
      </c>
      <c r="G1593" s="14" t="str">
        <f>IFERROR(__xludf.DUMMYFUNCTION("""COMPUTED_VALUE"""),"●小禮物")</f>
        <v>●小禮物</v>
      </c>
      <c r="H1593" s="8"/>
    </row>
    <row r="1594">
      <c r="A1594" s="18"/>
      <c r="B1594" s="14">
        <f>IFERROR(__xludf.DUMMYFUNCTION("""COMPUTED_VALUE"""),1172615.0)</f>
        <v>1172615</v>
      </c>
      <c r="C1594" s="14" t="str">
        <f>IFERROR(__xludf.DUMMYFUNCTION("""COMPUTED_VALUE"""),"王星宇")</f>
        <v>王星宇</v>
      </c>
      <c r="D1594" s="16" t="str">
        <f>IFERROR(__xludf.DUMMYFUNCTION("""COMPUTED_VALUE"""),"054*****11023@stu.mlc.edu.tw")</f>
        <v>054*****11023@stu.mlc.edu.tw</v>
      </c>
      <c r="E1594" s="17" t="str">
        <f>IFERROR(__xludf.DUMMYFUNCTION("""COMPUTED_VALUE"""),"苗栗縣立新港國民中小學國中部")</f>
        <v>苗栗縣立新港國民中小學國中部</v>
      </c>
      <c r="F1594" s="14" t="str">
        <f>IFERROR(__xludf.DUMMYFUNCTION("""COMPUTED_VALUE"""),"七年級")</f>
        <v>七年級</v>
      </c>
      <c r="G1594" s="14" t="str">
        <f>IFERROR(__xludf.DUMMYFUNCTION("""COMPUTED_VALUE"""),"●小禮物")</f>
        <v>●小禮物</v>
      </c>
      <c r="H1594" s="8"/>
    </row>
    <row r="1595">
      <c r="A1595" s="18"/>
      <c r="B1595" s="14">
        <f>IFERROR(__xludf.DUMMYFUNCTION("""COMPUTED_VALUE"""),471070.0)</f>
        <v>471070</v>
      </c>
      <c r="C1595" s="14" t="str">
        <f>IFERROR(__xludf.DUMMYFUNCTION("""COMPUTED_VALUE"""),"李其耘")</f>
        <v>李其耘</v>
      </c>
      <c r="D1595" s="16" t="str">
        <f>IFERROR(__xludf.DUMMYFUNCTION("""COMPUTED_VALUE"""),"win*****080@mail.edu.tw")</f>
        <v>win*****080@mail.edu.tw</v>
      </c>
      <c r="E1595" s="17" t="str">
        <f>IFERROR(__xludf.DUMMYFUNCTION("""COMPUTED_VALUE"""),"苗栗縣立新港國民中小學國中部")</f>
        <v>苗栗縣立新港國民中小學國中部</v>
      </c>
      <c r="F1595" s="14" t="str">
        <f>IFERROR(__xludf.DUMMYFUNCTION("""COMPUTED_VALUE"""),"七年級")</f>
        <v>七年級</v>
      </c>
      <c r="G1595" s="14" t="str">
        <f>IFERROR(__xludf.DUMMYFUNCTION("""COMPUTED_VALUE"""),"●小禮物")</f>
        <v>●小禮物</v>
      </c>
      <c r="H1595" s="8"/>
    </row>
    <row r="1596">
      <c r="A1596" s="18"/>
      <c r="B1596" s="14">
        <f>IFERROR(__xludf.DUMMYFUNCTION("""COMPUTED_VALUE"""),377262.0)</f>
        <v>377262</v>
      </c>
      <c r="C1596" s="14" t="str">
        <f>IFERROR(__xludf.DUMMYFUNCTION("""COMPUTED_VALUE"""),"杜知諭")</f>
        <v>杜知諭</v>
      </c>
      <c r="D1596" s="16" t="str">
        <f>IFERROR(__xludf.DUMMYFUNCTION("""COMPUTED_VALUE"""),"awq*****ail.edu.tw")</f>
        <v>awq*****ail.edu.tw</v>
      </c>
      <c r="E1596" s="17" t="str">
        <f>IFERROR(__xludf.DUMMYFUNCTION("""COMPUTED_VALUE"""),"苗栗縣立新港國民中小學國中部")</f>
        <v>苗栗縣立新港國民中小學國中部</v>
      </c>
      <c r="F1596" s="14" t="str">
        <f>IFERROR(__xludf.DUMMYFUNCTION("""COMPUTED_VALUE"""),"七年級")</f>
        <v>七年級</v>
      </c>
      <c r="G1596" s="14" t="str">
        <f>IFERROR(__xludf.DUMMYFUNCTION("""COMPUTED_VALUE"""),"●小禮物")</f>
        <v>●小禮物</v>
      </c>
      <c r="H1596" s="8"/>
    </row>
    <row r="1597">
      <c r="A1597" s="18"/>
      <c r="B1597" s="14">
        <f>IFERROR(__xludf.DUMMYFUNCTION("""COMPUTED_VALUE"""),323415.0)</f>
        <v>323415</v>
      </c>
      <c r="C1597" s="14" t="str">
        <f>IFERROR(__xludf.DUMMYFUNCTION("""COMPUTED_VALUE"""),"江羿錚")</f>
        <v>江羿錚</v>
      </c>
      <c r="D1597" s="16" t="str">
        <f>IFERROR(__xludf.DUMMYFUNCTION("""COMPUTED_VALUE"""),"ske*****59222@mail.edu.tw")</f>
        <v>ske*****59222@mail.edu.tw</v>
      </c>
      <c r="E1597" s="17" t="str">
        <f>IFERROR(__xludf.DUMMYFUNCTION("""COMPUTED_VALUE"""),"苗栗縣立新港國民中小學國中部")</f>
        <v>苗栗縣立新港國民中小學國中部</v>
      </c>
      <c r="F1597" s="14" t="str">
        <f>IFERROR(__xludf.DUMMYFUNCTION("""COMPUTED_VALUE"""),"七年級")</f>
        <v>七年級</v>
      </c>
      <c r="G1597" s="14" t="str">
        <f>IFERROR(__xludf.DUMMYFUNCTION("""COMPUTED_VALUE"""),"獎狀")</f>
        <v>獎狀</v>
      </c>
      <c r="H1597" s="8"/>
    </row>
    <row r="1598">
      <c r="A1598" s="18"/>
      <c r="B1598" s="14">
        <f>IFERROR(__xludf.DUMMYFUNCTION("""COMPUTED_VALUE"""),1172624.0)</f>
        <v>1172624</v>
      </c>
      <c r="C1598" s="14" t="str">
        <f>IFERROR(__xludf.DUMMYFUNCTION("""COMPUTED_VALUE"""),"周秉泓")</f>
        <v>周秉泓</v>
      </c>
      <c r="D1598" s="16" t="str">
        <f>IFERROR(__xludf.DUMMYFUNCTION("""COMPUTED_VALUE"""),"054*****11024@stu.mlc.edu.tw")</f>
        <v>054*****11024@stu.mlc.edu.tw</v>
      </c>
      <c r="E1598" s="17" t="str">
        <f>IFERROR(__xludf.DUMMYFUNCTION("""COMPUTED_VALUE"""),"苗栗縣立新港國民中小學國中部")</f>
        <v>苗栗縣立新港國民中小學國中部</v>
      </c>
      <c r="F1598" s="14" t="str">
        <f>IFERROR(__xludf.DUMMYFUNCTION("""COMPUTED_VALUE"""),"七年級")</f>
        <v>七年級</v>
      </c>
      <c r="G1598" s="14" t="str">
        <f>IFERROR(__xludf.DUMMYFUNCTION("""COMPUTED_VALUE"""),"獎狀")</f>
        <v>獎狀</v>
      </c>
      <c r="H1598" s="8"/>
    </row>
    <row r="1599">
      <c r="A1599" s="18"/>
      <c r="B1599" s="14">
        <f>IFERROR(__xludf.DUMMYFUNCTION("""COMPUTED_VALUE"""),323406.0)</f>
        <v>323406</v>
      </c>
      <c r="C1599" s="14" t="str">
        <f>IFERROR(__xludf.DUMMYFUNCTION("""COMPUTED_VALUE"""),"張芸慈")</f>
        <v>張芸慈</v>
      </c>
      <c r="D1599" s="16" t="str">
        <f>IFERROR(__xludf.DUMMYFUNCTION("""COMPUTED_VALUE"""),"ske*****60172@mail.edu.tw")</f>
        <v>ske*****60172@mail.edu.tw</v>
      </c>
      <c r="E1599" s="17" t="str">
        <f>IFERROR(__xludf.DUMMYFUNCTION("""COMPUTED_VALUE"""),"苗栗縣立新港國民中小學國中部")</f>
        <v>苗栗縣立新港國民中小學國中部</v>
      </c>
      <c r="F1599" s="14" t="str">
        <f>IFERROR(__xludf.DUMMYFUNCTION("""COMPUTED_VALUE"""),"七年級")</f>
        <v>七年級</v>
      </c>
      <c r="G1599" s="14" t="str">
        <f>IFERROR(__xludf.DUMMYFUNCTION("""COMPUTED_VALUE"""),"獎狀")</f>
        <v>獎狀</v>
      </c>
      <c r="H1599" s="8"/>
    </row>
    <row r="1600">
      <c r="A1600" s="18"/>
      <c r="B1600" s="14">
        <f>IFERROR(__xludf.DUMMYFUNCTION("""COMPUTED_VALUE"""),356068.0)</f>
        <v>356068</v>
      </c>
      <c r="C1600" s="14" t="str">
        <f>IFERROR(__xludf.DUMMYFUNCTION("""COMPUTED_VALUE"""),"劉巧鈴")</f>
        <v>劉巧鈴</v>
      </c>
      <c r="D1600" s="16" t="str">
        <f>IFERROR(__xludf.DUMMYFUNCTION("""COMPUTED_VALUE"""),"lil*****8280828@mail.edu.tw")</f>
        <v>lil*****8280828@mail.edu.tw</v>
      </c>
      <c r="E1600" s="17" t="str">
        <f>IFERROR(__xludf.DUMMYFUNCTION("""COMPUTED_VALUE"""),"苗栗縣立新港國民中小學國中部")</f>
        <v>苗栗縣立新港國民中小學國中部</v>
      </c>
      <c r="F1600" s="14" t="str">
        <f>IFERROR(__xludf.DUMMYFUNCTION("""COMPUTED_VALUE"""),"七年級")</f>
        <v>七年級</v>
      </c>
      <c r="G1600" s="14" t="str">
        <f>IFERROR(__xludf.DUMMYFUNCTION("""COMPUTED_VALUE"""),"獎狀")</f>
        <v>獎狀</v>
      </c>
      <c r="H1600" s="8"/>
    </row>
    <row r="1601">
      <c r="A1601" s="18"/>
      <c r="B1601" s="14">
        <f>IFERROR(__xludf.DUMMYFUNCTION("""COMPUTED_VALUE"""),383838.0)</f>
        <v>383838</v>
      </c>
      <c r="C1601" s="14" t="str">
        <f>IFERROR(__xludf.DUMMYFUNCTION("""COMPUTED_VALUE"""),"張曉筠")</f>
        <v>張曉筠</v>
      </c>
      <c r="D1601" s="16" t="str">
        <f>IFERROR(__xludf.DUMMYFUNCTION("""COMPUTED_VALUE"""),"luc*****4@mail.edu.tw")</f>
        <v>luc*****4@mail.edu.tw</v>
      </c>
      <c r="E1601" s="17" t="str">
        <f>IFERROR(__xludf.DUMMYFUNCTION("""COMPUTED_VALUE"""),"苗栗縣立新港國民中小學國中部")</f>
        <v>苗栗縣立新港國民中小學國中部</v>
      </c>
      <c r="F1601" s="14" t="str">
        <f>IFERROR(__xludf.DUMMYFUNCTION("""COMPUTED_VALUE"""),"八年級")</f>
        <v>八年級</v>
      </c>
      <c r="G1601" s="14" t="str">
        <f>IFERROR(__xludf.DUMMYFUNCTION("""COMPUTED_VALUE"""),"●小禮物")</f>
        <v>●小禮物</v>
      </c>
      <c r="H1601" s="8"/>
    </row>
    <row r="1602">
      <c r="A1602" s="18"/>
      <c r="B1602" s="14">
        <f>IFERROR(__xludf.DUMMYFUNCTION("""COMPUTED_VALUE"""),467615.0)</f>
        <v>467615</v>
      </c>
      <c r="C1602" s="14" t="str">
        <f>IFERROR(__xludf.DUMMYFUNCTION("""COMPUTED_VALUE"""),"黃柏翔")</f>
        <v>黃柏翔</v>
      </c>
      <c r="D1602" s="16" t="str">
        <f>IFERROR(__xludf.DUMMYFUNCTION("""COMPUTED_VALUE"""),"mic*****011@mail.edu.tw")</f>
        <v>mic*****011@mail.edu.tw</v>
      </c>
      <c r="E1602" s="17" t="str">
        <f>IFERROR(__xludf.DUMMYFUNCTION("""COMPUTED_VALUE"""),"苗栗縣立新港國民中小學國中部")</f>
        <v>苗栗縣立新港國民中小學國中部</v>
      </c>
      <c r="F1602" s="14" t="str">
        <f>IFERROR(__xludf.DUMMYFUNCTION("""COMPUTED_VALUE"""),"八年級")</f>
        <v>八年級</v>
      </c>
      <c r="G1602" s="14" t="str">
        <f>IFERROR(__xludf.DUMMYFUNCTION("""COMPUTED_VALUE"""),"●小禮物")</f>
        <v>●小禮物</v>
      </c>
      <c r="H1602" s="8"/>
    </row>
    <row r="1603">
      <c r="A1603" s="18"/>
      <c r="B1603" s="14">
        <f>IFERROR(__xludf.DUMMYFUNCTION("""COMPUTED_VALUE"""),383851.0)</f>
        <v>383851</v>
      </c>
      <c r="C1603" s="14" t="str">
        <f>IFERROR(__xludf.DUMMYFUNCTION("""COMPUTED_VALUE"""),"蔣佳芸")</f>
        <v>蔣佳芸</v>
      </c>
      <c r="D1603" s="16" t="str">
        <f>IFERROR(__xludf.DUMMYFUNCTION("""COMPUTED_VALUE"""),"dor*****@mail.edu.tw")</f>
        <v>dor*****@mail.edu.tw</v>
      </c>
      <c r="E1603" s="17" t="str">
        <f>IFERROR(__xludf.DUMMYFUNCTION("""COMPUTED_VALUE"""),"苗栗縣立新港國民中小學國中部")</f>
        <v>苗栗縣立新港國民中小學國中部</v>
      </c>
      <c r="F1603" s="14" t="str">
        <f>IFERROR(__xludf.DUMMYFUNCTION("""COMPUTED_VALUE"""),"八年級")</f>
        <v>八年級</v>
      </c>
      <c r="G1603" s="14" t="str">
        <f>IFERROR(__xludf.DUMMYFUNCTION("""COMPUTED_VALUE"""),"●小禮物")</f>
        <v>●小禮物</v>
      </c>
      <c r="H1603" s="8"/>
    </row>
    <row r="1604">
      <c r="A1604" s="18"/>
      <c r="B1604" s="14">
        <f>IFERROR(__xludf.DUMMYFUNCTION("""COMPUTED_VALUE"""),469919.0)</f>
        <v>469919</v>
      </c>
      <c r="C1604" s="14" t="str">
        <f>IFERROR(__xludf.DUMMYFUNCTION("""COMPUTED_VALUE"""),"吳舜傑")</f>
        <v>吳舜傑</v>
      </c>
      <c r="D1604" s="16" t="str">
        <f>IFERROR(__xludf.DUMMYFUNCTION("""COMPUTED_VALUE"""),"mlp*****mail.edu.tw")</f>
        <v>mlp*****mail.edu.tw</v>
      </c>
      <c r="E1604" s="17" t="str">
        <f>IFERROR(__xludf.DUMMYFUNCTION("""COMPUTED_VALUE"""),"苗栗縣立新港國民中小學國中部")</f>
        <v>苗栗縣立新港國民中小學國中部</v>
      </c>
      <c r="F1604" s="14" t="str">
        <f>IFERROR(__xludf.DUMMYFUNCTION("""COMPUTED_VALUE"""),"八年級")</f>
        <v>八年級</v>
      </c>
      <c r="G1604" s="14" t="str">
        <f>IFERROR(__xludf.DUMMYFUNCTION("""COMPUTED_VALUE"""),"★禮券$200")</f>
        <v>★禮券$200</v>
      </c>
      <c r="H1604" s="8"/>
    </row>
    <row r="1605">
      <c r="A1605" s="18"/>
      <c r="B1605" s="14">
        <f>IFERROR(__xludf.DUMMYFUNCTION("""COMPUTED_VALUE"""),383820.0)</f>
        <v>383820</v>
      </c>
      <c r="C1605" s="14" t="str">
        <f>IFERROR(__xludf.DUMMYFUNCTION("""COMPUTED_VALUE"""),"邱敬雅")</f>
        <v>邱敬雅</v>
      </c>
      <c r="D1605" s="16" t="str">
        <f>IFERROR(__xludf.DUMMYFUNCTION("""COMPUTED_VALUE"""),"jud*****ail.edu.tw")</f>
        <v>jud*****ail.edu.tw</v>
      </c>
      <c r="E1605" s="17" t="str">
        <f>IFERROR(__xludf.DUMMYFUNCTION("""COMPUTED_VALUE"""),"苗栗縣立新港國民中小學國中部")</f>
        <v>苗栗縣立新港國民中小學國中部</v>
      </c>
      <c r="F1605" s="14" t="str">
        <f>IFERROR(__xludf.DUMMYFUNCTION("""COMPUTED_VALUE"""),"八年級")</f>
        <v>八年級</v>
      </c>
      <c r="G1605" s="14" t="str">
        <f>IFERROR(__xludf.DUMMYFUNCTION("""COMPUTED_VALUE"""),"獎狀")</f>
        <v>獎狀</v>
      </c>
      <c r="H1605" s="8"/>
    </row>
    <row r="1606">
      <c r="A1606" s="18"/>
      <c r="B1606" s="14">
        <f>IFERROR(__xludf.DUMMYFUNCTION("""COMPUTED_VALUE"""),495388.0)</f>
        <v>495388</v>
      </c>
      <c r="C1606" s="14" t="str">
        <f>IFERROR(__xludf.DUMMYFUNCTION("""COMPUTED_VALUE"""),"孫宇嫻")</f>
        <v>孫宇嫻</v>
      </c>
      <c r="D1606" s="16" t="str">
        <f>IFERROR(__xludf.DUMMYFUNCTION("""COMPUTED_VALUE"""),"wh1*****@mail.edu.tw")</f>
        <v>wh1*****@mail.edu.tw</v>
      </c>
      <c r="E1606" s="17" t="str">
        <f>IFERROR(__xludf.DUMMYFUNCTION("""COMPUTED_VALUE"""),"苗栗縣立新港國民中小學國中部")</f>
        <v>苗栗縣立新港國民中小學國中部</v>
      </c>
      <c r="F1606" s="14" t="str">
        <f>IFERROR(__xludf.DUMMYFUNCTION("""COMPUTED_VALUE"""),"八年級")</f>
        <v>八年級</v>
      </c>
      <c r="G1606" s="14" t="str">
        <f>IFERROR(__xludf.DUMMYFUNCTION("""COMPUTED_VALUE"""),"獎狀")</f>
        <v>獎狀</v>
      </c>
      <c r="H1606" s="8"/>
    </row>
    <row r="1607">
      <c r="A1607" s="18"/>
      <c r="B1607" s="14">
        <f>IFERROR(__xludf.DUMMYFUNCTION("""COMPUTED_VALUE"""),388303.0)</f>
        <v>388303</v>
      </c>
      <c r="C1607" s="14" t="str">
        <f>IFERROR(__xludf.DUMMYFUNCTION("""COMPUTED_VALUE"""),"劉燁")</f>
        <v>劉燁</v>
      </c>
      <c r="D1607" s="16" t="str">
        <f>IFERROR(__xludf.DUMMYFUNCTION("""COMPUTED_VALUE"""),"q1w*****d5x6c7v8@mail.edu.tw")</f>
        <v>q1w*****d5x6c7v8@mail.edu.tw</v>
      </c>
      <c r="E1607" s="17" t="str">
        <f>IFERROR(__xludf.DUMMYFUNCTION("""COMPUTED_VALUE"""),"苗栗縣立新港國民中小學國中部")</f>
        <v>苗栗縣立新港國民中小學國中部</v>
      </c>
      <c r="F1607" s="14" t="str">
        <f>IFERROR(__xludf.DUMMYFUNCTION("""COMPUTED_VALUE"""),"八年級")</f>
        <v>八年級</v>
      </c>
      <c r="G1607" s="14" t="str">
        <f>IFERROR(__xludf.DUMMYFUNCTION("""COMPUTED_VALUE"""),"獎狀")</f>
        <v>獎狀</v>
      </c>
      <c r="H1607" s="8"/>
    </row>
    <row r="1608">
      <c r="A1608" s="18"/>
      <c r="B1608" s="14">
        <f>IFERROR(__xludf.DUMMYFUNCTION("""COMPUTED_VALUE"""),388333.0)</f>
        <v>388333</v>
      </c>
      <c r="C1608" s="14" t="str">
        <f>IFERROR(__xludf.DUMMYFUNCTION("""COMPUTED_VALUE"""),"涂靖傑")</f>
        <v>涂靖傑</v>
      </c>
      <c r="D1608" s="16" t="str">
        <f>IFERROR(__xludf.DUMMYFUNCTION("""COMPUTED_VALUE"""),"jac*****25@mail.edu.tw")</f>
        <v>jac*****25@mail.edu.tw</v>
      </c>
      <c r="E1608" s="17" t="str">
        <f>IFERROR(__xludf.DUMMYFUNCTION("""COMPUTED_VALUE"""),"苗栗縣立新港國民中小學國中部")</f>
        <v>苗栗縣立新港國民中小學國中部</v>
      </c>
      <c r="F1608" s="14" t="str">
        <f>IFERROR(__xludf.DUMMYFUNCTION("""COMPUTED_VALUE"""),"八年級")</f>
        <v>八年級</v>
      </c>
      <c r="G1608" s="14" t="str">
        <f>IFERROR(__xludf.DUMMYFUNCTION("""COMPUTED_VALUE"""),"●小禮物")</f>
        <v>●小禮物</v>
      </c>
      <c r="H1608" s="8"/>
    </row>
    <row r="1609">
      <c r="A1609" s="18"/>
      <c r="B1609" s="14">
        <f>IFERROR(__xludf.DUMMYFUNCTION("""COMPUTED_VALUE"""),384171.0)</f>
        <v>384171</v>
      </c>
      <c r="C1609" s="14" t="str">
        <f>IFERROR(__xludf.DUMMYFUNCTION("""COMPUTED_VALUE"""),"廖健翔")</f>
        <v>廖健翔</v>
      </c>
      <c r="D1609" s="16" t="str">
        <f>IFERROR(__xludf.DUMMYFUNCTION("""COMPUTED_VALUE"""),"tom*****5@mail.edu.tw")</f>
        <v>tom*****5@mail.edu.tw</v>
      </c>
      <c r="E1609" s="17" t="str">
        <f>IFERROR(__xludf.DUMMYFUNCTION("""COMPUTED_VALUE"""),"苗栗縣立新港國民中小學國中部")</f>
        <v>苗栗縣立新港國民中小學國中部</v>
      </c>
      <c r="F1609" s="14" t="str">
        <f>IFERROR(__xludf.DUMMYFUNCTION("""COMPUTED_VALUE"""),"八年級")</f>
        <v>八年級</v>
      </c>
      <c r="G1609" s="14" t="str">
        <f>IFERROR(__xludf.DUMMYFUNCTION("""COMPUTED_VALUE"""),"●小禮物")</f>
        <v>●小禮物</v>
      </c>
      <c r="H1609" s="8"/>
    </row>
    <row r="1610">
      <c r="A1610" s="18"/>
      <c r="B1610" s="14">
        <f>IFERROR(__xludf.DUMMYFUNCTION("""COMPUTED_VALUE"""),467185.0)</f>
        <v>467185</v>
      </c>
      <c r="C1610" s="14" t="str">
        <f>IFERROR(__xludf.DUMMYFUNCTION("""COMPUTED_VALUE"""),"江巧羽")</f>
        <v>江巧羽</v>
      </c>
      <c r="D1610" s="16" t="str">
        <f>IFERROR(__xludf.DUMMYFUNCTION("""COMPUTED_VALUE"""),"che*****0525@mail.edu.tw")</f>
        <v>che*****0525@mail.edu.tw</v>
      </c>
      <c r="E1610" s="17" t="str">
        <f>IFERROR(__xludf.DUMMYFUNCTION("""COMPUTED_VALUE"""),"苗栗縣立新港國民中小學國中部")</f>
        <v>苗栗縣立新港國民中小學國中部</v>
      </c>
      <c r="F1610" s="14" t="str">
        <f>IFERROR(__xludf.DUMMYFUNCTION("""COMPUTED_VALUE"""),"八年級")</f>
        <v>八年級</v>
      </c>
      <c r="G1610" s="14" t="str">
        <f>IFERROR(__xludf.DUMMYFUNCTION("""COMPUTED_VALUE"""),"★禮券$500")</f>
        <v>★禮券$500</v>
      </c>
      <c r="H1610" s="8"/>
    </row>
    <row r="1611">
      <c r="A1611" s="18"/>
      <c r="B1611" s="14">
        <f>IFERROR(__xludf.DUMMYFUNCTION("""COMPUTED_VALUE"""),467180.0)</f>
        <v>467180</v>
      </c>
      <c r="C1611" s="14" t="str">
        <f>IFERROR(__xludf.DUMMYFUNCTION("""COMPUTED_VALUE"""),"王心怡")</f>
        <v>王心怡</v>
      </c>
      <c r="D1611" s="16" t="str">
        <f>IFERROR(__xludf.DUMMYFUNCTION("""COMPUTED_VALUE"""),"cin*****6@mail.edu.tw")</f>
        <v>cin*****6@mail.edu.tw</v>
      </c>
      <c r="E1611" s="17" t="str">
        <f>IFERROR(__xludf.DUMMYFUNCTION("""COMPUTED_VALUE"""),"苗栗縣立新港國民中小學國中部")</f>
        <v>苗栗縣立新港國民中小學國中部</v>
      </c>
      <c r="F1611" s="14" t="str">
        <f>IFERROR(__xludf.DUMMYFUNCTION("""COMPUTED_VALUE"""),"八年級")</f>
        <v>八年級</v>
      </c>
      <c r="G1611" s="14" t="str">
        <f>IFERROR(__xludf.DUMMYFUNCTION("""COMPUTED_VALUE"""),"獎狀")</f>
        <v>獎狀</v>
      </c>
      <c r="H1611" s="8"/>
    </row>
    <row r="1612">
      <c r="A1612" s="18"/>
      <c r="B1612" s="14">
        <f>IFERROR(__xludf.DUMMYFUNCTION("""COMPUTED_VALUE"""),372483.0)</f>
        <v>372483</v>
      </c>
      <c r="C1612" s="14" t="str">
        <f>IFERROR(__xludf.DUMMYFUNCTION("""COMPUTED_VALUE"""),"解羽彤")</f>
        <v>解羽彤</v>
      </c>
      <c r="D1612" s="16" t="str">
        <f>IFERROR(__xludf.DUMMYFUNCTION("""COMPUTED_VALUE"""),"dor*****3@mail.edu.tw")</f>
        <v>dor*****3@mail.edu.tw</v>
      </c>
      <c r="E1612" s="17" t="str">
        <f>IFERROR(__xludf.DUMMYFUNCTION("""COMPUTED_VALUE"""),"苗栗縣立新港國民中小學國中部")</f>
        <v>苗栗縣立新港國民中小學國中部</v>
      </c>
      <c r="F1612" s="14" t="str">
        <f>IFERROR(__xludf.DUMMYFUNCTION("""COMPUTED_VALUE"""),"八年級")</f>
        <v>八年級</v>
      </c>
      <c r="G1612" s="14" t="str">
        <f>IFERROR(__xludf.DUMMYFUNCTION("""COMPUTED_VALUE"""),"獎狀")</f>
        <v>獎狀</v>
      </c>
      <c r="H1612" s="8"/>
    </row>
    <row r="1613">
      <c r="A1613" s="18"/>
      <c r="B1613" s="14">
        <f>IFERROR(__xludf.DUMMYFUNCTION("""COMPUTED_VALUE"""),383850.0)</f>
        <v>383850</v>
      </c>
      <c r="C1613" s="14" t="str">
        <f>IFERROR(__xludf.DUMMYFUNCTION("""COMPUTED_VALUE"""),"魏羽涵")</f>
        <v>魏羽涵</v>
      </c>
      <c r="D1613" s="16" t="str">
        <f>IFERROR(__xludf.DUMMYFUNCTION("""COMPUTED_VALUE"""),"han*****98021072@mail.edu.tw")</f>
        <v>han*****98021072@mail.edu.tw</v>
      </c>
      <c r="E1613" s="17" t="str">
        <f>IFERROR(__xludf.DUMMYFUNCTION("""COMPUTED_VALUE"""),"苗栗縣立新港國民中小學國中部")</f>
        <v>苗栗縣立新港國民中小學國中部</v>
      </c>
      <c r="F1613" s="14" t="str">
        <f>IFERROR(__xludf.DUMMYFUNCTION("""COMPUTED_VALUE"""),"八年級")</f>
        <v>八年級</v>
      </c>
      <c r="G1613" s="14" t="str">
        <f>IFERROR(__xludf.DUMMYFUNCTION("""COMPUTED_VALUE"""),"獎狀")</f>
        <v>獎狀</v>
      </c>
      <c r="H1613" s="8"/>
    </row>
    <row r="1614">
      <c r="A1614" s="18"/>
      <c r="B1614" s="14">
        <f>IFERROR(__xludf.DUMMYFUNCTION("""COMPUTED_VALUE"""),384188.0)</f>
        <v>384188</v>
      </c>
      <c r="C1614" s="14" t="str">
        <f>IFERROR(__xludf.DUMMYFUNCTION("""COMPUTED_VALUE"""),"沈祐婷")</f>
        <v>沈祐婷</v>
      </c>
      <c r="D1614" s="16" t="str">
        <f>IFERROR(__xludf.DUMMYFUNCTION("""COMPUTED_VALUE"""),"rub*****@mail.edu.tw")</f>
        <v>rub*****@mail.edu.tw</v>
      </c>
      <c r="E1614" s="17" t="str">
        <f>IFERROR(__xludf.DUMMYFUNCTION("""COMPUTED_VALUE"""),"苗栗縣立新港國民中小學國中部")</f>
        <v>苗栗縣立新港國民中小學國中部</v>
      </c>
      <c r="F1614" s="14" t="str">
        <f>IFERROR(__xludf.DUMMYFUNCTION("""COMPUTED_VALUE"""),"八年級")</f>
        <v>八年級</v>
      </c>
      <c r="G1614" s="14" t="str">
        <f>IFERROR(__xludf.DUMMYFUNCTION("""COMPUTED_VALUE"""),"●小禮物")</f>
        <v>●小禮物</v>
      </c>
      <c r="H1614" s="8"/>
    </row>
    <row r="1615">
      <c r="A1615" s="18"/>
      <c r="B1615" s="14">
        <f>IFERROR(__xludf.DUMMYFUNCTION("""COMPUTED_VALUE"""),467612.0)</f>
        <v>467612</v>
      </c>
      <c r="C1615" s="14" t="str">
        <f>IFERROR(__xludf.DUMMYFUNCTION("""COMPUTED_VALUE"""),"林子敬")</f>
        <v>林子敬</v>
      </c>
      <c r="D1615" s="16" t="str">
        <f>IFERROR(__xludf.DUMMYFUNCTION("""COMPUTED_VALUE"""),"ton*****@mail.edu.tw")</f>
        <v>ton*****@mail.edu.tw</v>
      </c>
      <c r="E1615" s="17" t="str">
        <f>IFERROR(__xludf.DUMMYFUNCTION("""COMPUTED_VALUE"""),"苗栗縣立新港國民中小學國中部")</f>
        <v>苗栗縣立新港國民中小學國中部</v>
      </c>
      <c r="F1615" s="14" t="str">
        <f>IFERROR(__xludf.DUMMYFUNCTION("""COMPUTED_VALUE"""),"八年級")</f>
        <v>八年級</v>
      </c>
      <c r="G1615" s="14" t="str">
        <f>IFERROR(__xludf.DUMMYFUNCTION("""COMPUTED_VALUE"""),"●小禮物")</f>
        <v>●小禮物</v>
      </c>
      <c r="H1615" s="8"/>
    </row>
    <row r="1616">
      <c r="A1616" s="18"/>
      <c r="B1616" s="14">
        <f>IFERROR(__xludf.DUMMYFUNCTION("""COMPUTED_VALUE"""),467183.0)</f>
        <v>467183</v>
      </c>
      <c r="C1616" s="14" t="str">
        <f>IFERROR(__xludf.DUMMYFUNCTION("""COMPUTED_VALUE"""),"林勻芮")</f>
        <v>林勻芮</v>
      </c>
      <c r="D1616" s="16" t="str">
        <f>IFERROR(__xludf.DUMMYFUNCTION("""COMPUTED_VALUE"""),"ray*****@mail.edu.tw")</f>
        <v>ray*****@mail.edu.tw</v>
      </c>
      <c r="E1616" s="17" t="str">
        <f>IFERROR(__xludf.DUMMYFUNCTION("""COMPUTED_VALUE"""),"苗栗縣立新港國民中小學國中部")</f>
        <v>苗栗縣立新港國民中小學國中部</v>
      </c>
      <c r="F1616" s="14" t="str">
        <f>IFERROR(__xludf.DUMMYFUNCTION("""COMPUTED_VALUE"""),"八年級")</f>
        <v>八年級</v>
      </c>
      <c r="G1616" s="14" t="str">
        <f>IFERROR(__xludf.DUMMYFUNCTION("""COMPUTED_VALUE"""),"●小禮物")</f>
        <v>●小禮物</v>
      </c>
      <c r="H1616" s="8"/>
    </row>
    <row r="1617">
      <c r="A1617" s="18"/>
      <c r="B1617" s="14">
        <f>IFERROR(__xludf.DUMMYFUNCTION("""COMPUTED_VALUE"""),467177.0)</f>
        <v>467177</v>
      </c>
      <c r="C1617" s="14" t="str">
        <f>IFERROR(__xludf.DUMMYFUNCTION("""COMPUTED_VALUE"""),"林妍希")</f>
        <v>林妍希</v>
      </c>
      <c r="D1617" s="16" t="str">
        <f>IFERROR(__xludf.DUMMYFUNCTION("""COMPUTED_VALUE"""),"lis*****@mail.edu.tw")</f>
        <v>lis*****@mail.edu.tw</v>
      </c>
      <c r="E1617" s="17" t="str">
        <f>IFERROR(__xludf.DUMMYFUNCTION("""COMPUTED_VALUE"""),"苗栗縣立新港國民中小學國中部")</f>
        <v>苗栗縣立新港國民中小學國中部</v>
      </c>
      <c r="F1617" s="14" t="str">
        <f>IFERROR(__xludf.DUMMYFUNCTION("""COMPUTED_VALUE"""),"八年級")</f>
        <v>八年級</v>
      </c>
      <c r="G1617" s="14" t="str">
        <f>IFERROR(__xludf.DUMMYFUNCTION("""COMPUTED_VALUE"""),"●小禮物")</f>
        <v>●小禮物</v>
      </c>
      <c r="H1617" s="8"/>
    </row>
    <row r="1618">
      <c r="A1618" s="18"/>
      <c r="B1618" s="14">
        <f>IFERROR(__xludf.DUMMYFUNCTION("""COMPUTED_VALUE"""),388309.0)</f>
        <v>388309</v>
      </c>
      <c r="C1618" s="14" t="str">
        <f>IFERROR(__xludf.DUMMYFUNCTION("""COMPUTED_VALUE"""),"林沄葶")</f>
        <v>林沄葶</v>
      </c>
      <c r="D1618" s="16" t="str">
        <f>IFERROR(__xludf.DUMMYFUNCTION("""COMPUTED_VALUE"""),"js1*****@mail.edu.tw")</f>
        <v>js1*****@mail.edu.tw</v>
      </c>
      <c r="E1618" s="17" t="str">
        <f>IFERROR(__xludf.DUMMYFUNCTION("""COMPUTED_VALUE"""),"苗栗縣立新港國民中小學國中部")</f>
        <v>苗栗縣立新港國民中小學國中部</v>
      </c>
      <c r="F1618" s="14" t="str">
        <f>IFERROR(__xludf.DUMMYFUNCTION("""COMPUTED_VALUE"""),"八年級")</f>
        <v>八年級</v>
      </c>
      <c r="G1618" s="14" t="str">
        <f>IFERROR(__xludf.DUMMYFUNCTION("""COMPUTED_VALUE"""),"●小禮物")</f>
        <v>●小禮物</v>
      </c>
      <c r="H1618" s="8"/>
    </row>
    <row r="1619">
      <c r="A1619" s="18"/>
      <c r="B1619" s="14">
        <f>IFERROR(__xludf.DUMMYFUNCTION("""COMPUTED_VALUE"""),383852.0)</f>
        <v>383852</v>
      </c>
      <c r="C1619" s="14" t="str">
        <f>IFERROR(__xludf.DUMMYFUNCTION("""COMPUTED_VALUE"""),"林宛螢")</f>
        <v>林宛螢</v>
      </c>
      <c r="D1619" s="16" t="str">
        <f>IFERROR(__xludf.DUMMYFUNCTION("""COMPUTED_VALUE"""),"ail*****308@mail.edu.tw")</f>
        <v>ail*****308@mail.edu.tw</v>
      </c>
      <c r="E1619" s="17" t="str">
        <f>IFERROR(__xludf.DUMMYFUNCTION("""COMPUTED_VALUE"""),"苗栗縣立新港國民中小學國中部")</f>
        <v>苗栗縣立新港國民中小學國中部</v>
      </c>
      <c r="F1619" s="14" t="str">
        <f>IFERROR(__xludf.DUMMYFUNCTION("""COMPUTED_VALUE"""),"八年級")</f>
        <v>八年級</v>
      </c>
      <c r="G1619" s="14" t="str">
        <f>IFERROR(__xludf.DUMMYFUNCTION("""COMPUTED_VALUE"""),"●小禮物")</f>
        <v>●小禮物</v>
      </c>
      <c r="H1619" s="8"/>
    </row>
    <row r="1620">
      <c r="A1620" s="18"/>
      <c r="B1620" s="14">
        <f>IFERROR(__xludf.DUMMYFUNCTION("""COMPUTED_VALUE"""),492675.0)</f>
        <v>492675</v>
      </c>
      <c r="C1620" s="14" t="str">
        <f>IFERROR(__xludf.DUMMYFUNCTION("""COMPUTED_VALUE"""),"陳敬勛")</f>
        <v>陳敬勛</v>
      </c>
      <c r="D1620" s="16" t="str">
        <f>IFERROR(__xludf.DUMMYFUNCTION("""COMPUTED_VALUE"""),"goe*****21@mail.edu.tw")</f>
        <v>goe*****21@mail.edu.tw</v>
      </c>
      <c r="E1620" s="17" t="str">
        <f>IFERROR(__xludf.DUMMYFUNCTION("""COMPUTED_VALUE"""),"苗栗縣立新港國民中小學國中部")</f>
        <v>苗栗縣立新港國民中小學國中部</v>
      </c>
      <c r="F1620" s="14" t="str">
        <f>IFERROR(__xludf.DUMMYFUNCTION("""COMPUTED_VALUE"""),"八年級")</f>
        <v>八年級</v>
      </c>
      <c r="G1620" s="14" t="str">
        <f>IFERROR(__xludf.DUMMYFUNCTION("""COMPUTED_VALUE"""),"●小禮物")</f>
        <v>●小禮物</v>
      </c>
      <c r="H1620" s="8"/>
    </row>
    <row r="1621">
      <c r="A1621" s="18"/>
      <c r="B1621" s="14">
        <f>IFERROR(__xludf.DUMMYFUNCTION("""COMPUTED_VALUE"""),467172.0)</f>
        <v>467172</v>
      </c>
      <c r="C1621" s="14" t="str">
        <f>IFERROR(__xludf.DUMMYFUNCTION("""COMPUTED_VALUE"""),"黃泯薰")</f>
        <v>黃泯薰</v>
      </c>
      <c r="D1621" s="16" t="str">
        <f>IFERROR(__xludf.DUMMYFUNCTION("""COMPUTED_VALUE"""),"kqa*****d@mail.edu.tw")</f>
        <v>kqa*****d@mail.edu.tw</v>
      </c>
      <c r="E1621" s="17" t="str">
        <f>IFERROR(__xludf.DUMMYFUNCTION("""COMPUTED_VALUE"""),"苗栗縣立新港國民中小學國中部")</f>
        <v>苗栗縣立新港國民中小學國中部</v>
      </c>
      <c r="F1621" s="14" t="str">
        <f>IFERROR(__xludf.DUMMYFUNCTION("""COMPUTED_VALUE"""),"八年級")</f>
        <v>八年級</v>
      </c>
      <c r="G1621" s="14" t="str">
        <f>IFERROR(__xludf.DUMMYFUNCTION("""COMPUTED_VALUE"""),"●小禮物")</f>
        <v>●小禮物</v>
      </c>
      <c r="H1621" s="8"/>
    </row>
    <row r="1622">
      <c r="A1622" s="18"/>
      <c r="B1622" s="14">
        <f>IFERROR(__xludf.DUMMYFUNCTION("""COMPUTED_VALUE"""),467189.0)</f>
        <v>467189</v>
      </c>
      <c r="C1622" s="14" t="str">
        <f>IFERROR(__xludf.DUMMYFUNCTION("""COMPUTED_VALUE"""),"劉思彤")</f>
        <v>劉思彤</v>
      </c>
      <c r="D1622" s="16" t="str">
        <f>IFERROR(__xludf.DUMMYFUNCTION("""COMPUTED_VALUE"""),"mia*****ail.edu.tw")</f>
        <v>mia*****ail.edu.tw</v>
      </c>
      <c r="E1622" s="17" t="str">
        <f>IFERROR(__xludf.DUMMYFUNCTION("""COMPUTED_VALUE"""),"苗栗縣立新港國民中小學國中部")</f>
        <v>苗栗縣立新港國民中小學國中部</v>
      </c>
      <c r="F1622" s="14" t="str">
        <f>IFERROR(__xludf.DUMMYFUNCTION("""COMPUTED_VALUE"""),"八年級")</f>
        <v>八年級</v>
      </c>
      <c r="G1622" s="14" t="str">
        <f>IFERROR(__xludf.DUMMYFUNCTION("""COMPUTED_VALUE"""),"●小禮物")</f>
        <v>●小禮物</v>
      </c>
      <c r="H1622" s="8"/>
    </row>
    <row r="1623">
      <c r="A1623" s="18"/>
      <c r="B1623" s="14">
        <f>IFERROR(__xludf.DUMMYFUNCTION("""COMPUTED_VALUE"""),383858.0)</f>
        <v>383858</v>
      </c>
      <c r="C1623" s="14" t="str">
        <f>IFERROR(__xludf.DUMMYFUNCTION("""COMPUTED_VALUE"""),"賴奕縈")</f>
        <v>賴奕縈</v>
      </c>
      <c r="D1623" s="16" t="str">
        <f>IFERROR(__xludf.DUMMYFUNCTION("""COMPUTED_VALUE"""),"ela*****107@mail.edu.tw")</f>
        <v>ela*****107@mail.edu.tw</v>
      </c>
      <c r="E1623" s="17" t="str">
        <f>IFERROR(__xludf.DUMMYFUNCTION("""COMPUTED_VALUE"""),"苗栗縣立新港國民中小學國中部")</f>
        <v>苗栗縣立新港國民中小學國中部</v>
      </c>
      <c r="F1623" s="14" t="str">
        <f>IFERROR(__xludf.DUMMYFUNCTION("""COMPUTED_VALUE"""),"八年級")</f>
        <v>八年級</v>
      </c>
      <c r="G1623" s="14" t="str">
        <f>IFERROR(__xludf.DUMMYFUNCTION("""COMPUTED_VALUE"""),"●小禮物")</f>
        <v>●小禮物</v>
      </c>
      <c r="H1623" s="8"/>
    </row>
    <row r="1624">
      <c r="A1624" s="18"/>
      <c r="B1624" s="14">
        <f>IFERROR(__xludf.DUMMYFUNCTION("""COMPUTED_VALUE"""),384195.0)</f>
        <v>384195</v>
      </c>
      <c r="C1624" s="14" t="str">
        <f>IFERROR(__xludf.DUMMYFUNCTION("""COMPUTED_VALUE"""),"鍾政恩")</f>
        <v>鍾政恩</v>
      </c>
      <c r="D1624" s="16" t="str">
        <f>IFERROR(__xludf.DUMMYFUNCTION("""COMPUTED_VALUE"""),"jef*****8714@mail.edu.tw")</f>
        <v>jef*****8714@mail.edu.tw</v>
      </c>
      <c r="E1624" s="17" t="str">
        <f>IFERROR(__xludf.DUMMYFUNCTION("""COMPUTED_VALUE"""),"苗栗縣立新港國民中小學國中部")</f>
        <v>苗栗縣立新港國民中小學國中部</v>
      </c>
      <c r="F1624" s="14" t="str">
        <f>IFERROR(__xludf.DUMMYFUNCTION("""COMPUTED_VALUE"""),"八年級")</f>
        <v>八年級</v>
      </c>
      <c r="G1624" s="14" t="str">
        <f>IFERROR(__xludf.DUMMYFUNCTION("""COMPUTED_VALUE"""),"●小禮物")</f>
        <v>●小禮物</v>
      </c>
      <c r="H1624" s="8"/>
    </row>
    <row r="1625">
      <c r="A1625" s="18"/>
      <c r="B1625" s="14">
        <f>IFERROR(__xludf.DUMMYFUNCTION("""COMPUTED_VALUE"""),218405.0)</f>
        <v>218405</v>
      </c>
      <c r="C1625" s="14" t="str">
        <f>IFERROR(__xludf.DUMMYFUNCTION("""COMPUTED_VALUE"""),"魏婕安")</f>
        <v>魏婕安</v>
      </c>
      <c r="D1625" s="16" t="str">
        <f>IFERROR(__xludf.DUMMYFUNCTION("""COMPUTED_VALUE"""),"joa*****16@mail.edu.tw")</f>
        <v>joa*****16@mail.edu.tw</v>
      </c>
      <c r="E1625" s="17" t="str">
        <f>IFERROR(__xludf.DUMMYFUNCTION("""COMPUTED_VALUE"""),"苗栗縣立新港國民中小學國中部")</f>
        <v>苗栗縣立新港國民中小學國中部</v>
      </c>
      <c r="F1625" s="14" t="str">
        <f>IFERROR(__xludf.DUMMYFUNCTION("""COMPUTED_VALUE"""),"八年級")</f>
        <v>八年級</v>
      </c>
      <c r="G1625" s="14" t="str">
        <f>IFERROR(__xludf.DUMMYFUNCTION("""COMPUTED_VALUE"""),"●小禮物")</f>
        <v>●小禮物</v>
      </c>
      <c r="H1625" s="8"/>
    </row>
    <row r="1626">
      <c r="A1626" s="18"/>
      <c r="B1626" s="14">
        <f>IFERROR(__xludf.DUMMYFUNCTION("""COMPUTED_VALUE"""),467179.0)</f>
        <v>467179</v>
      </c>
      <c r="C1626" s="14" t="str">
        <f>IFERROR(__xludf.DUMMYFUNCTION("""COMPUTED_VALUE"""),"林珈毓")</f>
        <v>林珈毓</v>
      </c>
      <c r="D1626" s="16" t="str">
        <f>IFERROR(__xludf.DUMMYFUNCTION("""COMPUTED_VALUE"""),"yum*****20@mail.edu.tw")</f>
        <v>yum*****20@mail.edu.tw</v>
      </c>
      <c r="E1626" s="17" t="str">
        <f>IFERROR(__xludf.DUMMYFUNCTION("""COMPUTED_VALUE"""),"苗栗縣立新港國民中小學國中部")</f>
        <v>苗栗縣立新港國民中小學國中部</v>
      </c>
      <c r="F1626" s="14" t="str">
        <f>IFERROR(__xludf.DUMMYFUNCTION("""COMPUTED_VALUE"""),"八年級")</f>
        <v>八年級</v>
      </c>
      <c r="G1626" s="14" t="str">
        <f>IFERROR(__xludf.DUMMYFUNCTION("""COMPUTED_VALUE"""),"獎狀")</f>
        <v>獎狀</v>
      </c>
      <c r="H1626" s="8"/>
    </row>
    <row r="1627">
      <c r="A1627" s="18"/>
      <c r="B1627" s="14">
        <f>IFERROR(__xludf.DUMMYFUNCTION("""COMPUTED_VALUE"""),458489.0)</f>
        <v>458489</v>
      </c>
      <c r="C1627" s="14" t="str">
        <f>IFERROR(__xludf.DUMMYFUNCTION("""COMPUTED_VALUE"""),"洪睿琦")</f>
        <v>洪睿琦</v>
      </c>
      <c r="D1627" s="16" t="str">
        <f>IFERROR(__xludf.DUMMYFUNCTION("""COMPUTED_VALUE"""),"ric*****219@mail.edu.tw")</f>
        <v>ric*****219@mail.edu.tw</v>
      </c>
      <c r="E1627" s="17" t="str">
        <f>IFERROR(__xludf.DUMMYFUNCTION("""COMPUTED_VALUE"""),"苗栗縣立新港國民中小學國中部")</f>
        <v>苗栗縣立新港國民中小學國中部</v>
      </c>
      <c r="F1627" s="14" t="str">
        <f>IFERROR(__xludf.DUMMYFUNCTION("""COMPUTED_VALUE"""),"八年級")</f>
        <v>八年級</v>
      </c>
      <c r="G1627" s="14" t="str">
        <f>IFERROR(__xludf.DUMMYFUNCTION("""COMPUTED_VALUE"""),"獎狀")</f>
        <v>獎狀</v>
      </c>
      <c r="H1627" s="8"/>
    </row>
    <row r="1628">
      <c r="A1628" s="18"/>
      <c r="B1628" s="14">
        <f>IFERROR(__xludf.DUMMYFUNCTION("""COMPUTED_VALUE"""),378666.0)</f>
        <v>378666</v>
      </c>
      <c r="C1628" s="14" t="str">
        <f>IFERROR(__xludf.DUMMYFUNCTION("""COMPUTED_VALUE"""),"張竣豪")</f>
        <v>張竣豪</v>
      </c>
      <c r="D1628" s="16" t="str">
        <f>IFERROR(__xludf.DUMMYFUNCTION("""COMPUTED_VALUE"""),"hir*****5@mail.edu.tw")</f>
        <v>hir*****5@mail.edu.tw</v>
      </c>
      <c r="E1628" s="17" t="str">
        <f>IFERROR(__xludf.DUMMYFUNCTION("""COMPUTED_VALUE"""),"苗栗縣立新港國民中小學國中部")</f>
        <v>苗栗縣立新港國民中小學國中部</v>
      </c>
      <c r="F1628" s="14" t="str">
        <f>IFERROR(__xludf.DUMMYFUNCTION("""COMPUTED_VALUE"""),"八年級")</f>
        <v>八年級</v>
      </c>
      <c r="G1628" s="14" t="str">
        <f>IFERROR(__xludf.DUMMYFUNCTION("""COMPUTED_VALUE"""),"獎狀")</f>
        <v>獎狀</v>
      </c>
      <c r="H1628" s="8"/>
    </row>
    <row r="1629">
      <c r="A1629" s="18"/>
      <c r="B1629" s="14">
        <f>IFERROR(__xludf.DUMMYFUNCTION("""COMPUTED_VALUE"""),383813.0)</f>
        <v>383813</v>
      </c>
      <c r="C1629" s="14" t="str">
        <f>IFERROR(__xludf.DUMMYFUNCTION("""COMPUTED_VALUE"""),"陳奕綸")</f>
        <v>陳奕綸</v>
      </c>
      <c r="D1629" s="16" t="str">
        <f>IFERROR(__xludf.DUMMYFUNCTION("""COMPUTED_VALUE"""),"bil*****23@mail.edu.tw")</f>
        <v>bil*****23@mail.edu.tw</v>
      </c>
      <c r="E1629" s="17" t="str">
        <f>IFERROR(__xludf.DUMMYFUNCTION("""COMPUTED_VALUE"""),"苗栗縣立新港國民中小學國中部")</f>
        <v>苗栗縣立新港國民中小學國中部</v>
      </c>
      <c r="F1629" s="14" t="str">
        <f>IFERROR(__xludf.DUMMYFUNCTION("""COMPUTED_VALUE"""),"八年級")</f>
        <v>八年級</v>
      </c>
      <c r="G1629" s="14" t="str">
        <f>IFERROR(__xludf.DUMMYFUNCTION("""COMPUTED_VALUE"""),"獎狀")</f>
        <v>獎狀</v>
      </c>
      <c r="H1629" s="8"/>
    </row>
    <row r="1630">
      <c r="A1630" s="18"/>
      <c r="B1630" s="14">
        <f>IFERROR(__xludf.DUMMYFUNCTION("""COMPUTED_VALUE"""),388378.0)</f>
        <v>388378</v>
      </c>
      <c r="C1630" s="14" t="str">
        <f>IFERROR(__xludf.DUMMYFUNCTION("""COMPUTED_VALUE"""),"張庭苡")</f>
        <v>張庭苡</v>
      </c>
      <c r="D1630" s="16" t="str">
        <f>IFERROR(__xludf.DUMMYFUNCTION("""COMPUTED_VALUE"""),"nin*****@mail.edu.tw")</f>
        <v>nin*****@mail.edu.tw</v>
      </c>
      <c r="E1630" s="17" t="str">
        <f>IFERROR(__xludf.DUMMYFUNCTION("""COMPUTED_VALUE"""),"苗栗縣立新港國民中小學國中部")</f>
        <v>苗栗縣立新港國民中小學國中部</v>
      </c>
      <c r="F1630" s="14" t="str">
        <f>IFERROR(__xludf.DUMMYFUNCTION("""COMPUTED_VALUE"""),"九年級")</f>
        <v>九年級</v>
      </c>
      <c r="G1630" s="14" t="str">
        <f>IFERROR(__xludf.DUMMYFUNCTION("""COMPUTED_VALUE"""),"●小禮物")</f>
        <v>●小禮物</v>
      </c>
      <c r="H1630" s="8"/>
    </row>
    <row r="1631">
      <c r="A1631" s="18"/>
      <c r="B1631" s="14">
        <f>IFERROR(__xludf.DUMMYFUNCTION("""COMPUTED_VALUE"""),511299.0)</f>
        <v>511299</v>
      </c>
      <c r="C1631" s="14" t="str">
        <f>IFERROR(__xludf.DUMMYFUNCTION("""COMPUTED_VALUE"""),"陳泓邑")</f>
        <v>陳泓邑</v>
      </c>
      <c r="D1631" s="16" t="str">
        <f>IFERROR(__xludf.DUMMYFUNCTION("""COMPUTED_VALUE"""),"eri*****17@mail.edu.tw")</f>
        <v>eri*****17@mail.edu.tw</v>
      </c>
      <c r="E1631" s="17" t="str">
        <f>IFERROR(__xludf.DUMMYFUNCTION("""COMPUTED_VALUE"""),"苗栗縣立新港國民中小學國中部")</f>
        <v>苗栗縣立新港國民中小學國中部</v>
      </c>
      <c r="F1631" s="14" t="str">
        <f>IFERROR(__xludf.DUMMYFUNCTION("""COMPUTED_VALUE"""),"九年級")</f>
        <v>九年級</v>
      </c>
      <c r="G1631" s="14" t="str">
        <f>IFERROR(__xludf.DUMMYFUNCTION("""COMPUTED_VALUE"""),"獎狀")</f>
        <v>獎狀</v>
      </c>
      <c r="H1631" s="8"/>
    </row>
    <row r="1632">
      <c r="A1632" s="18"/>
      <c r="B1632" s="14">
        <f>IFERROR(__xludf.DUMMYFUNCTION("""COMPUTED_VALUE"""),498237.0)</f>
        <v>498237</v>
      </c>
      <c r="C1632" s="14" t="str">
        <f>IFERROR(__xludf.DUMMYFUNCTION("""COMPUTED_VALUE"""),"張宇傑")</f>
        <v>張宇傑</v>
      </c>
      <c r="D1632" s="16" t="str">
        <f>IFERROR(__xludf.DUMMYFUNCTION("""COMPUTED_VALUE"""),"mik*****@mail.edu.tw")</f>
        <v>mik*****@mail.edu.tw</v>
      </c>
      <c r="E1632" s="17" t="str">
        <f>IFERROR(__xludf.DUMMYFUNCTION("""COMPUTED_VALUE"""),"苗栗縣立新港國民中小學國中部")</f>
        <v>苗栗縣立新港國民中小學國中部</v>
      </c>
      <c r="F1632" s="14" t="str">
        <f>IFERROR(__xludf.DUMMYFUNCTION("""COMPUTED_VALUE"""),"九年級")</f>
        <v>九年級</v>
      </c>
      <c r="G1632" s="14" t="str">
        <f>IFERROR(__xludf.DUMMYFUNCTION("""COMPUTED_VALUE"""),"●小禮物")</f>
        <v>●小禮物</v>
      </c>
      <c r="H1632" s="8"/>
    </row>
    <row r="1633">
      <c r="A1633" s="18"/>
      <c r="B1633" s="14">
        <f>IFERROR(__xludf.DUMMYFUNCTION("""COMPUTED_VALUE"""),498227.0)</f>
        <v>498227</v>
      </c>
      <c r="C1633" s="14" t="str">
        <f>IFERROR(__xludf.DUMMYFUNCTION("""COMPUTED_VALUE"""),"蔡宜瑾")</f>
        <v>蔡宜瑾</v>
      </c>
      <c r="D1633" s="16" t="str">
        <f>IFERROR(__xludf.DUMMYFUNCTION("""COMPUTED_VALUE"""),"hl0*****mail.edu.tw")</f>
        <v>hl0*****mail.edu.tw</v>
      </c>
      <c r="E1633" s="17" t="str">
        <f>IFERROR(__xludf.DUMMYFUNCTION("""COMPUTED_VALUE"""),"苗栗縣立新港國民中小學國中部")</f>
        <v>苗栗縣立新港國民中小學國中部</v>
      </c>
      <c r="F1633" s="14" t="str">
        <f>IFERROR(__xludf.DUMMYFUNCTION("""COMPUTED_VALUE"""),"九年級")</f>
        <v>九年級</v>
      </c>
      <c r="G1633" s="14" t="str">
        <f>IFERROR(__xludf.DUMMYFUNCTION("""COMPUTED_VALUE"""),"獎狀")</f>
        <v>獎狀</v>
      </c>
      <c r="H1633" s="8"/>
    </row>
    <row r="1634">
      <c r="A1634" s="18"/>
      <c r="B1634" s="14">
        <f>IFERROR(__xludf.DUMMYFUNCTION("""COMPUTED_VALUE"""),388417.0)</f>
        <v>388417</v>
      </c>
      <c r="C1634" s="14" t="str">
        <f>IFERROR(__xludf.DUMMYFUNCTION("""COMPUTED_VALUE"""),"魏柏懿")</f>
        <v>魏柏懿</v>
      </c>
      <c r="D1634" s="16" t="str">
        <f>IFERROR(__xludf.DUMMYFUNCTION("""COMPUTED_VALUE"""),"pau*****6@mail.edu.tw")</f>
        <v>pau*****6@mail.edu.tw</v>
      </c>
      <c r="E1634" s="17" t="str">
        <f>IFERROR(__xludf.DUMMYFUNCTION("""COMPUTED_VALUE"""),"苗栗縣立新港國民中小學國中部")</f>
        <v>苗栗縣立新港國民中小學國中部</v>
      </c>
      <c r="F1634" s="14" t="str">
        <f>IFERROR(__xludf.DUMMYFUNCTION("""COMPUTED_VALUE"""),"九年級")</f>
        <v>九年級</v>
      </c>
      <c r="G1634" s="14" t="str">
        <f>IFERROR(__xludf.DUMMYFUNCTION("""COMPUTED_VALUE"""),"獎狀")</f>
        <v>獎狀</v>
      </c>
      <c r="H1634" s="8"/>
    </row>
    <row r="1635">
      <c r="A1635" s="18"/>
      <c r="B1635" s="14">
        <f>IFERROR(__xludf.DUMMYFUNCTION("""COMPUTED_VALUE"""),465505.0)</f>
        <v>465505</v>
      </c>
      <c r="C1635" s="14" t="str">
        <f>IFERROR(__xludf.DUMMYFUNCTION("""COMPUTED_VALUE"""),"謝傑宇")</f>
        <v>謝傑宇</v>
      </c>
      <c r="D1635" s="16" t="str">
        <f>IFERROR(__xludf.DUMMYFUNCTION("""COMPUTED_VALUE"""),"tse*****68@mail.edu.tw")</f>
        <v>tse*****68@mail.edu.tw</v>
      </c>
      <c r="E1635" s="17" t="str">
        <f>IFERROR(__xludf.DUMMYFUNCTION("""COMPUTED_VALUE"""),"苗栗縣立通霄國民中學")</f>
        <v>苗栗縣立通霄國民中學</v>
      </c>
      <c r="F1635" s="14" t="str">
        <f>IFERROR(__xludf.DUMMYFUNCTION("""COMPUTED_VALUE"""),"八年級")</f>
        <v>八年級</v>
      </c>
      <c r="G1635" s="14" t="str">
        <f>IFERROR(__xludf.DUMMYFUNCTION("""COMPUTED_VALUE"""),"獎狀")</f>
        <v>獎狀</v>
      </c>
      <c r="H1635" s="8"/>
    </row>
    <row r="1636">
      <c r="A1636" s="18"/>
      <c r="B1636" s="14">
        <f>IFERROR(__xludf.DUMMYFUNCTION("""COMPUTED_VALUE"""),888803.0)</f>
        <v>888803</v>
      </c>
      <c r="C1636" s="14" t="str">
        <f>IFERROR(__xludf.DUMMYFUNCTION("""COMPUTED_VALUE"""),"李景揚")</f>
        <v>李景揚</v>
      </c>
      <c r="D1636" s="16" t="str">
        <f>IFERROR(__xludf.DUMMYFUNCTION("""COMPUTED_VALUE"""),"tse*****07@mail.edu.tw")</f>
        <v>tse*****07@mail.edu.tw</v>
      </c>
      <c r="E1636" s="17" t="str">
        <f>IFERROR(__xludf.DUMMYFUNCTION("""COMPUTED_VALUE"""),"苗栗縣立烏眉國民中學")</f>
        <v>苗栗縣立烏眉國民中學</v>
      </c>
      <c r="F1636" s="14" t="str">
        <f>IFERROR(__xludf.DUMMYFUNCTION("""COMPUTED_VALUE"""),"七年級")</f>
        <v>七年級</v>
      </c>
      <c r="G1636" s="14" t="str">
        <f>IFERROR(__xludf.DUMMYFUNCTION("""COMPUTED_VALUE"""),"★禮券$200")</f>
        <v>★禮券$200</v>
      </c>
      <c r="H1636" s="8"/>
    </row>
    <row r="1637">
      <c r="A1637" s="18"/>
      <c r="B1637" s="14">
        <f>IFERROR(__xludf.DUMMYFUNCTION("""COMPUTED_VALUE"""),835129.0)</f>
        <v>835129</v>
      </c>
      <c r="C1637" s="14" t="str">
        <f>IFERROR(__xludf.DUMMYFUNCTION("""COMPUTED_VALUE"""),"賴星諺")</f>
        <v>賴星諺</v>
      </c>
      <c r="D1637" s="16" t="str">
        <f>IFERROR(__xludf.DUMMYFUNCTION("""COMPUTED_VALUE"""),"tst*****008@mail.edu.tw")</f>
        <v>tst*****008@mail.edu.tw</v>
      </c>
      <c r="E1637" s="17" t="str">
        <f>IFERROR(__xludf.DUMMYFUNCTION("""COMPUTED_VALUE"""),"苗栗縣立烏眉國民中學")</f>
        <v>苗栗縣立烏眉國民中學</v>
      </c>
      <c r="F1637" s="14" t="str">
        <f>IFERROR(__xludf.DUMMYFUNCTION("""COMPUTED_VALUE"""),"八年級")</f>
        <v>八年級</v>
      </c>
      <c r="G1637" s="14" t="str">
        <f>IFERROR(__xludf.DUMMYFUNCTION("""COMPUTED_VALUE"""),"★禮券$200")</f>
        <v>★禮券$200</v>
      </c>
      <c r="H1637" s="8"/>
    </row>
    <row r="1638">
      <c r="A1638" s="18"/>
      <c r="B1638" s="14">
        <f>IFERROR(__xludf.DUMMYFUNCTION("""COMPUTED_VALUE"""),835089.0)</f>
        <v>835089</v>
      </c>
      <c r="C1638" s="14" t="str">
        <f>IFERROR(__xludf.DUMMYFUNCTION("""COMPUTED_VALUE"""),"吳芳嫻")</f>
        <v>吳芳嫻</v>
      </c>
      <c r="D1638" s="16" t="str">
        <f>IFERROR(__xludf.DUMMYFUNCTION("""COMPUTED_VALUE"""),"tse*****06@mail.edu.tw")</f>
        <v>tse*****06@mail.edu.tw</v>
      </c>
      <c r="E1638" s="17" t="str">
        <f>IFERROR(__xludf.DUMMYFUNCTION("""COMPUTED_VALUE"""),"苗栗縣立烏眉國民中學")</f>
        <v>苗栗縣立烏眉國民中學</v>
      </c>
      <c r="F1638" s="14" t="str">
        <f>IFERROR(__xludf.DUMMYFUNCTION("""COMPUTED_VALUE"""),"八年級")</f>
        <v>八年級</v>
      </c>
      <c r="G1638" s="14" t="str">
        <f>IFERROR(__xludf.DUMMYFUNCTION("""COMPUTED_VALUE"""),"●小禮物")</f>
        <v>●小禮物</v>
      </c>
      <c r="H1638" s="8"/>
    </row>
    <row r="1639">
      <c r="A1639" s="18"/>
      <c r="B1639" s="14">
        <f>IFERROR(__xludf.DUMMYFUNCTION("""COMPUTED_VALUE"""),842869.0)</f>
        <v>842869</v>
      </c>
      <c r="C1639" s="14" t="str">
        <f>IFERROR(__xludf.DUMMYFUNCTION("""COMPUTED_VALUE"""),"張庭瑜")</f>
        <v>張庭瑜</v>
      </c>
      <c r="D1639" s="16" t="str">
        <f>IFERROR(__xludf.DUMMYFUNCTION("""COMPUTED_VALUE"""),"tse*****49@mail.edu.tw")</f>
        <v>tse*****49@mail.edu.tw</v>
      </c>
      <c r="E1639" s="17" t="str">
        <f>IFERROR(__xludf.DUMMYFUNCTION("""COMPUTED_VALUE"""),"苗栗縣立烏眉國民中學")</f>
        <v>苗栗縣立烏眉國民中學</v>
      </c>
      <c r="F1639" s="14" t="str">
        <f>IFERROR(__xludf.DUMMYFUNCTION("""COMPUTED_VALUE"""),"八年級")</f>
        <v>八年級</v>
      </c>
      <c r="G1639" s="14" t="str">
        <f>IFERROR(__xludf.DUMMYFUNCTION("""COMPUTED_VALUE"""),"●小禮物")</f>
        <v>●小禮物</v>
      </c>
      <c r="H1639" s="8"/>
    </row>
    <row r="1640">
      <c r="A1640" s="18"/>
      <c r="B1640" s="14">
        <f>IFERROR(__xludf.DUMMYFUNCTION("""COMPUTED_VALUE"""),369040.0)</f>
        <v>369040</v>
      </c>
      <c r="C1640" s="14" t="str">
        <f>IFERROR(__xludf.DUMMYFUNCTION("""COMPUTED_VALUE"""),"梁睿庭")</f>
        <v>梁睿庭</v>
      </c>
      <c r="D1640" s="16" t="str">
        <f>IFERROR(__xludf.DUMMYFUNCTION("""COMPUTED_VALUE"""),"abb*****ail.edu.tw")</f>
        <v>abb*****ail.edu.tw</v>
      </c>
      <c r="E1640" s="17" t="str">
        <f>IFERROR(__xludf.DUMMYFUNCTION("""COMPUTED_VALUE"""),"苗栗縣立烏眉國民中學")</f>
        <v>苗栗縣立烏眉國民中學</v>
      </c>
      <c r="F1640" s="14" t="str">
        <f>IFERROR(__xludf.DUMMYFUNCTION("""COMPUTED_VALUE"""),"八年級")</f>
        <v>八年級</v>
      </c>
      <c r="G1640" s="14" t="str">
        <f>IFERROR(__xludf.DUMMYFUNCTION("""COMPUTED_VALUE"""),"●小禮物")</f>
        <v>●小禮物</v>
      </c>
      <c r="H1640" s="8"/>
    </row>
    <row r="1641">
      <c r="A1641" s="18"/>
      <c r="B1641" s="14">
        <f>IFERROR(__xludf.DUMMYFUNCTION("""COMPUTED_VALUE"""),234599.0)</f>
        <v>234599</v>
      </c>
      <c r="C1641" s="14" t="str">
        <f>IFERROR(__xludf.DUMMYFUNCTION("""COMPUTED_VALUE"""),"黃勤")</f>
        <v>黃勤</v>
      </c>
      <c r="D1641" s="16" t="str">
        <f>IFERROR(__xludf.DUMMYFUNCTION("""COMPUTED_VALUE"""),"dhe*****09@mail.edu.tw")</f>
        <v>dhe*****09@mail.edu.tw</v>
      </c>
      <c r="E1641" s="17" t="str">
        <f>IFERROR(__xludf.DUMMYFUNCTION("""COMPUTED_VALUE"""),"苗栗縣立烏眉國民中學")</f>
        <v>苗栗縣立烏眉國民中學</v>
      </c>
      <c r="F1641" s="14" t="str">
        <f>IFERROR(__xludf.DUMMYFUNCTION("""COMPUTED_VALUE"""),"八年級")</f>
        <v>八年級</v>
      </c>
      <c r="G1641" s="14" t="str">
        <f>IFERROR(__xludf.DUMMYFUNCTION("""COMPUTED_VALUE"""),"●小禮物")</f>
        <v>●小禮物</v>
      </c>
      <c r="H1641" s="8"/>
    </row>
    <row r="1642">
      <c r="A1642" s="18"/>
      <c r="B1642" s="14">
        <f>IFERROR(__xludf.DUMMYFUNCTION("""COMPUTED_VALUE"""),481219.0)</f>
        <v>481219</v>
      </c>
      <c r="C1642" s="14" t="str">
        <f>IFERROR(__xludf.DUMMYFUNCTION("""COMPUTED_VALUE"""),"錢宸宇")</f>
        <v>錢宸宇</v>
      </c>
      <c r="D1642" s="16" t="str">
        <f>IFERROR(__xludf.DUMMYFUNCTION("""COMPUTED_VALUE"""),"bkb*****57@mail.edu.tw")</f>
        <v>bkb*****57@mail.edu.tw</v>
      </c>
      <c r="E1642" s="17" t="str">
        <f>IFERROR(__xludf.DUMMYFUNCTION("""COMPUTED_VALUE"""),"苗栗縣立烏眉國民中學")</f>
        <v>苗栗縣立烏眉國民中學</v>
      </c>
      <c r="F1642" s="14" t="str">
        <f>IFERROR(__xludf.DUMMYFUNCTION("""COMPUTED_VALUE"""),"八年級")</f>
        <v>八年級</v>
      </c>
      <c r="G1642" s="14" t="str">
        <f>IFERROR(__xludf.DUMMYFUNCTION("""COMPUTED_VALUE"""),"●小禮物")</f>
        <v>●小禮物</v>
      </c>
      <c r="H1642" s="8"/>
    </row>
    <row r="1643">
      <c r="A1643" s="18"/>
      <c r="B1643" s="14">
        <f>IFERROR(__xludf.DUMMYFUNCTION("""COMPUTED_VALUE"""),835066.0)</f>
        <v>835066</v>
      </c>
      <c r="C1643" s="14" t="str">
        <f>IFERROR(__xludf.DUMMYFUNCTION("""COMPUTED_VALUE"""),"羅心妙")</f>
        <v>羅心妙</v>
      </c>
      <c r="D1643" s="16" t="str">
        <f>IFERROR(__xludf.DUMMYFUNCTION("""COMPUTED_VALUE"""),"tse*****05@mail.edu.tw")</f>
        <v>tse*****05@mail.edu.tw</v>
      </c>
      <c r="E1643" s="17" t="str">
        <f>IFERROR(__xludf.DUMMYFUNCTION("""COMPUTED_VALUE"""),"苗栗縣立烏眉國民中學")</f>
        <v>苗栗縣立烏眉國民中學</v>
      </c>
      <c r="F1643" s="14" t="str">
        <f>IFERROR(__xludf.DUMMYFUNCTION("""COMPUTED_VALUE"""),"八年級")</f>
        <v>八年級</v>
      </c>
      <c r="G1643" s="14" t="str">
        <f>IFERROR(__xludf.DUMMYFUNCTION("""COMPUTED_VALUE"""),"●小禮物")</f>
        <v>●小禮物</v>
      </c>
      <c r="H1643" s="8"/>
    </row>
    <row r="1644">
      <c r="A1644" s="18"/>
      <c r="B1644" s="14">
        <f>IFERROR(__xludf.DUMMYFUNCTION("""COMPUTED_VALUE"""),534791.0)</f>
        <v>534791</v>
      </c>
      <c r="C1644" s="14" t="str">
        <f>IFERROR(__xludf.DUMMYFUNCTION("""COMPUTED_VALUE"""),"余湘淳")</f>
        <v>余湘淳</v>
      </c>
      <c r="D1644" s="16" t="str">
        <f>IFERROR(__xludf.DUMMYFUNCTION("""COMPUTED_VALUE"""),"k75*****mail.edu.tw")</f>
        <v>k75*****mail.edu.tw</v>
      </c>
      <c r="E1644" s="17" t="str">
        <f>IFERROR(__xludf.DUMMYFUNCTION("""COMPUTED_VALUE"""),"苗栗縣立烏眉國民中學")</f>
        <v>苗栗縣立烏眉國民中學</v>
      </c>
      <c r="F1644" s="14" t="str">
        <f>IFERROR(__xludf.DUMMYFUNCTION("""COMPUTED_VALUE"""),"八年級")</f>
        <v>八年級</v>
      </c>
      <c r="G1644" s="14" t="str">
        <f>IFERROR(__xludf.DUMMYFUNCTION("""COMPUTED_VALUE"""),"獎狀")</f>
        <v>獎狀</v>
      </c>
      <c r="H1644" s="8"/>
    </row>
    <row r="1645">
      <c r="A1645" s="18"/>
      <c r="B1645" s="14">
        <f>IFERROR(__xludf.DUMMYFUNCTION("""COMPUTED_VALUE"""),835006.0)</f>
        <v>835006</v>
      </c>
      <c r="C1645" s="14" t="str">
        <f>IFERROR(__xludf.DUMMYFUNCTION("""COMPUTED_VALUE"""),"范桂瑄")</f>
        <v>范桂瑄</v>
      </c>
      <c r="D1645" s="16" t="str">
        <f>IFERROR(__xludf.DUMMYFUNCTION("""COMPUTED_VALUE"""),"tse*****27@mail.edu.tw")</f>
        <v>tse*****27@mail.edu.tw</v>
      </c>
      <c r="E1645" s="17" t="str">
        <f>IFERROR(__xludf.DUMMYFUNCTION("""COMPUTED_VALUE"""),"苗栗縣立烏眉國民中學")</f>
        <v>苗栗縣立烏眉國民中學</v>
      </c>
      <c r="F1645" s="14" t="str">
        <f>IFERROR(__xludf.DUMMYFUNCTION("""COMPUTED_VALUE"""),"八年級")</f>
        <v>八年級</v>
      </c>
      <c r="G1645" s="14" t="str">
        <f>IFERROR(__xludf.DUMMYFUNCTION("""COMPUTED_VALUE"""),"獎狀")</f>
        <v>獎狀</v>
      </c>
      <c r="H1645" s="8"/>
    </row>
    <row r="1646">
      <c r="A1646" s="18"/>
      <c r="B1646" s="14">
        <f>IFERROR(__xludf.DUMMYFUNCTION("""COMPUTED_VALUE"""),381057.0)</f>
        <v>381057</v>
      </c>
      <c r="C1646" s="14" t="str">
        <f>IFERROR(__xludf.DUMMYFUNCTION("""COMPUTED_VALUE"""),"陳昕")</f>
        <v>陳昕</v>
      </c>
      <c r="D1646" s="16" t="str">
        <f>IFERROR(__xludf.DUMMYFUNCTION("""COMPUTED_VALUE"""),"cin*****68.13@mail.edu.tw")</f>
        <v>cin*****68.13@mail.edu.tw</v>
      </c>
      <c r="E1646" s="17" t="str">
        <f>IFERROR(__xludf.DUMMYFUNCTION("""COMPUTED_VALUE"""),"苗栗縣立烏眉國民中學")</f>
        <v>苗栗縣立烏眉國民中學</v>
      </c>
      <c r="F1646" s="14" t="str">
        <f>IFERROR(__xludf.DUMMYFUNCTION("""COMPUTED_VALUE"""),"八年級")</f>
        <v>八年級</v>
      </c>
      <c r="G1646" s="14" t="str">
        <f>IFERROR(__xludf.DUMMYFUNCTION("""COMPUTED_VALUE"""),"獎狀")</f>
        <v>獎狀</v>
      </c>
      <c r="H1646" s="8"/>
    </row>
    <row r="1647">
      <c r="A1647" s="18"/>
      <c r="B1647" s="14">
        <f>IFERROR(__xludf.DUMMYFUNCTION("""COMPUTED_VALUE"""),484025.0)</f>
        <v>484025</v>
      </c>
      <c r="C1647" s="14" t="str">
        <f>IFERROR(__xludf.DUMMYFUNCTION("""COMPUTED_VALUE"""),"劉冠良")</f>
        <v>劉冠良</v>
      </c>
      <c r="D1647" s="16" t="str">
        <f>IFERROR(__xludf.DUMMYFUNCTION("""COMPUTED_VALUE"""),"mlc*****0104003@mail.edu.tw")</f>
        <v>mlc*****0104003@mail.edu.tw</v>
      </c>
      <c r="E1647" s="17" t="str">
        <f>IFERROR(__xludf.DUMMYFUNCTION("""COMPUTED_VALUE"""),"苗栗縣立烏眉國民中學")</f>
        <v>苗栗縣立烏眉國民中學</v>
      </c>
      <c r="F1647" s="14" t="str">
        <f>IFERROR(__xludf.DUMMYFUNCTION("""COMPUTED_VALUE"""),"八年級")</f>
        <v>八年級</v>
      </c>
      <c r="G1647" s="14" t="str">
        <f>IFERROR(__xludf.DUMMYFUNCTION("""COMPUTED_VALUE"""),"●小禮物")</f>
        <v>●小禮物</v>
      </c>
      <c r="H1647" s="8"/>
    </row>
    <row r="1648">
      <c r="A1648" s="18"/>
      <c r="B1648" s="14">
        <f>IFERROR(__xludf.DUMMYFUNCTION("""COMPUTED_VALUE"""),898194.0)</f>
        <v>898194</v>
      </c>
      <c r="C1648" s="14" t="str">
        <f>IFERROR(__xludf.DUMMYFUNCTION("""COMPUTED_VALUE"""),"吳岳承")</f>
        <v>吳岳承</v>
      </c>
      <c r="D1648" s="16" t="str">
        <f>IFERROR(__xludf.DUMMYFUNCTION("""COMPUTED_VALUE"""),"054*****017@stu.mlc.edu.tw")</f>
        <v>054*****017@stu.mlc.edu.tw</v>
      </c>
      <c r="E1648" s="17" t="str">
        <f>IFERROR(__xludf.DUMMYFUNCTION("""COMPUTED_VALUE"""),"苗栗縣立烏眉國民中學")</f>
        <v>苗栗縣立烏眉國民中學</v>
      </c>
      <c r="F1648" s="14" t="str">
        <f>IFERROR(__xludf.DUMMYFUNCTION("""COMPUTED_VALUE"""),"八年級")</f>
        <v>八年級</v>
      </c>
      <c r="G1648" s="14" t="str">
        <f>IFERROR(__xludf.DUMMYFUNCTION("""COMPUTED_VALUE"""),"●小禮物")</f>
        <v>●小禮物</v>
      </c>
      <c r="H1648" s="8"/>
    </row>
    <row r="1649">
      <c r="A1649" s="18"/>
      <c r="B1649" s="14">
        <f>IFERROR(__xludf.DUMMYFUNCTION("""COMPUTED_VALUE"""),813275.0)</f>
        <v>813275</v>
      </c>
      <c r="C1649" s="14" t="str">
        <f>IFERROR(__xludf.DUMMYFUNCTION("""COMPUTED_VALUE"""),"李昕靜")</f>
        <v>李昕靜</v>
      </c>
      <c r="D1649" s="16" t="str">
        <f>IFERROR(__xludf.DUMMYFUNCTION("""COMPUTED_VALUE"""),"054*****1025@stu.mlc.edu.tw")</f>
        <v>054*****1025@stu.mlc.edu.tw</v>
      </c>
      <c r="E1649" s="17" t="str">
        <f>IFERROR(__xludf.DUMMYFUNCTION("""COMPUTED_VALUE"""),"苗栗縣立烏眉國民中學")</f>
        <v>苗栗縣立烏眉國民中學</v>
      </c>
      <c r="F1649" s="14" t="str">
        <f>IFERROR(__xludf.DUMMYFUNCTION("""COMPUTED_VALUE"""),"八年級")</f>
        <v>八年級</v>
      </c>
      <c r="G1649" s="14" t="str">
        <f>IFERROR(__xludf.DUMMYFUNCTION("""COMPUTED_VALUE"""),"●小禮物")</f>
        <v>●小禮物</v>
      </c>
      <c r="H1649" s="8"/>
    </row>
    <row r="1650">
      <c r="A1650" s="18"/>
      <c r="B1650" s="14">
        <f>IFERROR(__xludf.DUMMYFUNCTION("""COMPUTED_VALUE"""),534995.0)</f>
        <v>534995</v>
      </c>
      <c r="C1650" s="14" t="str">
        <f>IFERROR(__xludf.DUMMYFUNCTION("""COMPUTED_VALUE"""),"邱茜茜")</f>
        <v>邱茜茜</v>
      </c>
      <c r="D1650" s="16" t="str">
        <f>IFERROR(__xludf.DUMMYFUNCTION("""COMPUTED_VALUE"""),"mlc*****0104015@mail.edu.tw")</f>
        <v>mlc*****0104015@mail.edu.tw</v>
      </c>
      <c r="E1650" s="17" t="str">
        <f>IFERROR(__xludf.DUMMYFUNCTION("""COMPUTED_VALUE"""),"苗栗縣立烏眉國民中學")</f>
        <v>苗栗縣立烏眉國民中學</v>
      </c>
      <c r="F1650" s="14" t="str">
        <f>IFERROR(__xludf.DUMMYFUNCTION("""COMPUTED_VALUE"""),"八年級")</f>
        <v>八年級</v>
      </c>
      <c r="G1650" s="14" t="str">
        <f>IFERROR(__xludf.DUMMYFUNCTION("""COMPUTED_VALUE"""),"●小禮物")</f>
        <v>●小禮物</v>
      </c>
      <c r="H1650" s="8"/>
    </row>
    <row r="1651">
      <c r="A1651" s="18"/>
      <c r="B1651" s="14">
        <f>IFERROR(__xludf.DUMMYFUNCTION("""COMPUTED_VALUE"""),816010.0)</f>
        <v>816010</v>
      </c>
      <c r="C1651" s="14" t="str">
        <f>IFERROR(__xludf.DUMMYFUNCTION("""COMPUTED_VALUE"""),"黃玄全")</f>
        <v>黃玄全</v>
      </c>
      <c r="D1651" s="16" t="str">
        <f>IFERROR(__xludf.DUMMYFUNCTION("""COMPUTED_VALUE"""),"054*****1018@stu.mlc.edu.tw")</f>
        <v>054*****1018@stu.mlc.edu.tw</v>
      </c>
      <c r="E1651" s="17" t="str">
        <f>IFERROR(__xludf.DUMMYFUNCTION("""COMPUTED_VALUE"""),"苗栗縣立烏眉國民中學")</f>
        <v>苗栗縣立烏眉國民中學</v>
      </c>
      <c r="F1651" s="14" t="str">
        <f>IFERROR(__xludf.DUMMYFUNCTION("""COMPUTED_VALUE"""),"八年級")</f>
        <v>八年級</v>
      </c>
      <c r="G1651" s="14" t="str">
        <f>IFERROR(__xludf.DUMMYFUNCTION("""COMPUTED_VALUE"""),"●小禮物")</f>
        <v>●小禮物</v>
      </c>
      <c r="H1651" s="8"/>
    </row>
    <row r="1652">
      <c r="A1652" s="18"/>
      <c r="B1652" s="14">
        <f>IFERROR(__xludf.DUMMYFUNCTION("""COMPUTED_VALUE"""),704450.0)</f>
        <v>704450</v>
      </c>
      <c r="C1652" s="14" t="str">
        <f>IFERROR(__xludf.DUMMYFUNCTION("""COMPUTED_VALUE"""),"鄭伊辰")</f>
        <v>鄭伊辰</v>
      </c>
      <c r="D1652" s="16" t="str">
        <f>IFERROR(__xludf.DUMMYFUNCTION("""COMPUTED_VALUE"""),"emi*****8@mail.edu.tw")</f>
        <v>emi*****8@mail.edu.tw</v>
      </c>
      <c r="E1652" s="17" t="str">
        <f>IFERROR(__xludf.DUMMYFUNCTION("""COMPUTED_VALUE"""),"苗栗縣立烏眉國民中學")</f>
        <v>苗栗縣立烏眉國民中學</v>
      </c>
      <c r="F1652" s="14" t="str">
        <f>IFERROR(__xludf.DUMMYFUNCTION("""COMPUTED_VALUE"""),"八年級")</f>
        <v>八年級</v>
      </c>
      <c r="G1652" s="14" t="str">
        <f>IFERROR(__xludf.DUMMYFUNCTION("""COMPUTED_VALUE"""),"●小禮物")</f>
        <v>●小禮物</v>
      </c>
      <c r="H1652" s="8"/>
    </row>
    <row r="1653">
      <c r="A1653" s="18"/>
      <c r="B1653" s="14">
        <f>IFERROR(__xludf.DUMMYFUNCTION("""COMPUTED_VALUE"""),813527.0)</f>
        <v>813527</v>
      </c>
      <c r="C1653" s="14" t="str">
        <f>IFERROR(__xludf.DUMMYFUNCTION("""COMPUTED_VALUE"""),"王翊菲")</f>
        <v>王翊菲</v>
      </c>
      <c r="D1653" s="16" t="str">
        <f>IFERROR(__xludf.DUMMYFUNCTION("""COMPUTED_VALUE"""),"054*****1028@stu.mlc.edu.tw")</f>
        <v>054*****1028@stu.mlc.edu.tw</v>
      </c>
      <c r="E1653" s="17" t="str">
        <f>IFERROR(__xludf.DUMMYFUNCTION("""COMPUTED_VALUE"""),"苗栗縣立烏眉國民中學")</f>
        <v>苗栗縣立烏眉國民中學</v>
      </c>
      <c r="F1653" s="14" t="str">
        <f>IFERROR(__xludf.DUMMYFUNCTION("""COMPUTED_VALUE"""),"八年級")</f>
        <v>八年級</v>
      </c>
      <c r="G1653" s="14" t="str">
        <f>IFERROR(__xludf.DUMMYFUNCTION("""COMPUTED_VALUE"""),"獎狀")</f>
        <v>獎狀</v>
      </c>
      <c r="H1653" s="8"/>
    </row>
    <row r="1654">
      <c r="A1654" s="18"/>
      <c r="B1654" s="14">
        <f>IFERROR(__xludf.DUMMYFUNCTION("""COMPUTED_VALUE"""),816553.0)</f>
        <v>816553</v>
      </c>
      <c r="C1654" s="14" t="str">
        <f>IFERROR(__xludf.DUMMYFUNCTION("""COMPUTED_VALUE"""),"張卉姍")</f>
        <v>張卉姍</v>
      </c>
      <c r="D1654" s="16" t="str">
        <f>IFERROR(__xludf.DUMMYFUNCTION("""COMPUTED_VALUE"""),"054*****1026@stu.mlc.edu.tw")</f>
        <v>054*****1026@stu.mlc.edu.tw</v>
      </c>
      <c r="E1654" s="17" t="str">
        <f>IFERROR(__xludf.DUMMYFUNCTION("""COMPUTED_VALUE"""),"苗栗縣立烏眉國民中學")</f>
        <v>苗栗縣立烏眉國民中學</v>
      </c>
      <c r="F1654" s="14" t="str">
        <f>IFERROR(__xludf.DUMMYFUNCTION("""COMPUTED_VALUE"""),"八年級")</f>
        <v>八年級</v>
      </c>
      <c r="G1654" s="14" t="str">
        <f>IFERROR(__xludf.DUMMYFUNCTION("""COMPUTED_VALUE"""),"獎狀")</f>
        <v>獎狀</v>
      </c>
      <c r="H1654" s="8"/>
    </row>
    <row r="1655">
      <c r="A1655" s="18"/>
      <c r="B1655" s="14">
        <f>IFERROR(__xludf.DUMMYFUNCTION("""COMPUTED_VALUE"""),900771.0)</f>
        <v>900771</v>
      </c>
      <c r="C1655" s="14" t="str">
        <f>IFERROR(__xludf.DUMMYFUNCTION("""COMPUTED_VALUE"""),"黃暐翔")</f>
        <v>黃暐翔</v>
      </c>
      <c r="D1655" s="16" t="str">
        <f>IFERROR(__xludf.DUMMYFUNCTION("""COMPUTED_VALUE"""),"tse*****12@mail.edu.tw")</f>
        <v>tse*****12@mail.edu.tw</v>
      </c>
      <c r="E1655" s="17" t="str">
        <f>IFERROR(__xludf.DUMMYFUNCTION("""COMPUTED_VALUE"""),"苗栗縣立烏眉國民中學")</f>
        <v>苗栗縣立烏眉國民中學</v>
      </c>
      <c r="F1655" s="14" t="str">
        <f>IFERROR(__xludf.DUMMYFUNCTION("""COMPUTED_VALUE"""),"八年級")</f>
        <v>八年級</v>
      </c>
      <c r="G1655" s="14" t="str">
        <f>IFERROR(__xludf.DUMMYFUNCTION("""COMPUTED_VALUE"""),"獎狀")</f>
        <v>獎狀</v>
      </c>
      <c r="H1655" s="8"/>
    </row>
    <row r="1656">
      <c r="A1656" s="18"/>
      <c r="B1656" s="14">
        <f>IFERROR(__xludf.DUMMYFUNCTION("""COMPUTED_VALUE"""),813318.0)</f>
        <v>813318</v>
      </c>
      <c r="C1656" s="14" t="str">
        <f>IFERROR(__xludf.DUMMYFUNCTION("""COMPUTED_VALUE"""),"鄭俊詳")</f>
        <v>鄭俊詳</v>
      </c>
      <c r="D1656" s="16" t="str">
        <f>IFERROR(__xludf.DUMMYFUNCTION("""COMPUTED_VALUE"""),"054*****1020@stu.mlc.edu.tw")</f>
        <v>054*****1020@stu.mlc.edu.tw</v>
      </c>
      <c r="E1656" s="17" t="str">
        <f>IFERROR(__xludf.DUMMYFUNCTION("""COMPUTED_VALUE"""),"苗栗縣立烏眉國民中學")</f>
        <v>苗栗縣立烏眉國民中學</v>
      </c>
      <c r="F1656" s="14" t="str">
        <f>IFERROR(__xludf.DUMMYFUNCTION("""COMPUTED_VALUE"""),"八年級")</f>
        <v>八年級</v>
      </c>
      <c r="G1656" s="14" t="str">
        <f>IFERROR(__xludf.DUMMYFUNCTION("""COMPUTED_VALUE"""),"獎狀")</f>
        <v>獎狀</v>
      </c>
      <c r="H1656" s="8"/>
    </row>
    <row r="1657">
      <c r="A1657" s="18"/>
      <c r="B1657" s="14">
        <f>IFERROR(__xludf.DUMMYFUNCTION("""COMPUTED_VALUE"""),485428.0)</f>
        <v>485428</v>
      </c>
      <c r="C1657" s="14" t="str">
        <f>IFERROR(__xludf.DUMMYFUNCTION("""COMPUTED_VALUE"""),"李承澤")</f>
        <v>李承澤</v>
      </c>
      <c r="D1657" s="16" t="str">
        <f>IFERROR(__xludf.DUMMYFUNCTION("""COMPUTED_VALUE"""),"te1*****@mail.edu.tw")</f>
        <v>te1*****@mail.edu.tw</v>
      </c>
      <c r="E1657" s="17" t="str">
        <f>IFERROR(__xludf.DUMMYFUNCTION("""COMPUTED_VALUE"""),"苗栗縣立烏眉國民中學")</f>
        <v>苗栗縣立烏眉國民中學</v>
      </c>
      <c r="F1657" s="14" t="str">
        <f>IFERROR(__xludf.DUMMYFUNCTION("""COMPUTED_VALUE"""),"九年級")</f>
        <v>九年級</v>
      </c>
      <c r="G1657" s="14" t="str">
        <f>IFERROR(__xludf.DUMMYFUNCTION("""COMPUTED_VALUE"""),"●小禮物")</f>
        <v>●小禮物</v>
      </c>
      <c r="H1657" s="8"/>
    </row>
    <row r="1658">
      <c r="A1658" s="18"/>
      <c r="B1658" s="14">
        <f>IFERROR(__xludf.DUMMYFUNCTION("""COMPUTED_VALUE"""),317495.0)</f>
        <v>317495</v>
      </c>
      <c r="C1658" s="14" t="str">
        <f>IFERROR(__xludf.DUMMYFUNCTION("""COMPUTED_VALUE"""),"李奕萱")</f>
        <v>李奕萱</v>
      </c>
      <c r="D1658" s="16" t="str">
        <f>IFERROR(__xludf.DUMMYFUNCTION("""COMPUTED_VALUE"""),"pde*****03@mail.edu.tw")</f>
        <v>pde*****03@mail.edu.tw</v>
      </c>
      <c r="E1658" s="17" t="str">
        <f>IFERROR(__xludf.DUMMYFUNCTION("""COMPUTED_VALUE"""),"苗栗縣立烏眉國民中學")</f>
        <v>苗栗縣立烏眉國民中學</v>
      </c>
      <c r="F1658" s="14" t="str">
        <f>IFERROR(__xludf.DUMMYFUNCTION("""COMPUTED_VALUE"""),"九年級")</f>
        <v>九年級</v>
      </c>
      <c r="G1658" s="14" t="str">
        <f>IFERROR(__xludf.DUMMYFUNCTION("""COMPUTED_VALUE"""),"●小禮物")</f>
        <v>●小禮物</v>
      </c>
      <c r="H1658" s="8"/>
    </row>
    <row r="1659">
      <c r="A1659" s="18"/>
      <c r="B1659" s="14">
        <f>IFERROR(__xludf.DUMMYFUNCTION("""COMPUTED_VALUE"""),438747.0)</f>
        <v>438747</v>
      </c>
      <c r="C1659" s="14" t="str">
        <f>IFERROR(__xludf.DUMMYFUNCTION("""COMPUTED_VALUE"""),"杜嘉恩")</f>
        <v>杜嘉恩</v>
      </c>
      <c r="D1659" s="16" t="str">
        <f>IFERROR(__xludf.DUMMYFUNCTION("""COMPUTED_VALUE"""),"ted*****1@mail.edu.tw")</f>
        <v>ted*****1@mail.edu.tw</v>
      </c>
      <c r="E1659" s="17" t="str">
        <f>IFERROR(__xludf.DUMMYFUNCTION("""COMPUTED_VALUE"""),"苗栗縣立烏眉國民中學")</f>
        <v>苗栗縣立烏眉國民中學</v>
      </c>
      <c r="F1659" s="14" t="str">
        <f>IFERROR(__xludf.DUMMYFUNCTION("""COMPUTED_VALUE"""),"九年級")</f>
        <v>九年級</v>
      </c>
      <c r="G1659" s="14" t="str">
        <f>IFERROR(__xludf.DUMMYFUNCTION("""COMPUTED_VALUE"""),"●小禮物")</f>
        <v>●小禮物</v>
      </c>
      <c r="H1659" s="8"/>
    </row>
    <row r="1660">
      <c r="A1660" s="18"/>
      <c r="B1660" s="14">
        <f>IFERROR(__xludf.DUMMYFUNCTION("""COMPUTED_VALUE"""),438712.0)</f>
        <v>438712</v>
      </c>
      <c r="C1660" s="14" t="str">
        <f>IFERROR(__xludf.DUMMYFUNCTION("""COMPUTED_VALUE"""),"邱婉庭")</f>
        <v>邱婉庭</v>
      </c>
      <c r="D1660" s="16" t="str">
        <f>IFERROR(__xludf.DUMMYFUNCTION("""COMPUTED_VALUE"""),"tse*****42@mail.edu.tw")</f>
        <v>tse*****42@mail.edu.tw</v>
      </c>
      <c r="E1660" s="17" t="str">
        <f>IFERROR(__xludf.DUMMYFUNCTION("""COMPUTED_VALUE"""),"苗栗縣立烏眉國民中學")</f>
        <v>苗栗縣立烏眉國民中學</v>
      </c>
      <c r="F1660" s="14" t="str">
        <f>IFERROR(__xludf.DUMMYFUNCTION("""COMPUTED_VALUE"""),"九年級")</f>
        <v>九年級</v>
      </c>
      <c r="G1660" s="14" t="str">
        <f>IFERROR(__xludf.DUMMYFUNCTION("""COMPUTED_VALUE"""),"●小禮物")</f>
        <v>●小禮物</v>
      </c>
      <c r="H1660" s="8"/>
    </row>
    <row r="1661">
      <c r="A1661" s="18"/>
      <c r="B1661" s="14">
        <f>IFERROR(__xludf.DUMMYFUNCTION("""COMPUTED_VALUE"""),438717.0)</f>
        <v>438717</v>
      </c>
      <c r="C1661" s="14" t="str">
        <f>IFERROR(__xludf.DUMMYFUNCTION("""COMPUTED_VALUE"""),"陳昱廷")</f>
        <v>陳昱廷</v>
      </c>
      <c r="D1661" s="16" t="str">
        <f>IFERROR(__xludf.DUMMYFUNCTION("""COMPUTED_VALUE"""),"tse*****162425@mail.edu.tw")</f>
        <v>tse*****162425@mail.edu.tw</v>
      </c>
      <c r="E1661" s="17" t="str">
        <f>IFERROR(__xludf.DUMMYFUNCTION("""COMPUTED_VALUE"""),"苗栗縣立烏眉國民中學")</f>
        <v>苗栗縣立烏眉國民中學</v>
      </c>
      <c r="F1661" s="14" t="str">
        <f>IFERROR(__xludf.DUMMYFUNCTION("""COMPUTED_VALUE"""),"九年級")</f>
        <v>九年級</v>
      </c>
      <c r="G1661" s="14" t="str">
        <f>IFERROR(__xludf.DUMMYFUNCTION("""COMPUTED_VALUE"""),"●小禮物")</f>
        <v>●小禮物</v>
      </c>
      <c r="H1661" s="8"/>
    </row>
    <row r="1662">
      <c r="A1662" s="18"/>
      <c r="B1662" s="14">
        <f>IFERROR(__xludf.DUMMYFUNCTION("""COMPUTED_VALUE"""),322607.0)</f>
        <v>322607</v>
      </c>
      <c r="C1662" s="14" t="str">
        <f>IFERROR(__xludf.DUMMYFUNCTION("""COMPUTED_VALUE"""),"蔡蕎憶")</f>
        <v>蔡蕎憶</v>
      </c>
      <c r="D1662" s="16" t="str">
        <f>IFERROR(__xludf.DUMMYFUNCTION("""COMPUTED_VALUE"""),"joy*****5@mail.edu.tw")</f>
        <v>joy*****5@mail.edu.tw</v>
      </c>
      <c r="E1662" s="17" t="str">
        <f>IFERROR(__xludf.DUMMYFUNCTION("""COMPUTED_VALUE"""),"苗栗縣立烏眉國民中學")</f>
        <v>苗栗縣立烏眉國民中學</v>
      </c>
      <c r="F1662" s="14" t="str">
        <f>IFERROR(__xludf.DUMMYFUNCTION("""COMPUTED_VALUE"""),"九年級")</f>
        <v>九年級</v>
      </c>
      <c r="G1662" s="14" t="str">
        <f>IFERROR(__xludf.DUMMYFUNCTION("""COMPUTED_VALUE"""),"●小禮物")</f>
        <v>●小禮物</v>
      </c>
      <c r="H1662" s="8"/>
    </row>
    <row r="1663">
      <c r="A1663" s="18"/>
      <c r="B1663" s="14">
        <f>IFERROR(__xludf.DUMMYFUNCTION("""COMPUTED_VALUE"""),485426.0)</f>
        <v>485426</v>
      </c>
      <c r="C1663" s="14" t="str">
        <f>IFERROR(__xludf.DUMMYFUNCTION("""COMPUTED_VALUE"""),"駱皇廷")</f>
        <v>駱皇廷</v>
      </c>
      <c r="D1663" s="16" t="str">
        <f>IFERROR(__xludf.DUMMYFUNCTION("""COMPUTED_VALUE"""),"te1*****@mail.edu.tw")</f>
        <v>te1*****@mail.edu.tw</v>
      </c>
      <c r="E1663" s="17" t="str">
        <f>IFERROR(__xludf.DUMMYFUNCTION("""COMPUTED_VALUE"""),"苗栗縣立烏眉國民中學")</f>
        <v>苗栗縣立烏眉國民中學</v>
      </c>
      <c r="F1663" s="14" t="str">
        <f>IFERROR(__xludf.DUMMYFUNCTION("""COMPUTED_VALUE"""),"九年級")</f>
        <v>九年級</v>
      </c>
      <c r="G1663" s="14" t="str">
        <f>IFERROR(__xludf.DUMMYFUNCTION("""COMPUTED_VALUE"""),"●小禮物")</f>
        <v>●小禮物</v>
      </c>
      <c r="H1663" s="8"/>
    </row>
    <row r="1664">
      <c r="A1664" s="18"/>
      <c r="B1664" s="14">
        <f>IFERROR(__xludf.DUMMYFUNCTION("""COMPUTED_VALUE"""),438720.0)</f>
        <v>438720</v>
      </c>
      <c r="C1664" s="14" t="str">
        <f>IFERROR(__xludf.DUMMYFUNCTION("""COMPUTED_VALUE"""),"陳璦玲")</f>
        <v>陳璦玲</v>
      </c>
      <c r="D1664" s="16" t="str">
        <f>IFERROR(__xludf.DUMMYFUNCTION("""COMPUTED_VALUE"""),"lin*****2@mail.edu.tw")</f>
        <v>lin*****2@mail.edu.tw</v>
      </c>
      <c r="E1664" s="17" t="str">
        <f>IFERROR(__xludf.DUMMYFUNCTION("""COMPUTED_VALUE"""),"苗栗縣立烏眉國民中學")</f>
        <v>苗栗縣立烏眉國民中學</v>
      </c>
      <c r="F1664" s="14" t="str">
        <f>IFERROR(__xludf.DUMMYFUNCTION("""COMPUTED_VALUE"""),"九年級")</f>
        <v>九年級</v>
      </c>
      <c r="G1664" s="14" t="str">
        <f>IFERROR(__xludf.DUMMYFUNCTION("""COMPUTED_VALUE"""),"★禮券$200")</f>
        <v>★禮券$200</v>
      </c>
      <c r="H1664" s="8"/>
    </row>
    <row r="1665">
      <c r="A1665" s="18"/>
      <c r="B1665" s="14">
        <f>IFERROR(__xludf.DUMMYFUNCTION("""COMPUTED_VALUE"""),221941.0)</f>
        <v>221941</v>
      </c>
      <c r="C1665" s="14" t="str">
        <f>IFERROR(__xludf.DUMMYFUNCTION("""COMPUTED_VALUE"""),"王亮程")</f>
        <v>王亮程</v>
      </c>
      <c r="D1665" s="16" t="str">
        <f>IFERROR(__xludf.DUMMYFUNCTION("""COMPUTED_VALUE"""),"yle*****90@mail.edu.tw")</f>
        <v>yle*****90@mail.edu.tw</v>
      </c>
      <c r="E1665" s="17" t="str">
        <f>IFERROR(__xludf.DUMMYFUNCTION("""COMPUTED_VALUE"""),"苗栗縣立烏眉國民中學")</f>
        <v>苗栗縣立烏眉國民中學</v>
      </c>
      <c r="F1665" s="14" t="str">
        <f>IFERROR(__xludf.DUMMYFUNCTION("""COMPUTED_VALUE"""),"九年級")</f>
        <v>九年級</v>
      </c>
      <c r="G1665" s="14" t="str">
        <f>IFERROR(__xludf.DUMMYFUNCTION("""COMPUTED_VALUE"""),"獎狀")</f>
        <v>獎狀</v>
      </c>
      <c r="H1665" s="8"/>
    </row>
    <row r="1666">
      <c r="A1666" s="18"/>
      <c r="B1666" s="14">
        <f>IFERROR(__xludf.DUMMYFUNCTION("""COMPUTED_VALUE"""),438710.0)</f>
        <v>438710</v>
      </c>
      <c r="C1666" s="14" t="str">
        <f>IFERROR(__xludf.DUMMYFUNCTION("""COMPUTED_VALUE"""),"張喬安")</f>
        <v>張喬安</v>
      </c>
      <c r="D1666" s="16" t="str">
        <f>IFERROR(__xludf.DUMMYFUNCTION("""COMPUTED_VALUE"""),"tse*****20@mail.edu.tw")</f>
        <v>tse*****20@mail.edu.tw</v>
      </c>
      <c r="E1666" s="17" t="str">
        <f>IFERROR(__xludf.DUMMYFUNCTION("""COMPUTED_VALUE"""),"苗栗縣立烏眉國民中學")</f>
        <v>苗栗縣立烏眉國民中學</v>
      </c>
      <c r="F1666" s="14" t="str">
        <f>IFERROR(__xludf.DUMMYFUNCTION("""COMPUTED_VALUE"""),"九年級")</f>
        <v>九年級</v>
      </c>
      <c r="G1666" s="14" t="str">
        <f>IFERROR(__xludf.DUMMYFUNCTION("""COMPUTED_VALUE"""),"獎狀")</f>
        <v>獎狀</v>
      </c>
      <c r="H1666" s="8"/>
    </row>
    <row r="1667">
      <c r="A1667" s="18"/>
      <c r="B1667" s="14">
        <f>IFERROR(__xludf.DUMMYFUNCTION("""COMPUTED_VALUE"""),438716.0)</f>
        <v>438716</v>
      </c>
      <c r="C1667" s="14" t="str">
        <f>IFERROR(__xludf.DUMMYFUNCTION("""COMPUTED_VALUE"""),"陳宥均")</f>
        <v>陳宥均</v>
      </c>
      <c r="D1667" s="16" t="str">
        <f>IFERROR(__xludf.DUMMYFUNCTION("""COMPUTED_VALUE"""),"tse*****162416@mail.edu.tw")</f>
        <v>tse*****162416@mail.edu.tw</v>
      </c>
      <c r="E1667" s="17" t="str">
        <f>IFERROR(__xludf.DUMMYFUNCTION("""COMPUTED_VALUE"""),"苗栗縣立烏眉國民中學")</f>
        <v>苗栗縣立烏眉國民中學</v>
      </c>
      <c r="F1667" s="14" t="str">
        <f>IFERROR(__xludf.DUMMYFUNCTION("""COMPUTED_VALUE"""),"九年級")</f>
        <v>九年級</v>
      </c>
      <c r="G1667" s="14" t="str">
        <f>IFERROR(__xludf.DUMMYFUNCTION("""COMPUTED_VALUE"""),"獎狀")</f>
        <v>獎狀</v>
      </c>
      <c r="H1667" s="8"/>
    </row>
    <row r="1668">
      <c r="A1668" s="18"/>
      <c r="B1668" s="14">
        <f>IFERROR(__xludf.DUMMYFUNCTION("""COMPUTED_VALUE"""),164893.0)</f>
        <v>164893</v>
      </c>
      <c r="C1668" s="14" t="str">
        <f>IFERROR(__xludf.DUMMYFUNCTION("""COMPUTED_VALUE"""),"陳楷文")</f>
        <v>陳楷文</v>
      </c>
      <c r="D1668" s="16" t="str">
        <f>IFERROR(__xludf.DUMMYFUNCTION("""COMPUTED_VALUE"""),"wu1*****@mail.edu.tw")</f>
        <v>wu1*****@mail.edu.tw</v>
      </c>
      <c r="E1668" s="17" t="str">
        <f>IFERROR(__xludf.DUMMYFUNCTION("""COMPUTED_VALUE"""),"苗栗縣立烏眉國民中學")</f>
        <v>苗栗縣立烏眉國民中學</v>
      </c>
      <c r="F1668" s="14" t="str">
        <f>IFERROR(__xludf.DUMMYFUNCTION("""COMPUTED_VALUE"""),"九年級")</f>
        <v>九年級</v>
      </c>
      <c r="G1668" s="14" t="str">
        <f>IFERROR(__xludf.DUMMYFUNCTION("""COMPUTED_VALUE"""),"獎狀")</f>
        <v>獎狀</v>
      </c>
      <c r="H1668" s="8"/>
    </row>
    <row r="1669">
      <c r="A1669" s="18"/>
      <c r="B1669" s="14">
        <f>IFERROR(__xludf.DUMMYFUNCTION("""COMPUTED_VALUE"""),165120.0)</f>
        <v>165120</v>
      </c>
      <c r="C1669" s="14" t="str">
        <f>IFERROR(__xludf.DUMMYFUNCTION("""COMPUTED_VALUE"""),"劉宇宸")</f>
        <v>劉宇宸</v>
      </c>
      <c r="D1669" s="16" t="str">
        <f>IFERROR(__xludf.DUMMYFUNCTION("""COMPUTED_VALUE"""),"wu1*****@mail.edu.tw")</f>
        <v>wu1*****@mail.edu.tw</v>
      </c>
      <c r="E1669" s="17" t="str">
        <f>IFERROR(__xludf.DUMMYFUNCTION("""COMPUTED_VALUE"""),"苗栗縣立烏眉國民中學")</f>
        <v>苗栗縣立烏眉國民中學</v>
      </c>
      <c r="F1669" s="14" t="str">
        <f>IFERROR(__xludf.DUMMYFUNCTION("""COMPUTED_VALUE"""),"九年級")</f>
        <v>九年級</v>
      </c>
      <c r="G1669" s="14" t="str">
        <f>IFERROR(__xludf.DUMMYFUNCTION("""COMPUTED_VALUE"""),"獎狀")</f>
        <v>獎狀</v>
      </c>
      <c r="H1669" s="8"/>
    </row>
    <row r="1670">
      <c r="A1670" s="18"/>
      <c r="B1670" s="14">
        <f>IFERROR(__xludf.DUMMYFUNCTION("""COMPUTED_VALUE"""),1170096.0)</f>
        <v>1170096</v>
      </c>
      <c r="C1670" s="14" t="str">
        <f>IFERROR(__xludf.DUMMYFUNCTION("""COMPUTED_VALUE"""),"余晨瑜")</f>
        <v>余晨瑜</v>
      </c>
      <c r="D1670" s="16" t="str">
        <f>IFERROR(__xludf.DUMMYFUNCTION("""COMPUTED_VALUE"""),"111*****jh.mlc.edu.tw")</f>
        <v>111*****jh.mlc.edu.tw</v>
      </c>
      <c r="E1670" s="17" t="str">
        <f>IFERROR(__xludf.DUMMYFUNCTION("""COMPUTED_VALUE"""),"苗栗縣立南和國民中學")</f>
        <v>苗栗縣立南和國民中學</v>
      </c>
      <c r="F1670" s="14" t="str">
        <f>IFERROR(__xludf.DUMMYFUNCTION("""COMPUTED_VALUE"""),"七年級")</f>
        <v>七年級</v>
      </c>
      <c r="G1670" s="14" t="str">
        <f>IFERROR(__xludf.DUMMYFUNCTION("""COMPUTED_VALUE"""),"●小禮物")</f>
        <v>●小禮物</v>
      </c>
      <c r="H1670" s="8"/>
    </row>
    <row r="1671">
      <c r="A1671" s="18"/>
      <c r="B1671" s="14">
        <f>IFERROR(__xludf.DUMMYFUNCTION("""COMPUTED_VALUE"""),485955.0)</f>
        <v>485955</v>
      </c>
      <c r="C1671" s="14" t="str">
        <f>IFERROR(__xludf.DUMMYFUNCTION("""COMPUTED_VALUE"""),"許紫葳")</f>
        <v>許紫葳</v>
      </c>
      <c r="D1671" s="16" t="str">
        <f>IFERROR(__xludf.DUMMYFUNCTION("""COMPUTED_VALUE"""),"amy*****mail.edu.tw")</f>
        <v>amy*****mail.edu.tw</v>
      </c>
      <c r="E1671" s="17" t="str">
        <f>IFERROR(__xludf.DUMMYFUNCTION("""COMPUTED_VALUE"""),"苗栗縣立南和國民中學")</f>
        <v>苗栗縣立南和國民中學</v>
      </c>
      <c r="F1671" s="14" t="str">
        <f>IFERROR(__xludf.DUMMYFUNCTION("""COMPUTED_VALUE"""),"七年級")</f>
        <v>七年級</v>
      </c>
      <c r="G1671" s="14" t="str">
        <f>IFERROR(__xludf.DUMMYFUNCTION("""COMPUTED_VALUE"""),"●小禮物")</f>
        <v>●小禮物</v>
      </c>
      <c r="H1671" s="8"/>
    </row>
    <row r="1672">
      <c r="A1672" s="18"/>
      <c r="B1672" s="14">
        <f>IFERROR(__xludf.DUMMYFUNCTION("""COMPUTED_VALUE"""),1173939.0)</f>
        <v>1173939</v>
      </c>
      <c r="C1672" s="14" t="str">
        <f>IFERROR(__xludf.DUMMYFUNCTION("""COMPUTED_VALUE"""),"楊亦勝")</f>
        <v>楊亦勝</v>
      </c>
      <c r="D1672" s="16" t="str">
        <f>IFERROR(__xludf.DUMMYFUNCTION("""COMPUTED_VALUE"""),"111*****jh.mlc.edu.tw")</f>
        <v>111*****jh.mlc.edu.tw</v>
      </c>
      <c r="E1672" s="17" t="str">
        <f>IFERROR(__xludf.DUMMYFUNCTION("""COMPUTED_VALUE"""),"苗栗縣立南和國民中學")</f>
        <v>苗栗縣立南和國民中學</v>
      </c>
      <c r="F1672" s="14" t="str">
        <f>IFERROR(__xludf.DUMMYFUNCTION("""COMPUTED_VALUE"""),"七年級")</f>
        <v>七年級</v>
      </c>
      <c r="G1672" s="14" t="str">
        <f>IFERROR(__xludf.DUMMYFUNCTION("""COMPUTED_VALUE"""),"●小禮物")</f>
        <v>●小禮物</v>
      </c>
      <c r="H1672" s="8"/>
    </row>
    <row r="1673">
      <c r="A1673" s="18"/>
      <c r="B1673" s="14">
        <f>IFERROR(__xludf.DUMMYFUNCTION("""COMPUTED_VALUE"""),1181013.0)</f>
        <v>1181013</v>
      </c>
      <c r="C1673" s="14" t="str">
        <f>IFERROR(__xludf.DUMMYFUNCTION("""COMPUTED_VALUE"""),"賴彥霖")</f>
        <v>賴彥霖</v>
      </c>
      <c r="D1673" s="16" t="str">
        <f>IFERROR(__xludf.DUMMYFUNCTION("""COMPUTED_VALUE"""),"111*****jh.mlc.edu.tw")</f>
        <v>111*****jh.mlc.edu.tw</v>
      </c>
      <c r="E1673" s="17" t="str">
        <f>IFERROR(__xludf.DUMMYFUNCTION("""COMPUTED_VALUE"""),"苗栗縣立南和國民中學")</f>
        <v>苗栗縣立南和國民中學</v>
      </c>
      <c r="F1673" s="14" t="str">
        <f>IFERROR(__xludf.DUMMYFUNCTION("""COMPUTED_VALUE"""),"七年級")</f>
        <v>七年級</v>
      </c>
      <c r="G1673" s="14" t="str">
        <f>IFERROR(__xludf.DUMMYFUNCTION("""COMPUTED_VALUE"""),"●小禮物")</f>
        <v>●小禮物</v>
      </c>
      <c r="H1673" s="8"/>
    </row>
    <row r="1674">
      <c r="A1674" s="18"/>
      <c r="B1674" s="14">
        <f>IFERROR(__xludf.DUMMYFUNCTION("""COMPUTED_VALUE"""),1174743.0)</f>
        <v>1174743</v>
      </c>
      <c r="C1674" s="14" t="str">
        <f>IFERROR(__xludf.DUMMYFUNCTION("""COMPUTED_VALUE"""),"張珍瑜")</f>
        <v>張珍瑜</v>
      </c>
      <c r="D1674" s="16" t="str">
        <f>IFERROR(__xludf.DUMMYFUNCTION("""COMPUTED_VALUE"""),"111*****jh.mlc.edu.tw")</f>
        <v>111*****jh.mlc.edu.tw</v>
      </c>
      <c r="E1674" s="17" t="str">
        <f>IFERROR(__xludf.DUMMYFUNCTION("""COMPUTED_VALUE"""),"苗栗縣立南和國民中學")</f>
        <v>苗栗縣立南和國民中學</v>
      </c>
      <c r="F1674" s="14" t="str">
        <f>IFERROR(__xludf.DUMMYFUNCTION("""COMPUTED_VALUE"""),"七年級")</f>
        <v>七年級</v>
      </c>
      <c r="G1674" s="14" t="str">
        <f>IFERROR(__xludf.DUMMYFUNCTION("""COMPUTED_VALUE"""),"獎狀")</f>
        <v>獎狀</v>
      </c>
      <c r="H1674" s="8"/>
    </row>
    <row r="1675">
      <c r="A1675" s="18"/>
      <c r="B1675" s="14">
        <f>IFERROR(__xludf.DUMMYFUNCTION("""COMPUTED_VALUE"""),1173970.0)</f>
        <v>1173970</v>
      </c>
      <c r="C1675" s="14" t="str">
        <f>IFERROR(__xludf.DUMMYFUNCTION("""COMPUTED_VALUE"""),"許鈊婷")</f>
        <v>許鈊婷</v>
      </c>
      <c r="D1675" s="16" t="str">
        <f>IFERROR(__xludf.DUMMYFUNCTION("""COMPUTED_VALUE"""),"111*****jh.mlc.edu.tw")</f>
        <v>111*****jh.mlc.edu.tw</v>
      </c>
      <c r="E1675" s="17" t="str">
        <f>IFERROR(__xludf.DUMMYFUNCTION("""COMPUTED_VALUE"""),"苗栗縣立南和國民中學")</f>
        <v>苗栗縣立南和國民中學</v>
      </c>
      <c r="F1675" s="14" t="str">
        <f>IFERROR(__xludf.DUMMYFUNCTION("""COMPUTED_VALUE"""),"七年級")</f>
        <v>七年級</v>
      </c>
      <c r="G1675" s="14" t="str">
        <f>IFERROR(__xludf.DUMMYFUNCTION("""COMPUTED_VALUE"""),"獎狀")</f>
        <v>獎狀</v>
      </c>
      <c r="H1675" s="8"/>
    </row>
    <row r="1676">
      <c r="A1676" s="18"/>
      <c r="B1676" s="14">
        <f>IFERROR(__xludf.DUMMYFUNCTION("""COMPUTED_VALUE"""),1174113.0)</f>
        <v>1174113</v>
      </c>
      <c r="C1676" s="14" t="str">
        <f>IFERROR(__xludf.DUMMYFUNCTION("""COMPUTED_VALUE"""),"鄭以威")</f>
        <v>鄭以威</v>
      </c>
      <c r="D1676" s="16" t="str">
        <f>IFERROR(__xludf.DUMMYFUNCTION("""COMPUTED_VALUE"""),"111*****jh.mlc.edu.tw")</f>
        <v>111*****jh.mlc.edu.tw</v>
      </c>
      <c r="E1676" s="17" t="str">
        <f>IFERROR(__xludf.DUMMYFUNCTION("""COMPUTED_VALUE"""),"苗栗縣立南和國民中學")</f>
        <v>苗栗縣立南和國民中學</v>
      </c>
      <c r="F1676" s="14" t="str">
        <f>IFERROR(__xludf.DUMMYFUNCTION("""COMPUTED_VALUE"""),"七年級")</f>
        <v>七年級</v>
      </c>
      <c r="G1676" s="14" t="str">
        <f>IFERROR(__xludf.DUMMYFUNCTION("""COMPUTED_VALUE"""),"獎狀")</f>
        <v>獎狀</v>
      </c>
      <c r="H1676" s="8"/>
    </row>
    <row r="1677">
      <c r="A1677" s="18"/>
      <c r="B1677" s="14">
        <f>IFERROR(__xludf.DUMMYFUNCTION("""COMPUTED_VALUE"""),816345.0)</f>
        <v>816345</v>
      </c>
      <c r="C1677" s="14" t="str">
        <f>IFERROR(__xludf.DUMMYFUNCTION("""COMPUTED_VALUE"""),"賴炫廷")</f>
        <v>賴炫廷</v>
      </c>
      <c r="D1677" s="16" t="str">
        <f>IFERROR(__xludf.DUMMYFUNCTION("""COMPUTED_VALUE"""),"nhj*****3@mail.edu.tw")</f>
        <v>nhj*****3@mail.edu.tw</v>
      </c>
      <c r="E1677" s="17" t="str">
        <f>IFERROR(__xludf.DUMMYFUNCTION("""COMPUTED_VALUE"""),"苗栗縣立南和國民中學")</f>
        <v>苗栗縣立南和國民中學</v>
      </c>
      <c r="F1677" s="14" t="str">
        <f>IFERROR(__xludf.DUMMYFUNCTION("""COMPUTED_VALUE"""),"八年級")</f>
        <v>八年級</v>
      </c>
      <c r="G1677" s="14" t="str">
        <f>IFERROR(__xludf.DUMMYFUNCTION("""COMPUTED_VALUE"""),"獎狀")</f>
        <v>獎狀</v>
      </c>
      <c r="H1677" s="8"/>
    </row>
    <row r="1678">
      <c r="A1678" s="18"/>
      <c r="B1678" s="14">
        <f>IFERROR(__xludf.DUMMYFUNCTION("""COMPUTED_VALUE"""),317498.0)</f>
        <v>317498</v>
      </c>
      <c r="C1678" s="14" t="str">
        <f>IFERROR(__xludf.DUMMYFUNCTION("""COMPUTED_VALUE"""),"余家鈴")</f>
        <v>余家鈴</v>
      </c>
      <c r="D1678" s="16" t="str">
        <f>IFERROR(__xludf.DUMMYFUNCTION("""COMPUTED_VALUE"""),"pde*****07@mail.edu.tw")</f>
        <v>pde*****07@mail.edu.tw</v>
      </c>
      <c r="E1678" s="17" t="str">
        <f>IFERROR(__xludf.DUMMYFUNCTION("""COMPUTED_VALUE"""),"苗栗縣立南和國民中學")</f>
        <v>苗栗縣立南和國民中學</v>
      </c>
      <c r="F1678" s="14" t="str">
        <f>IFERROR(__xludf.DUMMYFUNCTION("""COMPUTED_VALUE"""),"八年級")</f>
        <v>八年級</v>
      </c>
      <c r="G1678" s="14" t="str">
        <f>IFERROR(__xludf.DUMMYFUNCTION("""COMPUTED_VALUE"""),"●小禮物")</f>
        <v>●小禮物</v>
      </c>
      <c r="H1678" s="8"/>
    </row>
    <row r="1679">
      <c r="A1679" s="18"/>
      <c r="B1679" s="14">
        <f>IFERROR(__xludf.DUMMYFUNCTION("""COMPUTED_VALUE"""),509623.0)</f>
        <v>509623</v>
      </c>
      <c r="C1679" s="14" t="str">
        <f>IFERROR(__xludf.DUMMYFUNCTION("""COMPUTED_VALUE"""),"吳淑萍")</f>
        <v>吳淑萍</v>
      </c>
      <c r="D1679" s="16" t="str">
        <f>IFERROR(__xludf.DUMMYFUNCTION("""COMPUTED_VALUE"""),"mlc*****45104005@mail.edu.tw")</f>
        <v>mlc*****45104005@mail.edu.tw</v>
      </c>
      <c r="E1679" s="17" t="str">
        <f>IFERROR(__xludf.DUMMYFUNCTION("""COMPUTED_VALUE"""),"苗栗縣立南和國民中學")</f>
        <v>苗栗縣立南和國民中學</v>
      </c>
      <c r="F1679" s="14" t="str">
        <f>IFERROR(__xludf.DUMMYFUNCTION("""COMPUTED_VALUE"""),"八年級")</f>
        <v>八年級</v>
      </c>
      <c r="G1679" s="14" t="str">
        <f>IFERROR(__xludf.DUMMYFUNCTION("""COMPUTED_VALUE"""),"●小禮物")</f>
        <v>●小禮物</v>
      </c>
      <c r="H1679" s="8"/>
    </row>
    <row r="1680">
      <c r="A1680" s="18"/>
      <c r="B1680" s="14">
        <f>IFERROR(__xludf.DUMMYFUNCTION("""COMPUTED_VALUE"""),317496.0)</f>
        <v>317496</v>
      </c>
      <c r="C1680" s="14" t="str">
        <f>IFERROR(__xludf.DUMMYFUNCTION("""COMPUTED_VALUE"""),"曾益豐")</f>
        <v>曾益豐</v>
      </c>
      <c r="D1680" s="16" t="str">
        <f>IFERROR(__xludf.DUMMYFUNCTION("""COMPUTED_VALUE"""),"pde*****12@mail.edu.tw")</f>
        <v>pde*****12@mail.edu.tw</v>
      </c>
      <c r="E1680" s="17" t="str">
        <f>IFERROR(__xludf.DUMMYFUNCTION("""COMPUTED_VALUE"""),"苗栗縣立南和國民中學")</f>
        <v>苗栗縣立南和國民中學</v>
      </c>
      <c r="F1680" s="14" t="str">
        <f>IFERROR(__xludf.DUMMYFUNCTION("""COMPUTED_VALUE"""),"八年級")</f>
        <v>八年級</v>
      </c>
      <c r="G1680" s="14" t="str">
        <f>IFERROR(__xludf.DUMMYFUNCTION("""COMPUTED_VALUE"""),"●小禮物")</f>
        <v>●小禮物</v>
      </c>
      <c r="H1680" s="8"/>
    </row>
    <row r="1681">
      <c r="A1681" s="18"/>
      <c r="B1681" s="14">
        <f>IFERROR(__xludf.DUMMYFUNCTION("""COMPUTED_VALUE"""),509610.0)</f>
        <v>509610</v>
      </c>
      <c r="C1681" s="14" t="str">
        <f>IFERROR(__xludf.DUMMYFUNCTION("""COMPUTED_VALUE"""),"曾琝凱")</f>
        <v>曾琝凱</v>
      </c>
      <c r="D1681" s="16" t="str">
        <f>IFERROR(__xludf.DUMMYFUNCTION("""COMPUTED_VALUE"""),"mlc*****45104003@mail.edu.tw")</f>
        <v>mlc*****45104003@mail.edu.tw</v>
      </c>
      <c r="E1681" s="17" t="str">
        <f>IFERROR(__xludf.DUMMYFUNCTION("""COMPUTED_VALUE"""),"苗栗縣立南和國民中學")</f>
        <v>苗栗縣立南和國民中學</v>
      </c>
      <c r="F1681" s="14" t="str">
        <f>IFERROR(__xludf.DUMMYFUNCTION("""COMPUTED_VALUE"""),"八年級")</f>
        <v>八年級</v>
      </c>
      <c r="G1681" s="14" t="str">
        <f>IFERROR(__xludf.DUMMYFUNCTION("""COMPUTED_VALUE"""),"●小禮物")</f>
        <v>●小禮物</v>
      </c>
      <c r="H1681" s="8"/>
    </row>
    <row r="1682">
      <c r="A1682" s="18"/>
      <c r="B1682" s="14">
        <f>IFERROR(__xludf.DUMMYFUNCTION("""COMPUTED_VALUE"""),317499.0)</f>
        <v>317499</v>
      </c>
      <c r="C1682" s="14" t="str">
        <f>IFERROR(__xludf.DUMMYFUNCTION("""COMPUTED_VALUE"""),"黃苡瑄")</f>
        <v>黃苡瑄</v>
      </c>
      <c r="D1682" s="16" t="str">
        <f>IFERROR(__xludf.DUMMYFUNCTION("""COMPUTED_VALUE"""),"pde*****03@mail.edu.tw")</f>
        <v>pde*****03@mail.edu.tw</v>
      </c>
      <c r="E1682" s="17" t="str">
        <f>IFERROR(__xludf.DUMMYFUNCTION("""COMPUTED_VALUE"""),"苗栗縣立南和國民中學")</f>
        <v>苗栗縣立南和國民中學</v>
      </c>
      <c r="F1682" s="14" t="str">
        <f>IFERROR(__xludf.DUMMYFUNCTION("""COMPUTED_VALUE"""),"八年級")</f>
        <v>八年級</v>
      </c>
      <c r="G1682" s="14" t="str">
        <f>IFERROR(__xludf.DUMMYFUNCTION("""COMPUTED_VALUE"""),"●小禮物")</f>
        <v>●小禮物</v>
      </c>
      <c r="H1682" s="8"/>
    </row>
    <row r="1683">
      <c r="A1683" s="18"/>
      <c r="B1683" s="14">
        <f>IFERROR(__xludf.DUMMYFUNCTION("""COMPUTED_VALUE"""),963796.0)</f>
        <v>963796</v>
      </c>
      <c r="C1683" s="14" t="str">
        <f>IFERROR(__xludf.DUMMYFUNCTION("""COMPUTED_VALUE"""),"吳伃軒")</f>
        <v>吳伃軒</v>
      </c>
      <c r="D1683" s="16" t="str">
        <f>IFERROR(__xludf.DUMMYFUNCTION("""COMPUTED_VALUE"""),"tc.*****0512@mail.edu.tw")</f>
        <v>tc.*****0512@mail.edu.tw</v>
      </c>
      <c r="E1683" s="17" t="str">
        <f>IFERROR(__xludf.DUMMYFUNCTION("""COMPUTED_VALUE"""),"苗栗縣立南和國民中學")</f>
        <v>苗栗縣立南和國民中學</v>
      </c>
      <c r="F1683" s="14" t="str">
        <f>IFERROR(__xludf.DUMMYFUNCTION("""COMPUTED_VALUE"""),"八年級")</f>
        <v>八年級</v>
      </c>
      <c r="G1683" s="14" t="str">
        <f>IFERROR(__xludf.DUMMYFUNCTION("""COMPUTED_VALUE"""),"獎狀")</f>
        <v>獎狀</v>
      </c>
      <c r="H1683" s="8"/>
    </row>
    <row r="1684">
      <c r="A1684" s="18"/>
      <c r="B1684" s="14">
        <f>IFERROR(__xludf.DUMMYFUNCTION("""COMPUTED_VALUE"""),501209.0)</f>
        <v>501209</v>
      </c>
      <c r="C1684" s="14" t="str">
        <f>IFERROR(__xludf.DUMMYFUNCTION("""COMPUTED_VALUE"""),"李泳銘")</f>
        <v>李泳銘</v>
      </c>
      <c r="D1684" s="16" t="str">
        <f>IFERROR(__xludf.DUMMYFUNCTION("""COMPUTED_VALUE"""),"mar*****30@mail.edu.tw")</f>
        <v>mar*****30@mail.edu.tw</v>
      </c>
      <c r="E1684" s="17" t="str">
        <f>IFERROR(__xludf.DUMMYFUNCTION("""COMPUTED_VALUE"""),"苗栗縣立南和國民中學")</f>
        <v>苗栗縣立南和國民中學</v>
      </c>
      <c r="F1684" s="14" t="str">
        <f>IFERROR(__xludf.DUMMYFUNCTION("""COMPUTED_VALUE"""),"八年級")</f>
        <v>八年級</v>
      </c>
      <c r="G1684" s="14" t="str">
        <f>IFERROR(__xludf.DUMMYFUNCTION("""COMPUTED_VALUE"""),"獎狀")</f>
        <v>獎狀</v>
      </c>
      <c r="H1684" s="8"/>
    </row>
    <row r="1685">
      <c r="A1685" s="18"/>
      <c r="B1685" s="14">
        <f>IFERROR(__xludf.DUMMYFUNCTION("""COMPUTED_VALUE"""),496072.0)</f>
        <v>496072</v>
      </c>
      <c r="C1685" s="14" t="str">
        <f>IFERROR(__xludf.DUMMYFUNCTION("""COMPUTED_VALUE"""),"林郁宸")</f>
        <v>林郁宸</v>
      </c>
      <c r="D1685" s="16" t="str">
        <f>IFERROR(__xludf.DUMMYFUNCTION("""COMPUTED_VALUE"""),"mlc*****45104002@mail.edu.tw")</f>
        <v>mlc*****45104002@mail.edu.tw</v>
      </c>
      <c r="E1685" s="17" t="str">
        <f>IFERROR(__xludf.DUMMYFUNCTION("""COMPUTED_VALUE"""),"苗栗縣立南和國民中學")</f>
        <v>苗栗縣立南和國民中學</v>
      </c>
      <c r="F1685" s="14" t="str">
        <f>IFERROR(__xludf.DUMMYFUNCTION("""COMPUTED_VALUE"""),"八年級")</f>
        <v>八年級</v>
      </c>
      <c r="G1685" s="14" t="str">
        <f>IFERROR(__xludf.DUMMYFUNCTION("""COMPUTED_VALUE"""),"獎狀")</f>
        <v>獎狀</v>
      </c>
      <c r="H1685" s="8"/>
    </row>
    <row r="1686">
      <c r="A1686" s="18"/>
      <c r="B1686" s="14">
        <f>IFERROR(__xludf.DUMMYFUNCTION("""COMPUTED_VALUE"""),281822.0)</f>
        <v>281822</v>
      </c>
      <c r="C1686" s="14" t="str">
        <f>IFERROR(__xludf.DUMMYFUNCTION("""COMPUTED_VALUE"""),"徐鈺閒")</f>
        <v>徐鈺閒</v>
      </c>
      <c r="D1686" s="16" t="str">
        <f>IFERROR(__xludf.DUMMYFUNCTION("""COMPUTED_VALUE"""),"pde*****02@mail.edu.tw")</f>
        <v>pde*****02@mail.edu.tw</v>
      </c>
      <c r="E1686" s="17" t="str">
        <f>IFERROR(__xludf.DUMMYFUNCTION("""COMPUTED_VALUE"""),"苗栗縣立南和國民中學")</f>
        <v>苗栗縣立南和國民中學</v>
      </c>
      <c r="F1686" s="14" t="str">
        <f>IFERROR(__xludf.DUMMYFUNCTION("""COMPUTED_VALUE"""),"八年級")</f>
        <v>八年級</v>
      </c>
      <c r="G1686" s="14" t="str">
        <f>IFERROR(__xludf.DUMMYFUNCTION("""COMPUTED_VALUE"""),"獎狀")</f>
        <v>獎狀</v>
      </c>
      <c r="H1686" s="8"/>
    </row>
    <row r="1687">
      <c r="A1687" s="18"/>
      <c r="B1687" s="14">
        <f>IFERROR(__xludf.DUMMYFUNCTION("""COMPUTED_VALUE"""),508825.0)</f>
        <v>508825</v>
      </c>
      <c r="C1687" s="14" t="str">
        <f>IFERROR(__xludf.DUMMYFUNCTION("""COMPUTED_VALUE"""),"陳冠閔")</f>
        <v>陳冠閔</v>
      </c>
      <c r="D1687" s="16" t="str">
        <f>IFERROR(__xludf.DUMMYFUNCTION("""COMPUTED_VALUE"""),"max*****4@mail.edu.tw")</f>
        <v>max*****4@mail.edu.tw</v>
      </c>
      <c r="E1687" s="17" t="str">
        <f>IFERROR(__xludf.DUMMYFUNCTION("""COMPUTED_VALUE"""),"苗栗縣立南和國民中學")</f>
        <v>苗栗縣立南和國民中學</v>
      </c>
      <c r="F1687" s="14" t="str">
        <f>IFERROR(__xludf.DUMMYFUNCTION("""COMPUTED_VALUE"""),"八年級")</f>
        <v>八年級</v>
      </c>
      <c r="G1687" s="14" t="str">
        <f>IFERROR(__xludf.DUMMYFUNCTION("""COMPUTED_VALUE"""),"獎狀")</f>
        <v>獎狀</v>
      </c>
      <c r="H1687" s="8"/>
    </row>
    <row r="1688">
      <c r="A1688" s="18"/>
      <c r="B1688" s="14">
        <f>IFERROR(__xludf.DUMMYFUNCTION("""COMPUTED_VALUE"""),507558.0)</f>
        <v>507558</v>
      </c>
      <c r="C1688" s="14" t="str">
        <f>IFERROR(__xludf.DUMMYFUNCTION("""COMPUTED_VALUE"""),"陳映筑")</f>
        <v>陳映筑</v>
      </c>
      <c r="D1688" s="16" t="str">
        <f>IFERROR(__xludf.DUMMYFUNCTION("""COMPUTED_VALUE"""),"pde*****05@mail.edu.tw")</f>
        <v>pde*****05@mail.edu.tw</v>
      </c>
      <c r="E1688" s="17" t="str">
        <f>IFERROR(__xludf.DUMMYFUNCTION("""COMPUTED_VALUE"""),"苗栗縣立南和國民中學")</f>
        <v>苗栗縣立南和國民中學</v>
      </c>
      <c r="F1688" s="14" t="str">
        <f>IFERROR(__xludf.DUMMYFUNCTION("""COMPUTED_VALUE"""),"八年級")</f>
        <v>八年級</v>
      </c>
      <c r="G1688" s="14" t="str">
        <f>IFERROR(__xludf.DUMMYFUNCTION("""COMPUTED_VALUE"""),"獎狀")</f>
        <v>獎狀</v>
      </c>
      <c r="H1688" s="8"/>
    </row>
    <row r="1689">
      <c r="A1689" s="18"/>
      <c r="B1689" s="14">
        <f>IFERROR(__xludf.DUMMYFUNCTION("""COMPUTED_VALUE"""),816289.0)</f>
        <v>816289</v>
      </c>
      <c r="C1689" s="14" t="str">
        <f>IFERROR(__xludf.DUMMYFUNCTION("""COMPUTED_VALUE"""),"陳益浚")</f>
        <v>陳益浚</v>
      </c>
      <c r="D1689" s="16" t="str">
        <f>IFERROR(__xludf.DUMMYFUNCTION("""COMPUTED_VALUE"""),"tse*****11@mail.edu.tw")</f>
        <v>tse*****11@mail.edu.tw</v>
      </c>
      <c r="E1689" s="17" t="str">
        <f>IFERROR(__xludf.DUMMYFUNCTION("""COMPUTED_VALUE"""),"苗栗縣立南和國民中學")</f>
        <v>苗栗縣立南和國民中學</v>
      </c>
      <c r="F1689" s="14" t="str">
        <f>IFERROR(__xludf.DUMMYFUNCTION("""COMPUTED_VALUE"""),"八年級")</f>
        <v>八年級</v>
      </c>
      <c r="G1689" s="14" t="str">
        <f>IFERROR(__xludf.DUMMYFUNCTION("""COMPUTED_VALUE"""),"獎狀")</f>
        <v>獎狀</v>
      </c>
      <c r="H1689" s="8"/>
    </row>
    <row r="1690">
      <c r="A1690" s="18"/>
      <c r="B1690" s="14">
        <f>IFERROR(__xludf.DUMMYFUNCTION("""COMPUTED_VALUE"""),508827.0)</f>
        <v>508827</v>
      </c>
      <c r="C1690" s="14" t="str">
        <f>IFERROR(__xludf.DUMMYFUNCTION("""COMPUTED_VALUE"""),"劉昆鎧")</f>
        <v>劉昆鎧</v>
      </c>
      <c r="D1690" s="16" t="str">
        <f>IFERROR(__xludf.DUMMYFUNCTION("""COMPUTED_VALUE"""),"ken*****3@mail.edu.tw")</f>
        <v>ken*****3@mail.edu.tw</v>
      </c>
      <c r="E1690" s="17" t="str">
        <f>IFERROR(__xludf.DUMMYFUNCTION("""COMPUTED_VALUE"""),"苗栗縣立南和國民中學")</f>
        <v>苗栗縣立南和國民中學</v>
      </c>
      <c r="F1690" s="14" t="str">
        <f>IFERROR(__xludf.DUMMYFUNCTION("""COMPUTED_VALUE"""),"八年級")</f>
        <v>八年級</v>
      </c>
      <c r="G1690" s="14" t="str">
        <f>IFERROR(__xludf.DUMMYFUNCTION("""COMPUTED_VALUE"""),"獎狀")</f>
        <v>獎狀</v>
      </c>
      <c r="H1690" s="8"/>
    </row>
    <row r="1691">
      <c r="A1691" s="18"/>
      <c r="B1691" s="14">
        <f>IFERROR(__xludf.DUMMYFUNCTION("""COMPUTED_VALUE"""),429018.0)</f>
        <v>429018</v>
      </c>
      <c r="C1691" s="14" t="str">
        <f>IFERROR(__xludf.DUMMYFUNCTION("""COMPUTED_VALUE"""),"謝沛宸")</f>
        <v>謝沛宸</v>
      </c>
      <c r="D1691" s="16" t="str">
        <f>IFERROR(__xludf.DUMMYFUNCTION("""COMPUTED_VALUE"""),"pen*****mail.edu.tw")</f>
        <v>pen*****mail.edu.tw</v>
      </c>
      <c r="E1691" s="17" t="str">
        <f>IFERROR(__xludf.DUMMYFUNCTION("""COMPUTED_VALUE"""),"苗栗縣立南和國民中學")</f>
        <v>苗栗縣立南和國民中學</v>
      </c>
      <c r="F1691" s="14" t="str">
        <f>IFERROR(__xludf.DUMMYFUNCTION("""COMPUTED_VALUE"""),"九年級")</f>
        <v>九年級</v>
      </c>
      <c r="G1691" s="14" t="str">
        <f>IFERROR(__xludf.DUMMYFUNCTION("""COMPUTED_VALUE"""),"●小禮物")</f>
        <v>●小禮物</v>
      </c>
      <c r="H1691" s="8"/>
    </row>
    <row r="1692">
      <c r="A1692" s="18"/>
      <c r="B1692" s="14">
        <f>IFERROR(__xludf.DUMMYFUNCTION("""COMPUTED_VALUE"""),429022.0)</f>
        <v>429022</v>
      </c>
      <c r="C1692" s="14" t="str">
        <f>IFERROR(__xludf.DUMMYFUNCTION("""COMPUTED_VALUE"""),"詹婷雁")</f>
        <v>詹婷雁</v>
      </c>
      <c r="D1692" s="16" t="str">
        <f>IFERROR(__xludf.DUMMYFUNCTION("""COMPUTED_VALUE"""),"sam*****5@mail.edu.tw")</f>
        <v>sam*****5@mail.edu.tw</v>
      </c>
      <c r="E1692" s="17" t="str">
        <f>IFERROR(__xludf.DUMMYFUNCTION("""COMPUTED_VALUE"""),"苗栗縣立南和國民中學")</f>
        <v>苗栗縣立南和國民中學</v>
      </c>
      <c r="F1692" s="14" t="str">
        <f>IFERROR(__xludf.DUMMYFUNCTION("""COMPUTED_VALUE"""),"九年級")</f>
        <v>九年級</v>
      </c>
      <c r="G1692" s="14" t="str">
        <f>IFERROR(__xludf.DUMMYFUNCTION("""COMPUTED_VALUE"""),"●小禮物")</f>
        <v>●小禮物</v>
      </c>
      <c r="H1692" s="8"/>
    </row>
    <row r="1693">
      <c r="A1693" s="18"/>
      <c r="B1693" s="14">
        <f>IFERROR(__xludf.DUMMYFUNCTION("""COMPUTED_VALUE"""),963998.0)</f>
        <v>963998</v>
      </c>
      <c r="C1693" s="14" t="str">
        <f>IFERROR(__xludf.DUMMYFUNCTION("""COMPUTED_VALUE"""),"吳冠毅")</f>
        <v>吳冠毅</v>
      </c>
      <c r="D1693" s="16" t="str">
        <f>IFERROR(__xludf.DUMMYFUNCTION("""COMPUTED_VALUE"""),"tc.*****0562@mail.edu.tw")</f>
        <v>tc.*****0562@mail.edu.tw</v>
      </c>
      <c r="E1693" s="17" t="str">
        <f>IFERROR(__xludf.DUMMYFUNCTION("""COMPUTED_VALUE"""),"苗栗縣立南和國民中學")</f>
        <v>苗栗縣立南和國民中學</v>
      </c>
      <c r="F1693" s="14" t="str">
        <f>IFERROR(__xludf.DUMMYFUNCTION("""COMPUTED_VALUE"""),"九年級")</f>
        <v>九年級</v>
      </c>
      <c r="G1693" s="14" t="str">
        <f>IFERROR(__xludf.DUMMYFUNCTION("""COMPUTED_VALUE"""),"●小禮物")</f>
        <v>●小禮物</v>
      </c>
      <c r="H1693" s="8"/>
    </row>
    <row r="1694">
      <c r="A1694" s="18"/>
      <c r="B1694" s="14">
        <f>IFERROR(__xludf.DUMMYFUNCTION("""COMPUTED_VALUE"""),567457.0)</f>
        <v>567457</v>
      </c>
      <c r="C1694" s="14" t="str">
        <f>IFERROR(__xludf.DUMMYFUNCTION("""COMPUTED_VALUE"""),"徐妍慧")</f>
        <v>徐妍慧</v>
      </c>
      <c r="D1694" s="16" t="str">
        <f>IFERROR(__xludf.DUMMYFUNCTION("""COMPUTED_VALUE"""),"mlc*****45103001@mail.edu.tw")</f>
        <v>mlc*****45103001@mail.edu.tw</v>
      </c>
      <c r="E1694" s="17" t="str">
        <f>IFERROR(__xludf.DUMMYFUNCTION("""COMPUTED_VALUE"""),"苗栗縣立南和國民中學")</f>
        <v>苗栗縣立南和國民中學</v>
      </c>
      <c r="F1694" s="14" t="str">
        <f>IFERROR(__xludf.DUMMYFUNCTION("""COMPUTED_VALUE"""),"九年級")</f>
        <v>九年級</v>
      </c>
      <c r="G1694" s="14" t="str">
        <f>IFERROR(__xludf.DUMMYFUNCTION("""COMPUTED_VALUE"""),"●小禮物")</f>
        <v>●小禮物</v>
      </c>
      <c r="H1694" s="8"/>
    </row>
    <row r="1695">
      <c r="A1695" s="18"/>
      <c r="B1695" s="14">
        <f>IFERROR(__xludf.DUMMYFUNCTION("""COMPUTED_VALUE"""),429020.0)</f>
        <v>429020</v>
      </c>
      <c r="C1695" s="14" t="str">
        <f>IFERROR(__xludf.DUMMYFUNCTION("""COMPUTED_VALUE"""),"張妍甄")</f>
        <v>張妍甄</v>
      </c>
      <c r="D1695" s="16" t="str">
        <f>IFERROR(__xludf.DUMMYFUNCTION("""COMPUTED_VALUE"""),"jud*****mail.edu.tw")</f>
        <v>jud*****mail.edu.tw</v>
      </c>
      <c r="E1695" s="17" t="str">
        <f>IFERROR(__xludf.DUMMYFUNCTION("""COMPUTED_VALUE"""),"苗栗縣立南和國民中學")</f>
        <v>苗栗縣立南和國民中學</v>
      </c>
      <c r="F1695" s="14" t="str">
        <f>IFERROR(__xludf.DUMMYFUNCTION("""COMPUTED_VALUE"""),"九年級")</f>
        <v>九年級</v>
      </c>
      <c r="G1695" s="14" t="str">
        <f>IFERROR(__xludf.DUMMYFUNCTION("""COMPUTED_VALUE"""),"●小禮物")</f>
        <v>●小禮物</v>
      </c>
      <c r="H1695" s="8"/>
    </row>
    <row r="1696">
      <c r="A1696" s="18"/>
      <c r="B1696" s="14">
        <f>IFERROR(__xludf.DUMMYFUNCTION("""COMPUTED_VALUE"""),429021.0)</f>
        <v>429021</v>
      </c>
      <c r="C1696" s="14" t="str">
        <f>IFERROR(__xludf.DUMMYFUNCTION("""COMPUTED_VALUE"""),"張芸綺")</f>
        <v>張芸綺</v>
      </c>
      <c r="D1696" s="16" t="str">
        <f>IFERROR(__xludf.DUMMYFUNCTION("""COMPUTED_VALUE"""),"kik*****ail.edu.tw")</f>
        <v>kik*****ail.edu.tw</v>
      </c>
      <c r="E1696" s="17" t="str">
        <f>IFERROR(__xludf.DUMMYFUNCTION("""COMPUTED_VALUE"""),"苗栗縣立南和國民中學")</f>
        <v>苗栗縣立南和國民中學</v>
      </c>
      <c r="F1696" s="14" t="str">
        <f>IFERROR(__xludf.DUMMYFUNCTION("""COMPUTED_VALUE"""),"九年級")</f>
        <v>九年級</v>
      </c>
      <c r="G1696" s="14" t="str">
        <f>IFERROR(__xludf.DUMMYFUNCTION("""COMPUTED_VALUE"""),"●小禮物")</f>
        <v>●小禮物</v>
      </c>
      <c r="H1696" s="8"/>
    </row>
    <row r="1697">
      <c r="A1697" s="18"/>
      <c r="B1697" s="14">
        <f>IFERROR(__xludf.DUMMYFUNCTION("""COMPUTED_VALUE"""),429024.0)</f>
        <v>429024</v>
      </c>
      <c r="C1697" s="14" t="str">
        <f>IFERROR(__xludf.DUMMYFUNCTION("""COMPUTED_VALUE"""),"邱子恩")</f>
        <v>邱子恩</v>
      </c>
      <c r="D1697" s="16" t="str">
        <f>IFERROR(__xludf.DUMMYFUNCTION("""COMPUTED_VALUE"""),"mlc*****45103002@mail.edu.tw")</f>
        <v>mlc*****45103002@mail.edu.tw</v>
      </c>
      <c r="E1697" s="17" t="str">
        <f>IFERROR(__xludf.DUMMYFUNCTION("""COMPUTED_VALUE"""),"苗栗縣立南和國民中學")</f>
        <v>苗栗縣立南和國民中學</v>
      </c>
      <c r="F1697" s="14" t="str">
        <f>IFERROR(__xludf.DUMMYFUNCTION("""COMPUTED_VALUE"""),"九年級")</f>
        <v>九年級</v>
      </c>
      <c r="G1697" s="14" t="str">
        <f>IFERROR(__xludf.DUMMYFUNCTION("""COMPUTED_VALUE"""),"獎狀")</f>
        <v>獎狀</v>
      </c>
      <c r="H1697" s="8"/>
    </row>
    <row r="1698">
      <c r="A1698" s="18"/>
      <c r="B1698" s="14">
        <f>IFERROR(__xludf.DUMMYFUNCTION("""COMPUTED_VALUE"""),429019.0)</f>
        <v>429019</v>
      </c>
      <c r="C1698" s="14" t="str">
        <f>IFERROR(__xludf.DUMMYFUNCTION("""COMPUTED_VALUE"""),"鄭庭恩")</f>
        <v>鄭庭恩</v>
      </c>
      <c r="D1698" s="16" t="str">
        <f>IFERROR(__xludf.DUMMYFUNCTION("""COMPUTED_VALUE"""),"pde*****05@mail.edu.tw")</f>
        <v>pde*****05@mail.edu.tw</v>
      </c>
      <c r="E1698" s="17" t="str">
        <f>IFERROR(__xludf.DUMMYFUNCTION("""COMPUTED_VALUE"""),"苗栗縣立南和國民中學")</f>
        <v>苗栗縣立南和國民中學</v>
      </c>
      <c r="F1698" s="14" t="str">
        <f>IFERROR(__xludf.DUMMYFUNCTION("""COMPUTED_VALUE"""),"九年級")</f>
        <v>九年級</v>
      </c>
      <c r="G1698" s="14" t="str">
        <f>IFERROR(__xludf.DUMMYFUNCTION("""COMPUTED_VALUE"""),"獎狀")</f>
        <v>獎狀</v>
      </c>
      <c r="H1698" s="8"/>
    </row>
    <row r="1699">
      <c r="A1699" s="18"/>
      <c r="B1699" s="14">
        <f>IFERROR(__xludf.DUMMYFUNCTION("""COMPUTED_VALUE"""),145036.0)</f>
        <v>145036</v>
      </c>
      <c r="C1699" s="14" t="str">
        <f>IFERROR(__xludf.DUMMYFUNCTION("""COMPUTED_VALUE"""),"張詠晨")</f>
        <v>張詠晨</v>
      </c>
      <c r="D1699" s="16" t="str">
        <f>IFERROR(__xludf.DUMMYFUNCTION("""COMPUTED_VALUE"""),"jzx*****6@gmail.com")</f>
        <v>jzx*****6@gmail.com</v>
      </c>
      <c r="E1699" s="17" t="str">
        <f>IFERROR(__xludf.DUMMYFUNCTION("""COMPUTED_VALUE"""),"苗栗縣立苗栗國民中學")</f>
        <v>苗栗縣立苗栗國民中學</v>
      </c>
      <c r="F1699" s="14" t="str">
        <f>IFERROR(__xludf.DUMMYFUNCTION("""COMPUTED_VALUE"""),"八年級")</f>
        <v>八年級</v>
      </c>
      <c r="G1699" s="14" t="str">
        <f>IFERROR(__xludf.DUMMYFUNCTION("""COMPUTED_VALUE"""),"獎狀")</f>
        <v>獎狀</v>
      </c>
      <c r="H1699" s="8"/>
    </row>
    <row r="1700">
      <c r="A1700" s="18"/>
      <c r="B1700" s="14">
        <f>IFERROR(__xludf.DUMMYFUNCTION("""COMPUTED_VALUE"""),203265.0)</f>
        <v>203265</v>
      </c>
      <c r="C1700" s="14" t="str">
        <f>IFERROR(__xludf.DUMMYFUNCTION("""COMPUTED_VALUE"""),"江君禮")</f>
        <v>江君禮</v>
      </c>
      <c r="D1700" s="16" t="str">
        <f>IFERROR(__xludf.DUMMYFUNCTION("""COMPUTED_VALUE"""),"kis*****7@gmail.com.tw")</f>
        <v>kis*****7@gmail.com.tw</v>
      </c>
      <c r="E1700" s="17" t="str">
        <f>IFERROR(__xludf.DUMMYFUNCTION("""COMPUTED_VALUE"""),"苗栗縣私立建臺高級中學附設國中部")</f>
        <v>苗栗縣私立建臺高級中學附設國中部</v>
      </c>
      <c r="F1700" s="14" t="str">
        <f>IFERROR(__xludf.DUMMYFUNCTION("""COMPUTED_VALUE"""),"七年級")</f>
        <v>七年級</v>
      </c>
      <c r="G1700" s="14" t="str">
        <f>IFERROR(__xludf.DUMMYFUNCTION("""COMPUTED_VALUE"""),"獎狀")</f>
        <v>獎狀</v>
      </c>
      <c r="H1700" s="8"/>
    </row>
    <row r="1701">
      <c r="A1701" s="18"/>
      <c r="B1701" s="14">
        <f>IFERROR(__xludf.DUMMYFUNCTION("""COMPUTED_VALUE"""),368753.0)</f>
        <v>368753</v>
      </c>
      <c r="C1701" s="14" t="str">
        <f>IFERROR(__xludf.DUMMYFUNCTION("""COMPUTED_VALUE"""),"黃秉祐")</f>
        <v>黃秉祐</v>
      </c>
      <c r="D1701" s="16" t="str">
        <f>IFERROR(__xludf.DUMMYFUNCTION("""COMPUTED_VALUE"""),"har*****013@mail.edu.tw")</f>
        <v>har*****013@mail.edu.tw</v>
      </c>
      <c r="E1701" s="17" t="str">
        <f>IFERROR(__xludf.DUMMYFUNCTION("""COMPUTED_VALUE"""),"苗栗縣私立建臺高級中學附設國中部")</f>
        <v>苗栗縣私立建臺高級中學附設國中部</v>
      </c>
      <c r="F1701" s="14" t="str">
        <f>IFERROR(__xludf.DUMMYFUNCTION("""COMPUTED_VALUE"""),"八年級")</f>
        <v>八年級</v>
      </c>
      <c r="G1701" s="14" t="str">
        <f>IFERROR(__xludf.DUMMYFUNCTION("""COMPUTED_VALUE"""),"獎狀")</f>
        <v>獎狀</v>
      </c>
      <c r="H1701" s="8"/>
    </row>
    <row r="1702">
      <c r="A1702" s="18"/>
      <c r="B1702" s="14">
        <f>IFERROR(__xludf.DUMMYFUNCTION("""COMPUTED_VALUE"""),861364.0)</f>
        <v>861364</v>
      </c>
      <c r="C1702" s="14" t="str">
        <f>IFERROR(__xludf.DUMMYFUNCTION("""COMPUTED_VALUE"""),"趙安淇")</f>
        <v>趙安淇</v>
      </c>
      <c r="D1702" s="16" t="str">
        <f>IFERROR(__xludf.DUMMYFUNCTION("""COMPUTED_VALUE"""),"stu*****5@ctsh.mlc.edu.tw")</f>
        <v>stu*****5@ctsh.mlc.edu.tw</v>
      </c>
      <c r="E1702" s="17" t="str">
        <f>IFERROR(__xludf.DUMMYFUNCTION("""COMPUTED_VALUE"""),"苗栗縣私立建臺高級中學附設國中部")</f>
        <v>苗栗縣私立建臺高級中學附設國中部</v>
      </c>
      <c r="F1702" s="14" t="str">
        <f>IFERROR(__xludf.DUMMYFUNCTION("""COMPUTED_VALUE"""),"八年級")</f>
        <v>八年級</v>
      </c>
      <c r="G1702" s="14" t="str">
        <f>IFERROR(__xludf.DUMMYFUNCTION("""COMPUTED_VALUE"""),"獎狀")</f>
        <v>獎狀</v>
      </c>
      <c r="H1702" s="8"/>
    </row>
    <row r="1703">
      <c r="A1703" s="18"/>
      <c r="B1703" s="14">
        <f>IFERROR(__xludf.DUMMYFUNCTION("""COMPUTED_VALUE"""),243503.0)</f>
        <v>243503</v>
      </c>
      <c r="C1703" s="14" t="str">
        <f>IFERROR(__xludf.DUMMYFUNCTION("""COMPUTED_VALUE"""),"陳昕聖")</f>
        <v>陳昕聖</v>
      </c>
      <c r="D1703" s="16" t="str">
        <f>IFERROR(__xludf.DUMMYFUNCTION("""COMPUTED_VALUE"""),"hl0*****mail.edu.tw")</f>
        <v>hl0*****mail.edu.tw</v>
      </c>
      <c r="E1703" s="17" t="str">
        <f>IFERROR(__xludf.DUMMYFUNCTION("""COMPUTED_VALUE"""),"苗栗縣私立建臺高級中學附設國中部")</f>
        <v>苗栗縣私立建臺高級中學附設國中部</v>
      </c>
      <c r="F1703" s="14" t="str">
        <f>IFERROR(__xludf.DUMMYFUNCTION("""COMPUTED_VALUE"""),"九年級")</f>
        <v>九年級</v>
      </c>
      <c r="G1703" s="14" t="str">
        <f>IFERROR(__xludf.DUMMYFUNCTION("""COMPUTED_VALUE"""),"獎狀")</f>
        <v>獎狀</v>
      </c>
      <c r="H1703" s="8"/>
    </row>
    <row r="1704">
      <c r="A1704" s="18"/>
      <c r="B1704" s="14">
        <f>IFERROR(__xludf.DUMMYFUNCTION("""COMPUTED_VALUE"""),758179.0)</f>
        <v>758179</v>
      </c>
      <c r="C1704" s="14" t="str">
        <f>IFERROR(__xludf.DUMMYFUNCTION("""COMPUTED_VALUE"""),"徐孝謙")</f>
        <v>徐孝謙</v>
      </c>
      <c r="D1704" s="16" t="str">
        <f>IFERROR(__xludf.DUMMYFUNCTION("""COMPUTED_VALUE"""),"110*****ggjh.mlc.edu.tw")</f>
        <v>110*****ggjh.mlc.edu.tw</v>
      </c>
      <c r="E1704" s="17" t="str">
        <f>IFERROR(__xludf.DUMMYFUNCTION("""COMPUTED_VALUE"""),"苗栗縣立公館國民中學")</f>
        <v>苗栗縣立公館國民中學</v>
      </c>
      <c r="F1704" s="14" t="str">
        <f>IFERROR(__xludf.DUMMYFUNCTION("""COMPUTED_VALUE"""),"八年級")</f>
        <v>八年級</v>
      </c>
      <c r="G1704" s="14" t="str">
        <f>IFERROR(__xludf.DUMMYFUNCTION("""COMPUTED_VALUE"""),"★禮券$200")</f>
        <v>★禮券$200</v>
      </c>
      <c r="H1704" s="8"/>
    </row>
    <row r="1705">
      <c r="A1705" s="18"/>
      <c r="B1705" s="14">
        <f>IFERROR(__xludf.DUMMYFUNCTION("""COMPUTED_VALUE"""),474232.0)</f>
        <v>474232</v>
      </c>
      <c r="C1705" s="14" t="str">
        <f>IFERROR(__xludf.DUMMYFUNCTION("""COMPUTED_VALUE"""),"耿煜富")</f>
        <v>耿煜富</v>
      </c>
      <c r="D1705" s="16" t="str">
        <f>IFERROR(__xludf.DUMMYFUNCTION("""COMPUTED_VALUE"""),"109*****ggjh.mlc.edu.tw")</f>
        <v>109*****ggjh.mlc.edu.tw</v>
      </c>
      <c r="E1705" s="17" t="str">
        <f>IFERROR(__xludf.DUMMYFUNCTION("""COMPUTED_VALUE"""),"苗栗縣立公館國民中學")</f>
        <v>苗栗縣立公館國民中學</v>
      </c>
      <c r="F1705" s="14" t="str">
        <f>IFERROR(__xludf.DUMMYFUNCTION("""COMPUTED_VALUE"""),"九年級")</f>
        <v>九年級</v>
      </c>
      <c r="G1705" s="14" t="str">
        <f>IFERROR(__xludf.DUMMYFUNCTION("""COMPUTED_VALUE"""),"●小禮物")</f>
        <v>●小禮物</v>
      </c>
      <c r="H1705" s="8"/>
    </row>
    <row r="1706">
      <c r="A1706" s="18"/>
      <c r="B1706" s="14">
        <f>IFERROR(__xludf.DUMMYFUNCTION("""COMPUTED_VALUE"""),856622.0)</f>
        <v>856622</v>
      </c>
      <c r="C1706" s="14" t="str">
        <f>IFERROR(__xludf.DUMMYFUNCTION("""COMPUTED_VALUE"""),"張芯語")</f>
        <v>張芯語</v>
      </c>
      <c r="D1706" s="16" t="str">
        <f>IFERROR(__xludf.DUMMYFUNCTION("""COMPUTED_VALUE"""),"105*****s2.tunglo.mlc.edu.tw")</f>
        <v>105*****s2.tunglo.mlc.edu.tw</v>
      </c>
      <c r="E1706" s="17" t="str">
        <f>IFERROR(__xludf.DUMMYFUNCTION("""COMPUTED_VALUE"""),"苗栗縣立文林國民中學")</f>
        <v>苗栗縣立文林國民中學</v>
      </c>
      <c r="F1706" s="14" t="str">
        <f>IFERROR(__xludf.DUMMYFUNCTION("""COMPUTED_VALUE"""),"七年級")</f>
        <v>七年級</v>
      </c>
      <c r="G1706" s="14" t="str">
        <f>IFERROR(__xludf.DUMMYFUNCTION("""COMPUTED_VALUE"""),"●小禮物")</f>
        <v>●小禮物</v>
      </c>
      <c r="H1706" s="8"/>
    </row>
    <row r="1707">
      <c r="A1707" s="18"/>
      <c r="B1707" s="14">
        <f>IFERROR(__xludf.DUMMYFUNCTION("""COMPUTED_VALUE"""),303576.0)</f>
        <v>303576</v>
      </c>
      <c r="C1707" s="14" t="str">
        <f>IFERROR(__xludf.DUMMYFUNCTION("""COMPUTED_VALUE"""),"詹鈞荃")</f>
        <v>詹鈞荃</v>
      </c>
      <c r="D1707" s="16" t="str">
        <f>IFERROR(__xludf.DUMMYFUNCTION("""COMPUTED_VALUE"""),"iva*****50@mail.edu.tw")</f>
        <v>iva*****50@mail.edu.tw</v>
      </c>
      <c r="E1707" s="17" t="str">
        <f>IFERROR(__xludf.DUMMYFUNCTION("""COMPUTED_VALUE"""),"國立卓蘭高級中等學校附設國中部")</f>
        <v>國立卓蘭高級中等學校附設國中部</v>
      </c>
      <c r="F1707" s="14" t="str">
        <f>IFERROR(__xludf.DUMMYFUNCTION("""COMPUTED_VALUE"""),"八年級")</f>
        <v>八年級</v>
      </c>
      <c r="G1707" s="14" t="str">
        <f>IFERROR(__xludf.DUMMYFUNCTION("""COMPUTED_VALUE"""),"獎狀")</f>
        <v>獎狀</v>
      </c>
      <c r="H1707" s="8"/>
    </row>
    <row r="1708">
      <c r="A1708" s="18"/>
      <c r="B1708" s="14">
        <f>IFERROR(__xludf.DUMMYFUNCTION("""COMPUTED_VALUE"""),960468.0)</f>
        <v>960468</v>
      </c>
      <c r="C1708" s="14" t="str">
        <f>IFERROR(__xludf.DUMMYFUNCTION("""COMPUTED_VALUE"""),"唐廉傑")</f>
        <v>唐廉傑</v>
      </c>
      <c r="D1708" s="16" t="str">
        <f>IFERROR(__xludf.DUMMYFUNCTION("""COMPUTED_VALUE"""),"wxe*****06@mail.edu.tw")</f>
        <v>wxe*****06@mail.edu.tw</v>
      </c>
      <c r="E1708" s="17" t="str">
        <f>IFERROR(__xludf.DUMMYFUNCTION("""COMPUTED_VALUE"""),"臺中市立育英國民中學")</f>
        <v>臺中市立育英國民中學</v>
      </c>
      <c r="F1708" s="14" t="str">
        <f>IFERROR(__xludf.DUMMYFUNCTION("""COMPUTED_VALUE"""),"八年級")</f>
        <v>八年級</v>
      </c>
      <c r="G1708" s="14" t="str">
        <f>IFERROR(__xludf.DUMMYFUNCTION("""COMPUTED_VALUE"""),"獎狀")</f>
        <v>獎狀</v>
      </c>
      <c r="H1708" s="8"/>
    </row>
    <row r="1709">
      <c r="A1709" s="18"/>
      <c r="B1709" s="14">
        <f>IFERROR(__xludf.DUMMYFUNCTION("""COMPUTED_VALUE"""),1202406.0)</f>
        <v>1202406</v>
      </c>
      <c r="C1709" s="14" t="str">
        <f>IFERROR(__xludf.DUMMYFUNCTION("""COMPUTED_VALUE"""),"陳玉欣")</f>
        <v>陳玉欣</v>
      </c>
      <c r="D1709" s="16" t="str">
        <f>IFERROR(__xludf.DUMMYFUNCTION("""COMPUTED_VALUE"""),"518*****t.tc.edu.tw")</f>
        <v>518*****t.tc.edu.tw</v>
      </c>
      <c r="E1709" s="17" t="str">
        <f>IFERROR(__xludf.DUMMYFUNCTION("""COMPUTED_VALUE"""),"臺中市立崇倫國民中學")</f>
        <v>臺中市立崇倫國民中學</v>
      </c>
      <c r="F1709" s="14" t="str">
        <f>IFERROR(__xludf.DUMMYFUNCTION("""COMPUTED_VALUE"""),"七年級")</f>
        <v>七年級</v>
      </c>
      <c r="G1709" s="14" t="str">
        <f>IFERROR(__xludf.DUMMYFUNCTION("""COMPUTED_VALUE"""),"獎狀")</f>
        <v>獎狀</v>
      </c>
      <c r="H1709" s="8"/>
    </row>
    <row r="1710">
      <c r="A1710" s="18"/>
      <c r="B1710" s="14">
        <f>IFERROR(__xludf.DUMMYFUNCTION("""COMPUTED_VALUE"""),1205179.0)</f>
        <v>1205179</v>
      </c>
      <c r="C1710" s="14" t="str">
        <f>IFERROR(__xludf.DUMMYFUNCTION("""COMPUTED_VALUE"""),"黃芃程")</f>
        <v>黃芃程</v>
      </c>
      <c r="D1710" s="16" t="str">
        <f>IFERROR(__xludf.DUMMYFUNCTION("""COMPUTED_VALUE"""),"500*****t.tc.edu.tw")</f>
        <v>500*****t.tc.edu.tw</v>
      </c>
      <c r="E1710" s="17" t="str">
        <f>IFERROR(__xludf.DUMMYFUNCTION("""COMPUTED_VALUE"""),"臺中市立崇倫國民中學")</f>
        <v>臺中市立崇倫國民中學</v>
      </c>
      <c r="F1710" s="14" t="str">
        <f>IFERROR(__xludf.DUMMYFUNCTION("""COMPUTED_VALUE"""),"七年級")</f>
        <v>七年級</v>
      </c>
      <c r="G1710" s="14" t="str">
        <f>IFERROR(__xludf.DUMMYFUNCTION("""COMPUTED_VALUE"""),"●小禮物")</f>
        <v>●小禮物</v>
      </c>
      <c r="H1710" s="8"/>
    </row>
    <row r="1711">
      <c r="A1711" s="18"/>
      <c r="B1711" s="14">
        <f>IFERROR(__xludf.DUMMYFUNCTION("""COMPUTED_VALUE"""),1205178.0)</f>
        <v>1205178</v>
      </c>
      <c r="C1711" s="14" t="str">
        <f>IFERROR(__xludf.DUMMYFUNCTION("""COMPUTED_VALUE"""),"黃怡萍")</f>
        <v>黃怡萍</v>
      </c>
      <c r="D1711" s="16" t="str">
        <f>IFERROR(__xludf.DUMMYFUNCTION("""COMPUTED_VALUE"""),"518*****t.tc.edu.tw")</f>
        <v>518*****t.tc.edu.tw</v>
      </c>
      <c r="E1711" s="17" t="str">
        <f>IFERROR(__xludf.DUMMYFUNCTION("""COMPUTED_VALUE"""),"臺中市立崇倫國民中學")</f>
        <v>臺中市立崇倫國民中學</v>
      </c>
      <c r="F1711" s="14" t="str">
        <f>IFERROR(__xludf.DUMMYFUNCTION("""COMPUTED_VALUE"""),"七年級")</f>
        <v>七年級</v>
      </c>
      <c r="G1711" s="14" t="str">
        <f>IFERROR(__xludf.DUMMYFUNCTION("""COMPUTED_VALUE"""),"獎狀")</f>
        <v>獎狀</v>
      </c>
      <c r="H1711" s="8"/>
    </row>
    <row r="1712">
      <c r="A1712" s="18"/>
      <c r="B1712" s="14">
        <f>IFERROR(__xludf.DUMMYFUNCTION("""COMPUTED_VALUE"""),1205186.0)</f>
        <v>1205186</v>
      </c>
      <c r="C1712" s="14" t="str">
        <f>IFERROR(__xludf.DUMMYFUNCTION("""COMPUTED_VALUE"""),"劉霽寬")</f>
        <v>劉霽寬</v>
      </c>
      <c r="D1712" s="16" t="str">
        <f>IFERROR(__xludf.DUMMYFUNCTION("""COMPUTED_VALUE"""),"487*****t.tc.edu.tw")</f>
        <v>487*****t.tc.edu.tw</v>
      </c>
      <c r="E1712" s="17" t="str">
        <f>IFERROR(__xludf.DUMMYFUNCTION("""COMPUTED_VALUE"""),"臺中市立崇倫國民中學")</f>
        <v>臺中市立崇倫國民中學</v>
      </c>
      <c r="F1712" s="14" t="str">
        <f>IFERROR(__xludf.DUMMYFUNCTION("""COMPUTED_VALUE"""),"七年級")</f>
        <v>七年級</v>
      </c>
      <c r="G1712" s="14" t="str">
        <f>IFERROR(__xludf.DUMMYFUNCTION("""COMPUTED_VALUE"""),"獎狀")</f>
        <v>獎狀</v>
      </c>
      <c r="H1712" s="8"/>
    </row>
    <row r="1713">
      <c r="A1713" s="18"/>
      <c r="B1713" s="14">
        <f>IFERROR(__xludf.DUMMYFUNCTION("""COMPUTED_VALUE"""),1205175.0)</f>
        <v>1205175</v>
      </c>
      <c r="C1713" s="14" t="str">
        <f>IFERROR(__xludf.DUMMYFUNCTION("""COMPUTED_VALUE"""),"蘇明柔")</f>
        <v>蘇明柔</v>
      </c>
      <c r="D1713" s="16" t="str">
        <f>IFERROR(__xludf.DUMMYFUNCTION("""COMPUTED_VALUE"""),"510*****t.tc.edu.tw")</f>
        <v>510*****t.tc.edu.tw</v>
      </c>
      <c r="E1713" s="17" t="str">
        <f>IFERROR(__xludf.DUMMYFUNCTION("""COMPUTED_VALUE"""),"臺中市立崇倫國民中學")</f>
        <v>臺中市立崇倫國民中學</v>
      </c>
      <c r="F1713" s="14" t="str">
        <f>IFERROR(__xludf.DUMMYFUNCTION("""COMPUTED_VALUE"""),"七年級")</f>
        <v>七年級</v>
      </c>
      <c r="G1713" s="14" t="str">
        <f>IFERROR(__xludf.DUMMYFUNCTION("""COMPUTED_VALUE"""),"獎狀")</f>
        <v>獎狀</v>
      </c>
      <c r="H1713" s="8"/>
    </row>
    <row r="1714">
      <c r="A1714" s="18"/>
      <c r="B1714" s="14">
        <f>IFERROR(__xludf.DUMMYFUNCTION("""COMPUTED_VALUE"""),728477.0)</f>
        <v>728477</v>
      </c>
      <c r="C1714" s="14" t="str">
        <f>IFERROR(__xludf.DUMMYFUNCTION("""COMPUTED_VALUE"""),"黃暐宸")</f>
        <v>黃暐宸</v>
      </c>
      <c r="D1714" s="16" t="str">
        <f>IFERROR(__xludf.DUMMYFUNCTION("""COMPUTED_VALUE"""),"500*****t.tc.edu.tw")</f>
        <v>500*****t.tc.edu.tw</v>
      </c>
      <c r="E1714" s="17" t="str">
        <f>IFERROR(__xludf.DUMMYFUNCTION("""COMPUTED_VALUE"""),"臺中市立崇倫國民中學")</f>
        <v>臺中市立崇倫國民中學</v>
      </c>
      <c r="F1714" s="14" t="str">
        <f>IFERROR(__xludf.DUMMYFUNCTION("""COMPUTED_VALUE"""),"七年級")</f>
        <v>七年級</v>
      </c>
      <c r="G1714" s="14" t="str">
        <f>IFERROR(__xludf.DUMMYFUNCTION("""COMPUTED_VALUE"""),"●小禮物")</f>
        <v>●小禮物</v>
      </c>
      <c r="H1714" s="8"/>
    </row>
    <row r="1715">
      <c r="A1715" s="18"/>
      <c r="B1715" s="14">
        <f>IFERROR(__xludf.DUMMYFUNCTION("""COMPUTED_VALUE"""),635954.0)</f>
        <v>635954</v>
      </c>
      <c r="C1715" s="14" t="str">
        <f>IFERROR(__xludf.DUMMYFUNCTION("""COMPUTED_VALUE"""),"林廷蔚")</f>
        <v>林廷蔚</v>
      </c>
      <c r="D1715" s="16" t="str">
        <f>IFERROR(__xludf.DUMMYFUNCTION("""COMPUTED_VALUE"""),"518*****t.tc.edu.tw")</f>
        <v>518*****t.tc.edu.tw</v>
      </c>
      <c r="E1715" s="17" t="str">
        <f>IFERROR(__xludf.DUMMYFUNCTION("""COMPUTED_VALUE"""),"臺中市立崇倫國民中學")</f>
        <v>臺中市立崇倫國民中學</v>
      </c>
      <c r="F1715" s="14" t="str">
        <f>IFERROR(__xludf.DUMMYFUNCTION("""COMPUTED_VALUE"""),"七年級")</f>
        <v>七年級</v>
      </c>
      <c r="G1715" s="14" t="str">
        <f>IFERROR(__xludf.DUMMYFUNCTION("""COMPUTED_VALUE"""),"●小禮物")</f>
        <v>●小禮物</v>
      </c>
      <c r="H1715" s="8"/>
    </row>
    <row r="1716">
      <c r="A1716" s="18"/>
      <c r="B1716" s="14">
        <f>IFERROR(__xludf.DUMMYFUNCTION("""COMPUTED_VALUE"""),1203750.0)</f>
        <v>1203750</v>
      </c>
      <c r="C1716" s="14" t="str">
        <f>IFERROR(__xludf.DUMMYFUNCTION("""COMPUTED_VALUE"""),"洪慷哲")</f>
        <v>洪慷哲</v>
      </c>
      <c r="D1716" s="16" t="str">
        <f>IFERROR(__xludf.DUMMYFUNCTION("""COMPUTED_VALUE"""),"511*****t.tc.edu.tw")</f>
        <v>511*****t.tc.edu.tw</v>
      </c>
      <c r="E1716" s="17" t="str">
        <f>IFERROR(__xludf.DUMMYFUNCTION("""COMPUTED_VALUE"""),"臺中市立崇倫國民中學")</f>
        <v>臺中市立崇倫國民中學</v>
      </c>
      <c r="F1716" s="14" t="str">
        <f>IFERROR(__xludf.DUMMYFUNCTION("""COMPUTED_VALUE"""),"七年級")</f>
        <v>七年級</v>
      </c>
      <c r="G1716" s="14" t="str">
        <f>IFERROR(__xludf.DUMMYFUNCTION("""COMPUTED_VALUE"""),"●小禮物")</f>
        <v>●小禮物</v>
      </c>
      <c r="H1716" s="8"/>
    </row>
    <row r="1717">
      <c r="A1717" s="18"/>
      <c r="B1717" s="14">
        <f>IFERROR(__xludf.DUMMYFUNCTION("""COMPUTED_VALUE"""),1203760.0)</f>
        <v>1203760</v>
      </c>
      <c r="C1717" s="14" t="str">
        <f>IFERROR(__xludf.DUMMYFUNCTION("""COMPUTED_VALUE"""),"賴玠任")</f>
        <v>賴玠任</v>
      </c>
      <c r="D1717" s="16" t="str">
        <f>IFERROR(__xludf.DUMMYFUNCTION("""COMPUTED_VALUE"""),"518*****t.tc.edu.tw")</f>
        <v>518*****t.tc.edu.tw</v>
      </c>
      <c r="E1717" s="17" t="str">
        <f>IFERROR(__xludf.DUMMYFUNCTION("""COMPUTED_VALUE"""),"臺中市立崇倫國民中學")</f>
        <v>臺中市立崇倫國民中學</v>
      </c>
      <c r="F1717" s="14" t="str">
        <f>IFERROR(__xludf.DUMMYFUNCTION("""COMPUTED_VALUE"""),"七年級")</f>
        <v>七年級</v>
      </c>
      <c r="G1717" s="14" t="str">
        <f>IFERROR(__xludf.DUMMYFUNCTION("""COMPUTED_VALUE"""),"●小禮物")</f>
        <v>●小禮物</v>
      </c>
      <c r="H1717" s="8"/>
    </row>
    <row r="1718">
      <c r="A1718" s="18"/>
      <c r="B1718" s="14">
        <f>IFERROR(__xludf.DUMMYFUNCTION("""COMPUTED_VALUE"""),364323.0)</f>
        <v>364323</v>
      </c>
      <c r="C1718" s="14" t="str">
        <f>IFERROR(__xludf.DUMMYFUNCTION("""COMPUTED_VALUE"""),"鄭富程")</f>
        <v>鄭富程</v>
      </c>
      <c r="D1718" s="16" t="str">
        <f>IFERROR(__xludf.DUMMYFUNCTION("""COMPUTED_VALUE"""),"518*****t.tc.edu.tw")</f>
        <v>518*****t.tc.edu.tw</v>
      </c>
      <c r="E1718" s="17" t="str">
        <f>IFERROR(__xludf.DUMMYFUNCTION("""COMPUTED_VALUE"""),"臺中市立崇倫國民中學")</f>
        <v>臺中市立崇倫國民中學</v>
      </c>
      <c r="F1718" s="14" t="str">
        <f>IFERROR(__xludf.DUMMYFUNCTION("""COMPUTED_VALUE"""),"七年級")</f>
        <v>七年級</v>
      </c>
      <c r="G1718" s="14" t="str">
        <f>IFERROR(__xludf.DUMMYFUNCTION("""COMPUTED_VALUE"""),"★禮券$200")</f>
        <v>★禮券$200</v>
      </c>
      <c r="H1718" s="8"/>
    </row>
    <row r="1719">
      <c r="A1719" s="18"/>
      <c r="B1719" s="14">
        <f>IFERROR(__xludf.DUMMYFUNCTION("""COMPUTED_VALUE"""),1203754.0)</f>
        <v>1203754</v>
      </c>
      <c r="C1719" s="14" t="str">
        <f>IFERROR(__xludf.DUMMYFUNCTION("""COMPUTED_VALUE"""),"洪睿康")</f>
        <v>洪睿康</v>
      </c>
      <c r="D1719" s="16" t="str">
        <f>IFERROR(__xludf.DUMMYFUNCTION("""COMPUTED_VALUE"""),"518*****t.tc.edu.tw")</f>
        <v>518*****t.tc.edu.tw</v>
      </c>
      <c r="E1719" s="17" t="str">
        <f>IFERROR(__xludf.DUMMYFUNCTION("""COMPUTED_VALUE"""),"臺中市立崇倫國民中學")</f>
        <v>臺中市立崇倫國民中學</v>
      </c>
      <c r="F1719" s="14" t="str">
        <f>IFERROR(__xludf.DUMMYFUNCTION("""COMPUTED_VALUE"""),"七年級")</f>
        <v>七年級</v>
      </c>
      <c r="G1719" s="14" t="str">
        <f>IFERROR(__xludf.DUMMYFUNCTION("""COMPUTED_VALUE"""),"獎狀")</f>
        <v>獎狀</v>
      </c>
      <c r="H1719" s="8"/>
    </row>
    <row r="1720">
      <c r="A1720" s="18"/>
      <c r="B1720" s="14">
        <f>IFERROR(__xludf.DUMMYFUNCTION("""COMPUTED_VALUE"""),1203752.0)</f>
        <v>1203752</v>
      </c>
      <c r="C1720" s="14" t="str">
        <f>IFERROR(__xludf.DUMMYFUNCTION("""COMPUTED_VALUE"""),"黃郁涵")</f>
        <v>黃郁涵</v>
      </c>
      <c r="D1720" s="16" t="str">
        <f>IFERROR(__xludf.DUMMYFUNCTION("""COMPUTED_VALUE"""),"509*****t.tc.edu.tw")</f>
        <v>509*****t.tc.edu.tw</v>
      </c>
      <c r="E1720" s="17" t="str">
        <f>IFERROR(__xludf.DUMMYFUNCTION("""COMPUTED_VALUE"""),"臺中市立崇倫國民中學")</f>
        <v>臺中市立崇倫國民中學</v>
      </c>
      <c r="F1720" s="14" t="str">
        <f>IFERROR(__xludf.DUMMYFUNCTION("""COMPUTED_VALUE"""),"七年級")</f>
        <v>七年級</v>
      </c>
      <c r="G1720" s="14" t="str">
        <f>IFERROR(__xludf.DUMMYFUNCTION("""COMPUTED_VALUE"""),"獎狀")</f>
        <v>獎狀</v>
      </c>
      <c r="H1720" s="8"/>
    </row>
    <row r="1721">
      <c r="A1721" s="18"/>
      <c r="B1721" s="14">
        <f>IFERROR(__xludf.DUMMYFUNCTION("""COMPUTED_VALUE"""),349924.0)</f>
        <v>349924</v>
      </c>
      <c r="C1721" s="14" t="str">
        <f>IFERROR(__xludf.DUMMYFUNCTION("""COMPUTED_VALUE"""),"羅永程")</f>
        <v>羅永程</v>
      </c>
      <c r="D1721" s="16" t="str">
        <f>IFERROR(__xludf.DUMMYFUNCTION("""COMPUTED_VALUE"""),"517*****t.tc.edu.tw")</f>
        <v>517*****t.tc.edu.tw</v>
      </c>
      <c r="E1721" s="17" t="str">
        <f>IFERROR(__xludf.DUMMYFUNCTION("""COMPUTED_VALUE"""),"臺中市立崇倫國民中學")</f>
        <v>臺中市立崇倫國民中學</v>
      </c>
      <c r="F1721" s="14" t="str">
        <f>IFERROR(__xludf.DUMMYFUNCTION("""COMPUTED_VALUE"""),"七年級")</f>
        <v>七年級</v>
      </c>
      <c r="G1721" s="14" t="str">
        <f>IFERROR(__xludf.DUMMYFUNCTION("""COMPUTED_VALUE"""),"獎狀")</f>
        <v>獎狀</v>
      </c>
      <c r="H1721" s="8"/>
    </row>
    <row r="1722">
      <c r="A1722" s="18"/>
      <c r="B1722" s="14">
        <f>IFERROR(__xludf.DUMMYFUNCTION("""COMPUTED_VALUE"""),1174753.0)</f>
        <v>1174753</v>
      </c>
      <c r="C1722" s="14" t="str">
        <f>IFERROR(__xludf.DUMMYFUNCTION("""COMPUTED_VALUE"""),"宋翔裕")</f>
        <v>宋翔裕</v>
      </c>
      <c r="D1722" s="16" t="str">
        <f>IFERROR(__xludf.DUMMYFUNCTION("""COMPUTED_VALUE"""),"518*****t.tc.edu.tw")</f>
        <v>518*****t.tc.edu.tw</v>
      </c>
      <c r="E1722" s="17" t="str">
        <f>IFERROR(__xludf.DUMMYFUNCTION("""COMPUTED_VALUE"""),"臺中市立崇倫國民中學")</f>
        <v>臺中市立崇倫國民中學</v>
      </c>
      <c r="F1722" s="14" t="str">
        <f>IFERROR(__xludf.DUMMYFUNCTION("""COMPUTED_VALUE"""),"七年級")</f>
        <v>七年級</v>
      </c>
      <c r="G1722" s="14" t="str">
        <f>IFERROR(__xludf.DUMMYFUNCTION("""COMPUTED_VALUE"""),"獎狀")</f>
        <v>獎狀</v>
      </c>
      <c r="H1722" s="8"/>
    </row>
    <row r="1723">
      <c r="A1723" s="18"/>
      <c r="B1723" s="14">
        <f>IFERROR(__xludf.DUMMYFUNCTION("""COMPUTED_VALUE"""),1209967.0)</f>
        <v>1209967</v>
      </c>
      <c r="C1723" s="14" t="str">
        <f>IFERROR(__xludf.DUMMYFUNCTION("""COMPUTED_VALUE"""),"黃弘劼")</f>
        <v>黃弘劼</v>
      </c>
      <c r="D1723" s="16" t="str">
        <f>IFERROR(__xludf.DUMMYFUNCTION("""COMPUTED_VALUE"""),"518*****t.tc.edu.tw")</f>
        <v>518*****t.tc.edu.tw</v>
      </c>
      <c r="E1723" s="17" t="str">
        <f>IFERROR(__xludf.DUMMYFUNCTION("""COMPUTED_VALUE"""),"臺中市立崇倫國民中學")</f>
        <v>臺中市立崇倫國民中學</v>
      </c>
      <c r="F1723" s="14" t="str">
        <f>IFERROR(__xludf.DUMMYFUNCTION("""COMPUTED_VALUE"""),"七年級")</f>
        <v>七年級</v>
      </c>
      <c r="G1723" s="14" t="str">
        <f>IFERROR(__xludf.DUMMYFUNCTION("""COMPUTED_VALUE"""),"獎狀")</f>
        <v>獎狀</v>
      </c>
      <c r="H1723" s="8"/>
    </row>
    <row r="1724">
      <c r="A1724" s="18"/>
      <c r="B1724" s="14">
        <f>IFERROR(__xludf.DUMMYFUNCTION("""COMPUTED_VALUE"""),649407.0)</f>
        <v>649407</v>
      </c>
      <c r="C1724" s="14" t="str">
        <f>IFERROR(__xludf.DUMMYFUNCTION("""COMPUTED_VALUE"""),"林芮安")</f>
        <v>林芮安</v>
      </c>
      <c r="D1724" s="16" t="str">
        <f>IFERROR(__xludf.DUMMYFUNCTION("""COMPUTED_VALUE"""),"420*****t.tc.edu.tw")</f>
        <v>420*****t.tc.edu.tw</v>
      </c>
      <c r="E1724" s="17" t="str">
        <f>IFERROR(__xludf.DUMMYFUNCTION("""COMPUTED_VALUE"""),"臺中市立崇倫國民中學")</f>
        <v>臺中市立崇倫國民中學</v>
      </c>
      <c r="F1724" s="14" t="str">
        <f>IFERROR(__xludf.DUMMYFUNCTION("""COMPUTED_VALUE"""),"八年級")</f>
        <v>八年級</v>
      </c>
      <c r="G1724" s="14" t="str">
        <f>IFERROR(__xludf.DUMMYFUNCTION("""COMPUTED_VALUE"""),"●小禮物")</f>
        <v>●小禮物</v>
      </c>
      <c r="H1724" s="8"/>
    </row>
    <row r="1725">
      <c r="A1725" s="18"/>
      <c r="B1725" s="14">
        <f>IFERROR(__xludf.DUMMYFUNCTION("""COMPUTED_VALUE"""),1211020.0)</f>
        <v>1211020</v>
      </c>
      <c r="C1725" s="14" t="str">
        <f>IFERROR(__xludf.DUMMYFUNCTION("""COMPUTED_VALUE"""),"松本麗子")</f>
        <v>松本麗子</v>
      </c>
      <c r="D1725" s="16" t="str">
        <f>IFERROR(__xludf.DUMMYFUNCTION("""COMPUTED_VALUE"""),"tc.*****1595@mail.edu.tw")</f>
        <v>tc.*****1595@mail.edu.tw</v>
      </c>
      <c r="E1725" s="17" t="str">
        <f>IFERROR(__xludf.DUMMYFUNCTION("""COMPUTED_VALUE"""),"臺中市立崇倫國民中學")</f>
        <v>臺中市立崇倫國民中學</v>
      </c>
      <c r="F1725" s="14" t="str">
        <f>IFERROR(__xludf.DUMMYFUNCTION("""COMPUTED_VALUE"""),"八年級")</f>
        <v>八年級</v>
      </c>
      <c r="G1725" s="14" t="str">
        <f>IFERROR(__xludf.DUMMYFUNCTION("""COMPUTED_VALUE"""),"●小禮物")</f>
        <v>●小禮物</v>
      </c>
      <c r="H1725" s="8"/>
    </row>
    <row r="1726">
      <c r="A1726" s="18"/>
      <c r="B1726" s="14">
        <f>IFERROR(__xludf.DUMMYFUNCTION("""COMPUTED_VALUE"""),1211032.0)</f>
        <v>1211032</v>
      </c>
      <c r="C1726" s="14" t="str">
        <f>IFERROR(__xludf.DUMMYFUNCTION("""COMPUTED_VALUE"""),"胡嬿甯")</f>
        <v>胡嬿甯</v>
      </c>
      <c r="D1726" s="16" t="str">
        <f>IFERROR(__xludf.DUMMYFUNCTION("""COMPUTED_VALUE"""),"tc.*****1127@mail.edu.tw")</f>
        <v>tc.*****1127@mail.edu.tw</v>
      </c>
      <c r="E1726" s="17" t="str">
        <f>IFERROR(__xludf.DUMMYFUNCTION("""COMPUTED_VALUE"""),"臺中市立崇倫國民中學")</f>
        <v>臺中市立崇倫國民中學</v>
      </c>
      <c r="F1726" s="14" t="str">
        <f>IFERROR(__xludf.DUMMYFUNCTION("""COMPUTED_VALUE"""),"八年級")</f>
        <v>八年級</v>
      </c>
      <c r="G1726" s="14" t="str">
        <f>IFERROR(__xludf.DUMMYFUNCTION("""COMPUTED_VALUE"""),"●小禮物")</f>
        <v>●小禮物</v>
      </c>
      <c r="H1726" s="8"/>
    </row>
    <row r="1727">
      <c r="A1727" s="18"/>
      <c r="B1727" s="14">
        <f>IFERROR(__xludf.DUMMYFUNCTION("""COMPUTED_VALUE"""),926971.0)</f>
        <v>926971</v>
      </c>
      <c r="C1727" s="14" t="str">
        <f>IFERROR(__xludf.DUMMYFUNCTION("""COMPUTED_VALUE"""),"沈函耘")</f>
        <v>沈函耘</v>
      </c>
      <c r="D1727" s="16" t="str">
        <f>IFERROR(__xludf.DUMMYFUNCTION("""COMPUTED_VALUE"""),"yun*****938@mail.edu.tw")</f>
        <v>yun*****938@mail.edu.tw</v>
      </c>
      <c r="E1727" s="17" t="str">
        <f>IFERROR(__xludf.DUMMYFUNCTION("""COMPUTED_VALUE"""),"臺中市立崇倫國民中學")</f>
        <v>臺中市立崇倫國民中學</v>
      </c>
      <c r="F1727" s="14" t="str">
        <f>IFERROR(__xludf.DUMMYFUNCTION("""COMPUTED_VALUE"""),"八年級")</f>
        <v>八年級</v>
      </c>
      <c r="G1727" s="14" t="str">
        <f>IFERROR(__xludf.DUMMYFUNCTION("""COMPUTED_VALUE"""),"★禮券$200")</f>
        <v>★禮券$200</v>
      </c>
      <c r="H1727" s="8"/>
    </row>
    <row r="1728">
      <c r="A1728" s="18"/>
      <c r="B1728" s="14">
        <f>IFERROR(__xludf.DUMMYFUNCTION("""COMPUTED_VALUE"""),1211044.0)</f>
        <v>1211044</v>
      </c>
      <c r="C1728" s="14" t="str">
        <f>IFERROR(__xludf.DUMMYFUNCTION("""COMPUTED_VALUE"""),"唐芸萱")</f>
        <v>唐芸萱</v>
      </c>
      <c r="D1728" s="16" t="str">
        <f>IFERROR(__xludf.DUMMYFUNCTION("""COMPUTED_VALUE"""),"fis*****031773@mail.edu.tw")</f>
        <v>fis*****031773@mail.edu.tw</v>
      </c>
      <c r="E1728" s="17" t="str">
        <f>IFERROR(__xludf.DUMMYFUNCTION("""COMPUTED_VALUE"""),"臺中市立崇倫國民中學")</f>
        <v>臺中市立崇倫國民中學</v>
      </c>
      <c r="F1728" s="14" t="str">
        <f>IFERROR(__xludf.DUMMYFUNCTION("""COMPUTED_VALUE"""),"八年級")</f>
        <v>八年級</v>
      </c>
      <c r="G1728" s="14" t="str">
        <f>IFERROR(__xludf.DUMMYFUNCTION("""COMPUTED_VALUE"""),"獎狀")</f>
        <v>獎狀</v>
      </c>
      <c r="H1728" s="8"/>
    </row>
    <row r="1729">
      <c r="A1729" s="18"/>
      <c r="B1729" s="14">
        <f>IFERROR(__xludf.DUMMYFUNCTION("""COMPUTED_VALUE"""),1211042.0)</f>
        <v>1211042</v>
      </c>
      <c r="C1729" s="14" t="str">
        <f>IFERROR(__xludf.DUMMYFUNCTION("""COMPUTED_VALUE"""),"高泊恩")</f>
        <v>高泊恩</v>
      </c>
      <c r="D1729" s="16" t="str">
        <f>IFERROR(__xludf.DUMMYFUNCTION("""COMPUTED_VALUE"""),"tc.*****0529@mail.edu.tw")</f>
        <v>tc.*****0529@mail.edu.tw</v>
      </c>
      <c r="E1729" s="17" t="str">
        <f>IFERROR(__xludf.DUMMYFUNCTION("""COMPUTED_VALUE"""),"臺中市立崇倫國民中學")</f>
        <v>臺中市立崇倫國民中學</v>
      </c>
      <c r="F1729" s="14" t="str">
        <f>IFERROR(__xludf.DUMMYFUNCTION("""COMPUTED_VALUE"""),"八年級")</f>
        <v>八年級</v>
      </c>
      <c r="G1729" s="14" t="str">
        <f>IFERROR(__xludf.DUMMYFUNCTION("""COMPUTED_VALUE"""),"獎狀")</f>
        <v>獎狀</v>
      </c>
      <c r="H1729" s="8"/>
    </row>
    <row r="1730">
      <c r="A1730" s="18"/>
      <c r="B1730" s="14">
        <f>IFERROR(__xludf.DUMMYFUNCTION("""COMPUTED_VALUE"""),1211043.0)</f>
        <v>1211043</v>
      </c>
      <c r="C1730" s="14" t="str">
        <f>IFERROR(__xludf.DUMMYFUNCTION("""COMPUTED_VALUE"""),"陳姮羽")</f>
        <v>陳姮羽</v>
      </c>
      <c r="D1730" s="16" t="str">
        <f>IFERROR(__xludf.DUMMYFUNCTION("""COMPUTED_VALUE"""),"hen*****85396@mail.edu.tw")</f>
        <v>hen*****85396@mail.edu.tw</v>
      </c>
      <c r="E1730" s="17" t="str">
        <f>IFERROR(__xludf.DUMMYFUNCTION("""COMPUTED_VALUE"""),"臺中市立崇倫國民中學")</f>
        <v>臺中市立崇倫國民中學</v>
      </c>
      <c r="F1730" s="14" t="str">
        <f>IFERROR(__xludf.DUMMYFUNCTION("""COMPUTED_VALUE"""),"八年級")</f>
        <v>八年級</v>
      </c>
      <c r="G1730" s="14" t="str">
        <f>IFERROR(__xludf.DUMMYFUNCTION("""COMPUTED_VALUE"""),"獎狀")</f>
        <v>獎狀</v>
      </c>
      <c r="H1730" s="8"/>
    </row>
    <row r="1731">
      <c r="A1731" s="18"/>
      <c r="B1731" s="14">
        <f>IFERROR(__xludf.DUMMYFUNCTION("""COMPUTED_VALUE"""),1212574.0)</f>
        <v>1212574</v>
      </c>
      <c r="C1731" s="14" t="str">
        <f>IFERROR(__xludf.DUMMYFUNCTION("""COMPUTED_VALUE"""),"曾彥逞")</f>
        <v>曾彥逞</v>
      </c>
      <c r="D1731" s="16" t="str">
        <f>IFERROR(__xludf.DUMMYFUNCTION("""COMPUTED_VALUE"""),"tc.*****2561@mail.edu.tw")</f>
        <v>tc.*****2561@mail.edu.tw</v>
      </c>
      <c r="E1731" s="17" t="str">
        <f>IFERROR(__xludf.DUMMYFUNCTION("""COMPUTED_VALUE"""),"臺中市立崇倫國民中學")</f>
        <v>臺中市立崇倫國民中學</v>
      </c>
      <c r="F1731" s="14" t="str">
        <f>IFERROR(__xludf.DUMMYFUNCTION("""COMPUTED_VALUE"""),"八年級")</f>
        <v>八年級</v>
      </c>
      <c r="G1731" s="14" t="str">
        <f>IFERROR(__xludf.DUMMYFUNCTION("""COMPUTED_VALUE"""),"●小禮物")</f>
        <v>●小禮物</v>
      </c>
      <c r="H1731" s="8"/>
    </row>
    <row r="1732">
      <c r="A1732" s="18"/>
      <c r="B1732" s="14">
        <f>IFERROR(__xludf.DUMMYFUNCTION("""COMPUTED_VALUE"""),1212593.0)</f>
        <v>1212593</v>
      </c>
      <c r="C1732" s="14" t="str">
        <f>IFERROR(__xludf.DUMMYFUNCTION("""COMPUTED_VALUE"""),"楊東燁")</f>
        <v>楊東燁</v>
      </c>
      <c r="D1732" s="16" t="str">
        <f>IFERROR(__xludf.DUMMYFUNCTION("""COMPUTED_VALUE"""),"tc.*****0655@mail.edu.tw")</f>
        <v>tc.*****0655@mail.edu.tw</v>
      </c>
      <c r="E1732" s="17" t="str">
        <f>IFERROR(__xludf.DUMMYFUNCTION("""COMPUTED_VALUE"""),"臺中市立崇倫國民中學")</f>
        <v>臺中市立崇倫國民中學</v>
      </c>
      <c r="F1732" s="14" t="str">
        <f>IFERROR(__xludf.DUMMYFUNCTION("""COMPUTED_VALUE"""),"八年級")</f>
        <v>八年級</v>
      </c>
      <c r="G1732" s="14" t="str">
        <f>IFERROR(__xludf.DUMMYFUNCTION("""COMPUTED_VALUE"""),"●小禮物")</f>
        <v>●小禮物</v>
      </c>
      <c r="H1732" s="8"/>
    </row>
    <row r="1733">
      <c r="A1733" s="18"/>
      <c r="B1733" s="14">
        <f>IFERROR(__xludf.DUMMYFUNCTION("""COMPUTED_VALUE"""),1212576.0)</f>
        <v>1212576</v>
      </c>
      <c r="C1733" s="14" t="str">
        <f>IFERROR(__xludf.DUMMYFUNCTION("""COMPUTED_VALUE"""),"林欣妍")</f>
        <v>林欣妍</v>
      </c>
      <c r="D1733" s="16" t="str">
        <f>IFERROR(__xludf.DUMMYFUNCTION("""COMPUTED_VALUE"""),"tc.*****1365@mail.edu.tw")</f>
        <v>tc.*****1365@mail.edu.tw</v>
      </c>
      <c r="E1733" s="17" t="str">
        <f>IFERROR(__xludf.DUMMYFUNCTION("""COMPUTED_VALUE"""),"臺中市立崇倫國民中學")</f>
        <v>臺中市立崇倫國民中學</v>
      </c>
      <c r="F1733" s="14" t="str">
        <f>IFERROR(__xludf.DUMMYFUNCTION("""COMPUTED_VALUE"""),"八年級")</f>
        <v>八年級</v>
      </c>
      <c r="G1733" s="14" t="str">
        <f>IFERROR(__xludf.DUMMYFUNCTION("""COMPUTED_VALUE"""),"獎狀")</f>
        <v>獎狀</v>
      </c>
      <c r="H1733" s="8"/>
    </row>
    <row r="1734">
      <c r="A1734" s="18"/>
      <c r="B1734" s="14">
        <f>IFERROR(__xludf.DUMMYFUNCTION("""COMPUTED_VALUE"""),1212570.0)</f>
        <v>1212570</v>
      </c>
      <c r="C1734" s="14" t="str">
        <f>IFERROR(__xludf.DUMMYFUNCTION("""COMPUTED_VALUE"""),"陳定慈")</f>
        <v>陳定慈</v>
      </c>
      <c r="D1734" s="16" t="str">
        <f>IFERROR(__xludf.DUMMYFUNCTION("""COMPUTED_VALUE"""),"tc.*****0632@mail.edu.tw")</f>
        <v>tc.*****0632@mail.edu.tw</v>
      </c>
      <c r="E1734" s="17" t="str">
        <f>IFERROR(__xludf.DUMMYFUNCTION("""COMPUTED_VALUE"""),"臺中市立崇倫國民中學")</f>
        <v>臺中市立崇倫國民中學</v>
      </c>
      <c r="F1734" s="14" t="str">
        <f>IFERROR(__xludf.DUMMYFUNCTION("""COMPUTED_VALUE"""),"八年級")</f>
        <v>八年級</v>
      </c>
      <c r="G1734" s="14" t="str">
        <f>IFERROR(__xludf.DUMMYFUNCTION("""COMPUTED_VALUE"""),"獎狀")</f>
        <v>獎狀</v>
      </c>
      <c r="H1734" s="8"/>
    </row>
    <row r="1735">
      <c r="A1735" s="18"/>
      <c r="B1735" s="14">
        <f>IFERROR(__xludf.DUMMYFUNCTION("""COMPUTED_VALUE"""),350058.0)</f>
        <v>350058</v>
      </c>
      <c r="C1735" s="14" t="str">
        <f>IFERROR(__xludf.DUMMYFUNCTION("""COMPUTED_VALUE"""),"林稘皓")</f>
        <v>林稘皓</v>
      </c>
      <c r="D1735" s="16" t="str">
        <f>IFERROR(__xludf.DUMMYFUNCTION("""COMPUTED_VALUE"""),"419*****t.tc.edu.tw")</f>
        <v>419*****t.tc.edu.tw</v>
      </c>
      <c r="E1735" s="17" t="str">
        <f>IFERROR(__xludf.DUMMYFUNCTION("""COMPUTED_VALUE"""),"臺中市立崇倫國民中學")</f>
        <v>臺中市立崇倫國民中學</v>
      </c>
      <c r="F1735" s="14" t="str">
        <f>IFERROR(__xludf.DUMMYFUNCTION("""COMPUTED_VALUE"""),"八年級")</f>
        <v>八年級</v>
      </c>
      <c r="G1735" s="14" t="str">
        <f>IFERROR(__xludf.DUMMYFUNCTION("""COMPUTED_VALUE"""),"●小禮物")</f>
        <v>●小禮物</v>
      </c>
      <c r="H1735" s="8"/>
    </row>
    <row r="1736">
      <c r="A1736" s="18"/>
      <c r="B1736" s="14">
        <f>IFERROR(__xludf.DUMMYFUNCTION("""COMPUTED_VALUE"""),1205014.0)</f>
        <v>1205014</v>
      </c>
      <c r="C1736" s="14" t="str">
        <f>IFERROR(__xludf.DUMMYFUNCTION("""COMPUTED_VALUE"""),"張亞瑄")</f>
        <v>張亞瑄</v>
      </c>
      <c r="D1736" s="16" t="str">
        <f>IFERROR(__xludf.DUMMYFUNCTION("""COMPUTED_VALUE"""),"419*****t.tc.edu.tw")</f>
        <v>419*****t.tc.edu.tw</v>
      </c>
      <c r="E1736" s="17" t="str">
        <f>IFERROR(__xludf.DUMMYFUNCTION("""COMPUTED_VALUE"""),"臺中市立崇倫國民中學")</f>
        <v>臺中市立崇倫國民中學</v>
      </c>
      <c r="F1736" s="14" t="str">
        <f>IFERROR(__xludf.DUMMYFUNCTION("""COMPUTED_VALUE"""),"八年級")</f>
        <v>八年級</v>
      </c>
      <c r="G1736" s="14" t="str">
        <f>IFERROR(__xludf.DUMMYFUNCTION("""COMPUTED_VALUE"""),"●小禮物")</f>
        <v>●小禮物</v>
      </c>
      <c r="H1736" s="8"/>
    </row>
    <row r="1737">
      <c r="A1737" s="18"/>
      <c r="B1737" s="14">
        <f>IFERROR(__xludf.DUMMYFUNCTION("""COMPUTED_VALUE"""),1204947.0)</f>
        <v>1204947</v>
      </c>
      <c r="C1737" s="14" t="str">
        <f>IFERROR(__xludf.DUMMYFUNCTION("""COMPUTED_VALUE"""),"劉嘉麒")</f>
        <v>劉嘉麒</v>
      </c>
      <c r="D1737" s="16" t="str">
        <f>IFERROR(__xludf.DUMMYFUNCTION("""COMPUTED_VALUE"""),"420*****t.tc.edu.tw")</f>
        <v>420*****t.tc.edu.tw</v>
      </c>
      <c r="E1737" s="17" t="str">
        <f>IFERROR(__xludf.DUMMYFUNCTION("""COMPUTED_VALUE"""),"臺中市立崇倫國民中學")</f>
        <v>臺中市立崇倫國民中學</v>
      </c>
      <c r="F1737" s="14" t="str">
        <f>IFERROR(__xludf.DUMMYFUNCTION("""COMPUTED_VALUE"""),"八年級")</f>
        <v>八年級</v>
      </c>
      <c r="G1737" s="14" t="str">
        <f>IFERROR(__xludf.DUMMYFUNCTION("""COMPUTED_VALUE"""),"●小禮物")</f>
        <v>●小禮物</v>
      </c>
      <c r="H1737" s="8"/>
    </row>
    <row r="1738">
      <c r="A1738" s="18"/>
      <c r="B1738" s="14">
        <f>IFERROR(__xludf.DUMMYFUNCTION("""COMPUTED_VALUE"""),1204961.0)</f>
        <v>1204961</v>
      </c>
      <c r="C1738" s="14" t="str">
        <f>IFERROR(__xludf.DUMMYFUNCTION("""COMPUTED_VALUE"""),"鐘于翔")</f>
        <v>鐘于翔</v>
      </c>
      <c r="D1738" s="16" t="str">
        <f>IFERROR(__xludf.DUMMYFUNCTION("""COMPUTED_VALUE"""),"414*****t.tc.edu.tw")</f>
        <v>414*****t.tc.edu.tw</v>
      </c>
      <c r="E1738" s="17" t="str">
        <f>IFERROR(__xludf.DUMMYFUNCTION("""COMPUTED_VALUE"""),"臺中市立崇倫國民中學")</f>
        <v>臺中市立崇倫國民中學</v>
      </c>
      <c r="F1738" s="14" t="str">
        <f>IFERROR(__xludf.DUMMYFUNCTION("""COMPUTED_VALUE"""),"八年級")</f>
        <v>八年級</v>
      </c>
      <c r="G1738" s="14" t="str">
        <f>IFERROR(__xludf.DUMMYFUNCTION("""COMPUTED_VALUE"""),"●小禮物")</f>
        <v>●小禮物</v>
      </c>
      <c r="H1738" s="8"/>
    </row>
    <row r="1739">
      <c r="A1739" s="18"/>
      <c r="B1739" s="14">
        <f>IFERROR(__xludf.DUMMYFUNCTION("""COMPUTED_VALUE"""),1205020.0)</f>
        <v>1205020</v>
      </c>
      <c r="C1739" s="14" t="str">
        <f>IFERROR(__xludf.DUMMYFUNCTION("""COMPUTED_VALUE"""),"蕭丞佑")</f>
        <v>蕭丞佑</v>
      </c>
      <c r="D1739" s="16" t="str">
        <f>IFERROR(__xludf.DUMMYFUNCTION("""COMPUTED_VALUE"""),"420*****t.tc.edu.tw")</f>
        <v>420*****t.tc.edu.tw</v>
      </c>
      <c r="E1739" s="17" t="str">
        <f>IFERROR(__xludf.DUMMYFUNCTION("""COMPUTED_VALUE"""),"臺中市立崇倫國民中學")</f>
        <v>臺中市立崇倫國民中學</v>
      </c>
      <c r="F1739" s="14" t="str">
        <f>IFERROR(__xludf.DUMMYFUNCTION("""COMPUTED_VALUE"""),"八年級")</f>
        <v>八年級</v>
      </c>
      <c r="G1739" s="14" t="str">
        <f>IFERROR(__xludf.DUMMYFUNCTION("""COMPUTED_VALUE"""),"獎狀")</f>
        <v>獎狀</v>
      </c>
      <c r="H1739" s="8"/>
    </row>
    <row r="1740">
      <c r="A1740" s="18"/>
      <c r="B1740" s="14">
        <f>IFERROR(__xludf.DUMMYFUNCTION("""COMPUTED_VALUE"""),1210924.0)</f>
        <v>1210924</v>
      </c>
      <c r="C1740" s="14" t="str">
        <f>IFERROR(__xludf.DUMMYFUNCTION("""COMPUTED_VALUE"""),"林純妃")</f>
        <v>林純妃</v>
      </c>
      <c r="D1740" s="16" t="str">
        <f>IFERROR(__xludf.DUMMYFUNCTION("""COMPUTED_VALUE"""),"tcs*****4195@mail.edu.tw")</f>
        <v>tcs*****4195@mail.edu.tw</v>
      </c>
      <c r="E1740" s="17" t="str">
        <f>IFERROR(__xludf.DUMMYFUNCTION("""COMPUTED_VALUE"""),"臺中市立崇倫國民中學")</f>
        <v>臺中市立崇倫國民中學</v>
      </c>
      <c r="F1740" s="14" t="str">
        <f>IFERROR(__xludf.DUMMYFUNCTION("""COMPUTED_VALUE"""),"八年級")</f>
        <v>八年級</v>
      </c>
      <c r="G1740" s="14" t="str">
        <f>IFERROR(__xludf.DUMMYFUNCTION("""COMPUTED_VALUE"""),"●小禮物")</f>
        <v>●小禮物</v>
      </c>
      <c r="H1740" s="8"/>
    </row>
    <row r="1741">
      <c r="A1741" s="18"/>
      <c r="B1741" s="14">
        <f>IFERROR(__xludf.DUMMYFUNCTION("""COMPUTED_VALUE"""),1210899.0)</f>
        <v>1210899</v>
      </c>
      <c r="C1741" s="14" t="str">
        <f>IFERROR(__xludf.DUMMYFUNCTION("""COMPUTED_VALUE"""),"彭馨瑩")</f>
        <v>彭馨瑩</v>
      </c>
      <c r="D1741" s="16" t="str">
        <f>IFERROR(__xludf.DUMMYFUNCTION("""COMPUTED_VALUE"""),"tc.*****2961@mail.edu.tw")</f>
        <v>tc.*****2961@mail.edu.tw</v>
      </c>
      <c r="E1741" s="17" t="str">
        <f>IFERROR(__xludf.DUMMYFUNCTION("""COMPUTED_VALUE"""),"臺中市立崇倫國民中學")</f>
        <v>臺中市立崇倫國民中學</v>
      </c>
      <c r="F1741" s="14" t="str">
        <f>IFERROR(__xludf.DUMMYFUNCTION("""COMPUTED_VALUE"""),"八年級")</f>
        <v>八年級</v>
      </c>
      <c r="G1741" s="14" t="str">
        <f>IFERROR(__xludf.DUMMYFUNCTION("""COMPUTED_VALUE"""),"●小禮物")</f>
        <v>●小禮物</v>
      </c>
      <c r="H1741" s="8"/>
    </row>
    <row r="1742">
      <c r="A1742" s="18"/>
      <c r="B1742" s="14">
        <f>IFERROR(__xludf.DUMMYFUNCTION("""COMPUTED_VALUE"""),1210917.0)</f>
        <v>1210917</v>
      </c>
      <c r="C1742" s="14" t="str">
        <f>IFERROR(__xludf.DUMMYFUNCTION("""COMPUTED_VALUE"""),"黃子涵")</f>
        <v>黃子涵</v>
      </c>
      <c r="D1742" s="16" t="str">
        <f>IFERROR(__xludf.DUMMYFUNCTION("""COMPUTED_VALUE"""),"tc.*****1111@mail.edu.tw")</f>
        <v>tc.*****1111@mail.edu.tw</v>
      </c>
      <c r="E1742" s="17" t="str">
        <f>IFERROR(__xludf.DUMMYFUNCTION("""COMPUTED_VALUE"""),"臺中市立崇倫國民中學")</f>
        <v>臺中市立崇倫國民中學</v>
      </c>
      <c r="F1742" s="14" t="str">
        <f>IFERROR(__xludf.DUMMYFUNCTION("""COMPUTED_VALUE"""),"八年級")</f>
        <v>八年級</v>
      </c>
      <c r="G1742" s="14" t="str">
        <f>IFERROR(__xludf.DUMMYFUNCTION("""COMPUTED_VALUE"""),"●小禮物")</f>
        <v>●小禮物</v>
      </c>
      <c r="H1742" s="8"/>
    </row>
    <row r="1743">
      <c r="A1743" s="18"/>
      <c r="B1743" s="14">
        <f>IFERROR(__xludf.DUMMYFUNCTION("""COMPUTED_VALUE"""),1210905.0)</f>
        <v>1210905</v>
      </c>
      <c r="C1743" s="14" t="str">
        <f>IFERROR(__xludf.DUMMYFUNCTION("""COMPUTED_VALUE"""),"周允志")</f>
        <v>周允志</v>
      </c>
      <c r="D1743" s="16" t="str">
        <f>IFERROR(__xludf.DUMMYFUNCTION("""COMPUTED_VALUE"""),"tc.*****1875@mail.edu.tw")</f>
        <v>tc.*****1875@mail.edu.tw</v>
      </c>
      <c r="E1743" s="17" t="str">
        <f>IFERROR(__xludf.DUMMYFUNCTION("""COMPUTED_VALUE"""),"臺中市立崇倫國民中學")</f>
        <v>臺中市立崇倫國民中學</v>
      </c>
      <c r="F1743" s="14" t="str">
        <f>IFERROR(__xludf.DUMMYFUNCTION("""COMPUTED_VALUE"""),"八年級")</f>
        <v>八年級</v>
      </c>
      <c r="G1743" s="14" t="str">
        <f>IFERROR(__xludf.DUMMYFUNCTION("""COMPUTED_VALUE"""),"獎狀")</f>
        <v>獎狀</v>
      </c>
      <c r="H1743" s="8"/>
    </row>
    <row r="1744">
      <c r="A1744" s="18"/>
      <c r="B1744" s="14">
        <f>IFERROR(__xludf.DUMMYFUNCTION("""COMPUTED_VALUE"""),1210902.0)</f>
        <v>1210902</v>
      </c>
      <c r="C1744" s="14" t="str">
        <f>IFERROR(__xludf.DUMMYFUNCTION("""COMPUTED_VALUE"""),"凃緯豪")</f>
        <v>凃緯豪</v>
      </c>
      <c r="D1744" s="16" t="str">
        <f>IFERROR(__xludf.DUMMYFUNCTION("""COMPUTED_VALUE"""),"tc.*****1265@mail.edu.tw")</f>
        <v>tc.*****1265@mail.edu.tw</v>
      </c>
      <c r="E1744" s="17" t="str">
        <f>IFERROR(__xludf.DUMMYFUNCTION("""COMPUTED_VALUE"""),"臺中市立崇倫國民中學")</f>
        <v>臺中市立崇倫國民中學</v>
      </c>
      <c r="F1744" s="14" t="str">
        <f>IFERROR(__xludf.DUMMYFUNCTION("""COMPUTED_VALUE"""),"八年級")</f>
        <v>八年級</v>
      </c>
      <c r="G1744" s="14" t="str">
        <f>IFERROR(__xludf.DUMMYFUNCTION("""COMPUTED_VALUE"""),"獎狀")</f>
        <v>獎狀</v>
      </c>
      <c r="H1744" s="8"/>
    </row>
    <row r="1745">
      <c r="A1745" s="18"/>
      <c r="B1745" s="14">
        <f>IFERROR(__xludf.DUMMYFUNCTION("""COMPUTED_VALUE"""),1213959.0)</f>
        <v>1213959</v>
      </c>
      <c r="C1745" s="14" t="str">
        <f>IFERROR(__xludf.DUMMYFUNCTION("""COMPUTED_VALUE"""),"徐千瑩")</f>
        <v>徐千瑩</v>
      </c>
      <c r="D1745" s="16" t="str">
        <f>IFERROR(__xludf.DUMMYFUNCTION("""COMPUTED_VALUE"""),"tcd*****4429@mail.edu.tw")</f>
        <v>tcd*****4429@mail.edu.tw</v>
      </c>
      <c r="E1745" s="17" t="str">
        <f>IFERROR(__xludf.DUMMYFUNCTION("""COMPUTED_VALUE"""),"臺中市立崇倫國民中學")</f>
        <v>臺中市立崇倫國民中學</v>
      </c>
      <c r="F1745" s="14" t="str">
        <f>IFERROR(__xludf.DUMMYFUNCTION("""COMPUTED_VALUE"""),"八年級")</f>
        <v>八年級</v>
      </c>
      <c r="G1745" s="14" t="str">
        <f>IFERROR(__xludf.DUMMYFUNCTION("""COMPUTED_VALUE"""),"●小禮物")</f>
        <v>●小禮物</v>
      </c>
      <c r="H1745" s="8"/>
    </row>
    <row r="1746">
      <c r="A1746" s="18"/>
      <c r="B1746" s="14">
        <f>IFERROR(__xludf.DUMMYFUNCTION("""COMPUTED_VALUE"""),1204801.0)</f>
        <v>1204801</v>
      </c>
      <c r="C1746" s="14" t="str">
        <f>IFERROR(__xludf.DUMMYFUNCTION("""COMPUTED_VALUE"""),"周雨臻")</f>
        <v>周雨臻</v>
      </c>
      <c r="D1746" s="16" t="str">
        <f>IFERROR(__xludf.DUMMYFUNCTION("""COMPUTED_VALUE"""),"tcd*****4357@mail.edu.tw")</f>
        <v>tcd*****4357@mail.edu.tw</v>
      </c>
      <c r="E1746" s="17" t="str">
        <f>IFERROR(__xludf.DUMMYFUNCTION("""COMPUTED_VALUE"""),"臺中市立崇倫國民中學")</f>
        <v>臺中市立崇倫國民中學</v>
      </c>
      <c r="F1746" s="14" t="str">
        <f>IFERROR(__xludf.DUMMYFUNCTION("""COMPUTED_VALUE"""),"八年級")</f>
        <v>八年級</v>
      </c>
      <c r="G1746" s="14" t="str">
        <f>IFERROR(__xludf.DUMMYFUNCTION("""COMPUTED_VALUE"""),"獎狀")</f>
        <v>獎狀</v>
      </c>
      <c r="H1746" s="8"/>
    </row>
    <row r="1747">
      <c r="A1747" s="18"/>
      <c r="B1747" s="14">
        <f>IFERROR(__xludf.DUMMYFUNCTION("""COMPUTED_VALUE"""),1212682.0)</f>
        <v>1212682</v>
      </c>
      <c r="C1747" s="14" t="str">
        <f>IFERROR(__xludf.DUMMYFUNCTION("""COMPUTED_VALUE"""),"張喬茵")</f>
        <v>張喬茵</v>
      </c>
      <c r="D1747" s="16" t="str">
        <f>IFERROR(__xludf.DUMMYFUNCTION("""COMPUTED_VALUE"""),"tc.*****2971@mail.edu.tw")</f>
        <v>tc.*****2971@mail.edu.tw</v>
      </c>
      <c r="E1747" s="17" t="str">
        <f>IFERROR(__xludf.DUMMYFUNCTION("""COMPUTED_VALUE"""),"臺中市立崇倫國民中學")</f>
        <v>臺中市立崇倫國民中學</v>
      </c>
      <c r="F1747" s="14" t="str">
        <f>IFERROR(__xludf.DUMMYFUNCTION("""COMPUTED_VALUE"""),"八年級")</f>
        <v>八年級</v>
      </c>
      <c r="G1747" s="14" t="str">
        <f>IFERROR(__xludf.DUMMYFUNCTION("""COMPUTED_VALUE"""),"●小禮物")</f>
        <v>●小禮物</v>
      </c>
      <c r="H1747" s="8"/>
    </row>
    <row r="1748">
      <c r="A1748" s="18"/>
      <c r="B1748" s="14">
        <f>IFERROR(__xludf.DUMMYFUNCTION("""COMPUTED_VALUE"""),1212680.0)</f>
        <v>1212680</v>
      </c>
      <c r="C1748" s="14" t="str">
        <f>IFERROR(__xludf.DUMMYFUNCTION("""COMPUTED_VALUE"""),"江樂軒")</f>
        <v>江樂軒</v>
      </c>
      <c r="D1748" s="16" t="str">
        <f>IFERROR(__xludf.DUMMYFUNCTION("""COMPUTED_VALUE"""),"ert*****kl927@mail.edu.tw")</f>
        <v>ert*****kl927@mail.edu.tw</v>
      </c>
      <c r="E1748" s="17" t="str">
        <f>IFERROR(__xludf.DUMMYFUNCTION("""COMPUTED_VALUE"""),"臺中市立崇倫國民中學")</f>
        <v>臺中市立崇倫國民中學</v>
      </c>
      <c r="F1748" s="14" t="str">
        <f>IFERROR(__xludf.DUMMYFUNCTION("""COMPUTED_VALUE"""),"八年級")</f>
        <v>八年級</v>
      </c>
      <c r="G1748" s="14" t="str">
        <f>IFERROR(__xludf.DUMMYFUNCTION("""COMPUTED_VALUE"""),"獎狀")</f>
        <v>獎狀</v>
      </c>
      <c r="H1748" s="8"/>
    </row>
    <row r="1749">
      <c r="A1749" s="18"/>
      <c r="B1749" s="14">
        <f>IFERROR(__xludf.DUMMYFUNCTION("""COMPUTED_VALUE"""),1212674.0)</f>
        <v>1212674</v>
      </c>
      <c r="C1749" s="14" t="str">
        <f>IFERROR(__xludf.DUMMYFUNCTION("""COMPUTED_VALUE"""),"許晉豪")</f>
        <v>許晉豪</v>
      </c>
      <c r="D1749" s="16" t="str">
        <f>IFERROR(__xludf.DUMMYFUNCTION("""COMPUTED_VALUE"""),"tc.*****7@mail.edu.tw")</f>
        <v>tc.*****7@mail.edu.tw</v>
      </c>
      <c r="E1749" s="17" t="str">
        <f>IFERROR(__xludf.DUMMYFUNCTION("""COMPUTED_VALUE"""),"臺中市立崇倫國民中學")</f>
        <v>臺中市立崇倫國民中學</v>
      </c>
      <c r="F1749" s="14" t="str">
        <f>IFERROR(__xludf.DUMMYFUNCTION("""COMPUTED_VALUE"""),"八年級")</f>
        <v>八年級</v>
      </c>
      <c r="G1749" s="14" t="str">
        <f>IFERROR(__xludf.DUMMYFUNCTION("""COMPUTED_VALUE"""),"獎狀")</f>
        <v>獎狀</v>
      </c>
      <c r="H1749" s="8"/>
    </row>
    <row r="1750">
      <c r="A1750" s="18"/>
      <c r="B1750" s="14">
        <f>IFERROR(__xludf.DUMMYFUNCTION("""COMPUTED_VALUE"""),1207845.0)</f>
        <v>1207845</v>
      </c>
      <c r="C1750" s="14" t="str">
        <f>IFERROR(__xludf.DUMMYFUNCTION("""COMPUTED_VALUE"""),"周巧婕")</f>
        <v>周巧婕</v>
      </c>
      <c r="D1750" s="16" t="str">
        <f>IFERROR(__xludf.DUMMYFUNCTION("""COMPUTED_VALUE"""),"joa*****793166@mail.edu.tw")</f>
        <v>joa*****793166@mail.edu.tw</v>
      </c>
      <c r="E1750" s="17" t="str">
        <f>IFERROR(__xludf.DUMMYFUNCTION("""COMPUTED_VALUE"""),"臺中市立崇倫國民中學")</f>
        <v>臺中市立崇倫國民中學</v>
      </c>
      <c r="F1750" s="14" t="str">
        <f>IFERROR(__xludf.DUMMYFUNCTION("""COMPUTED_VALUE"""),"八年級")</f>
        <v>八年級</v>
      </c>
      <c r="G1750" s="14" t="str">
        <f>IFERROR(__xludf.DUMMYFUNCTION("""COMPUTED_VALUE"""),"●小禮物")</f>
        <v>●小禮物</v>
      </c>
      <c r="H1750" s="8"/>
    </row>
    <row r="1751">
      <c r="A1751" s="18"/>
      <c r="B1751" s="14">
        <f>IFERROR(__xludf.DUMMYFUNCTION("""COMPUTED_VALUE"""),1204787.0)</f>
        <v>1204787</v>
      </c>
      <c r="C1751" s="14" t="str">
        <f>IFERROR(__xludf.DUMMYFUNCTION("""COMPUTED_VALUE"""),"林巧雯")</f>
        <v>林巧雯</v>
      </c>
      <c r="D1751" s="16" t="str">
        <f>IFERROR(__xludf.DUMMYFUNCTION("""COMPUTED_VALUE"""),"tc.*****2275@mail.edu.tw")</f>
        <v>tc.*****2275@mail.edu.tw</v>
      </c>
      <c r="E1751" s="17" t="str">
        <f>IFERROR(__xludf.DUMMYFUNCTION("""COMPUTED_VALUE"""),"臺中市立崇倫國民中學")</f>
        <v>臺中市立崇倫國民中學</v>
      </c>
      <c r="F1751" s="14" t="str">
        <f>IFERROR(__xludf.DUMMYFUNCTION("""COMPUTED_VALUE"""),"八年級")</f>
        <v>八年級</v>
      </c>
      <c r="G1751" s="14" t="str">
        <f>IFERROR(__xludf.DUMMYFUNCTION("""COMPUTED_VALUE"""),"●小禮物")</f>
        <v>●小禮物</v>
      </c>
      <c r="H1751" s="8"/>
    </row>
    <row r="1752">
      <c r="A1752" s="18"/>
      <c r="B1752" s="14">
        <f>IFERROR(__xludf.DUMMYFUNCTION("""COMPUTED_VALUE"""),1207850.0)</f>
        <v>1207850</v>
      </c>
      <c r="C1752" s="14" t="str">
        <f>IFERROR(__xludf.DUMMYFUNCTION("""COMPUTED_VALUE"""),"胡賢邑")</f>
        <v>胡賢邑</v>
      </c>
      <c r="D1752" s="16" t="str">
        <f>IFERROR(__xludf.DUMMYFUNCTION("""COMPUTED_VALUE"""),"tc.*****2565@mail.edu.tw")</f>
        <v>tc.*****2565@mail.edu.tw</v>
      </c>
      <c r="E1752" s="17" t="str">
        <f>IFERROR(__xludf.DUMMYFUNCTION("""COMPUTED_VALUE"""),"臺中市立崇倫國民中學")</f>
        <v>臺中市立崇倫國民中學</v>
      </c>
      <c r="F1752" s="14" t="str">
        <f>IFERROR(__xludf.DUMMYFUNCTION("""COMPUTED_VALUE"""),"八年級")</f>
        <v>八年級</v>
      </c>
      <c r="G1752" s="14" t="str">
        <f>IFERROR(__xludf.DUMMYFUNCTION("""COMPUTED_VALUE"""),"●小禮物")</f>
        <v>●小禮物</v>
      </c>
      <c r="H1752" s="8"/>
    </row>
    <row r="1753">
      <c r="A1753" s="18"/>
      <c r="B1753" s="14">
        <f>IFERROR(__xludf.DUMMYFUNCTION("""COMPUTED_VALUE"""),1207854.0)</f>
        <v>1207854</v>
      </c>
      <c r="C1753" s="14" t="str">
        <f>IFERROR(__xludf.DUMMYFUNCTION("""COMPUTED_VALUE"""),"徐粲鈞")</f>
        <v>徐粲鈞</v>
      </c>
      <c r="D1753" s="16" t="str">
        <f>IFERROR(__xludf.DUMMYFUNCTION("""COMPUTED_VALUE"""),"tc.*****0615@mail.edu.tw")</f>
        <v>tc.*****0615@mail.edu.tw</v>
      </c>
      <c r="E1753" s="17" t="str">
        <f>IFERROR(__xludf.DUMMYFUNCTION("""COMPUTED_VALUE"""),"臺中市立崇倫國民中學")</f>
        <v>臺中市立崇倫國民中學</v>
      </c>
      <c r="F1753" s="14" t="str">
        <f>IFERROR(__xludf.DUMMYFUNCTION("""COMPUTED_VALUE"""),"八年級")</f>
        <v>八年級</v>
      </c>
      <c r="G1753" s="14" t="str">
        <f>IFERROR(__xludf.DUMMYFUNCTION("""COMPUTED_VALUE"""),"●小禮物")</f>
        <v>●小禮物</v>
      </c>
      <c r="H1753" s="8"/>
    </row>
    <row r="1754">
      <c r="A1754" s="18"/>
      <c r="B1754" s="14">
        <f>IFERROR(__xludf.DUMMYFUNCTION("""COMPUTED_VALUE"""),1207851.0)</f>
        <v>1207851</v>
      </c>
      <c r="C1754" s="14" t="str">
        <f>IFERROR(__xludf.DUMMYFUNCTION("""COMPUTED_VALUE"""),"陳冠佑")</f>
        <v>陳冠佑</v>
      </c>
      <c r="D1754" s="16" t="str">
        <f>IFERROR(__xludf.DUMMYFUNCTION("""COMPUTED_VALUE"""),"tc.*****0639@mail.edu.tw")</f>
        <v>tc.*****0639@mail.edu.tw</v>
      </c>
      <c r="E1754" s="17" t="str">
        <f>IFERROR(__xludf.DUMMYFUNCTION("""COMPUTED_VALUE"""),"臺中市立崇倫國民中學")</f>
        <v>臺中市立崇倫國民中學</v>
      </c>
      <c r="F1754" s="14" t="str">
        <f>IFERROR(__xludf.DUMMYFUNCTION("""COMPUTED_VALUE"""),"八年級")</f>
        <v>八年級</v>
      </c>
      <c r="G1754" s="14" t="str">
        <f>IFERROR(__xludf.DUMMYFUNCTION("""COMPUTED_VALUE"""),"●小禮物")</f>
        <v>●小禮物</v>
      </c>
      <c r="H1754" s="8"/>
    </row>
    <row r="1755">
      <c r="A1755" s="18"/>
      <c r="B1755" s="14">
        <f>IFERROR(__xludf.DUMMYFUNCTION("""COMPUTED_VALUE"""),1207844.0)</f>
        <v>1207844</v>
      </c>
      <c r="C1755" s="14" t="str">
        <f>IFERROR(__xludf.DUMMYFUNCTION("""COMPUTED_VALUE"""),"賴子勛")</f>
        <v>賴子勛</v>
      </c>
      <c r="D1755" s="16" t="str">
        <f>IFERROR(__xludf.DUMMYFUNCTION("""COMPUTED_VALUE"""),"ham*****81737@mail.edu.tw")</f>
        <v>ham*****81737@mail.edu.tw</v>
      </c>
      <c r="E1755" s="17" t="str">
        <f>IFERROR(__xludf.DUMMYFUNCTION("""COMPUTED_VALUE"""),"臺中市立崇倫國民中學")</f>
        <v>臺中市立崇倫國民中學</v>
      </c>
      <c r="F1755" s="14" t="str">
        <f>IFERROR(__xludf.DUMMYFUNCTION("""COMPUTED_VALUE"""),"八年級")</f>
        <v>八年級</v>
      </c>
      <c r="G1755" s="14" t="str">
        <f>IFERROR(__xludf.DUMMYFUNCTION("""COMPUTED_VALUE"""),"●小禮物")</f>
        <v>●小禮物</v>
      </c>
      <c r="H1755" s="8"/>
    </row>
    <row r="1756">
      <c r="A1756" s="18"/>
      <c r="B1756" s="14">
        <f>IFERROR(__xludf.DUMMYFUNCTION("""COMPUTED_VALUE"""),969965.0)</f>
        <v>969965</v>
      </c>
      <c r="C1756" s="14" t="str">
        <f>IFERROR(__xludf.DUMMYFUNCTION("""COMPUTED_VALUE"""),"王叡軒")</f>
        <v>王叡軒</v>
      </c>
      <c r="D1756" s="16" t="str">
        <f>IFERROR(__xludf.DUMMYFUNCTION("""COMPUTED_VALUE"""),"420*****t.tc.edu.tw")</f>
        <v>420*****t.tc.edu.tw</v>
      </c>
      <c r="E1756" s="17" t="str">
        <f>IFERROR(__xludf.DUMMYFUNCTION("""COMPUTED_VALUE"""),"臺中市立崇倫國民中學")</f>
        <v>臺中市立崇倫國民中學</v>
      </c>
      <c r="F1756" s="14" t="str">
        <f>IFERROR(__xludf.DUMMYFUNCTION("""COMPUTED_VALUE"""),"八年級")</f>
        <v>八年級</v>
      </c>
      <c r="G1756" s="14" t="str">
        <f>IFERROR(__xludf.DUMMYFUNCTION("""COMPUTED_VALUE"""),"獎狀")</f>
        <v>獎狀</v>
      </c>
      <c r="H1756" s="8"/>
    </row>
    <row r="1757">
      <c r="A1757" s="18"/>
      <c r="B1757" s="14">
        <f>IFERROR(__xludf.DUMMYFUNCTION("""COMPUTED_VALUE"""),1207836.0)</f>
        <v>1207836</v>
      </c>
      <c r="C1757" s="14" t="str">
        <f>IFERROR(__xludf.DUMMYFUNCTION("""COMPUTED_VALUE"""),"林昱汎")</f>
        <v>林昱汎</v>
      </c>
      <c r="D1757" s="16" t="str">
        <f>IFERROR(__xludf.DUMMYFUNCTION("""COMPUTED_VALUE"""),"bat*****31805@mail.edu.tw")</f>
        <v>bat*****31805@mail.edu.tw</v>
      </c>
      <c r="E1757" s="17" t="str">
        <f>IFERROR(__xludf.DUMMYFUNCTION("""COMPUTED_VALUE"""),"臺中市立崇倫國民中學")</f>
        <v>臺中市立崇倫國民中學</v>
      </c>
      <c r="F1757" s="14" t="str">
        <f>IFERROR(__xludf.DUMMYFUNCTION("""COMPUTED_VALUE"""),"八年級")</f>
        <v>八年級</v>
      </c>
      <c r="G1757" s="14" t="str">
        <f>IFERROR(__xludf.DUMMYFUNCTION("""COMPUTED_VALUE"""),"獎狀")</f>
        <v>獎狀</v>
      </c>
      <c r="H1757" s="8"/>
    </row>
    <row r="1758">
      <c r="A1758" s="18"/>
      <c r="B1758" s="14">
        <f>IFERROR(__xludf.DUMMYFUNCTION("""COMPUTED_VALUE"""),1207841.0)</f>
        <v>1207841</v>
      </c>
      <c r="C1758" s="14" t="str">
        <f>IFERROR(__xludf.DUMMYFUNCTION("""COMPUTED_VALUE"""),"蔡旼穎")</f>
        <v>蔡旼穎</v>
      </c>
      <c r="D1758" s="16" t="str">
        <f>IFERROR(__xludf.DUMMYFUNCTION("""COMPUTED_VALUE"""),"tc.*****0600@mail.edu.tw")</f>
        <v>tc.*****0600@mail.edu.tw</v>
      </c>
      <c r="E1758" s="17" t="str">
        <f>IFERROR(__xludf.DUMMYFUNCTION("""COMPUTED_VALUE"""),"臺中市立崇倫國民中學")</f>
        <v>臺中市立崇倫國民中學</v>
      </c>
      <c r="F1758" s="14" t="str">
        <f>IFERROR(__xludf.DUMMYFUNCTION("""COMPUTED_VALUE"""),"八年級")</f>
        <v>八年級</v>
      </c>
      <c r="G1758" s="14" t="str">
        <f>IFERROR(__xludf.DUMMYFUNCTION("""COMPUTED_VALUE"""),"獎狀")</f>
        <v>獎狀</v>
      </c>
      <c r="H1758" s="8"/>
    </row>
    <row r="1759">
      <c r="A1759" s="18"/>
      <c r="B1759" s="14">
        <f>IFERROR(__xludf.DUMMYFUNCTION("""COMPUTED_VALUE"""),1207838.0)</f>
        <v>1207838</v>
      </c>
      <c r="C1759" s="14" t="str">
        <f>IFERROR(__xludf.DUMMYFUNCTION("""COMPUTED_VALUE"""),"蕭允欣")</f>
        <v>蕭允欣</v>
      </c>
      <c r="D1759" s="16" t="str">
        <f>IFERROR(__xludf.DUMMYFUNCTION("""COMPUTED_VALUE"""),"s54*****ail.edu.tw")</f>
        <v>s54*****ail.edu.tw</v>
      </c>
      <c r="E1759" s="17" t="str">
        <f>IFERROR(__xludf.DUMMYFUNCTION("""COMPUTED_VALUE"""),"臺中市立崇倫國民中學")</f>
        <v>臺中市立崇倫國民中學</v>
      </c>
      <c r="F1759" s="14" t="str">
        <f>IFERROR(__xludf.DUMMYFUNCTION("""COMPUTED_VALUE"""),"八年級")</f>
        <v>八年級</v>
      </c>
      <c r="G1759" s="14" t="str">
        <f>IFERROR(__xludf.DUMMYFUNCTION("""COMPUTED_VALUE"""),"獎狀")</f>
        <v>獎狀</v>
      </c>
      <c r="H1759" s="8"/>
    </row>
    <row r="1760">
      <c r="A1760" s="18"/>
      <c r="B1760" s="14">
        <f>IFERROR(__xludf.DUMMYFUNCTION("""COMPUTED_VALUE"""),1207848.0)</f>
        <v>1207848</v>
      </c>
      <c r="C1760" s="14" t="str">
        <f>IFERROR(__xludf.DUMMYFUNCTION("""COMPUTED_VALUE"""),"蕭芷安")</f>
        <v>蕭芷安</v>
      </c>
      <c r="D1760" s="16" t="str">
        <f>IFERROR(__xludf.DUMMYFUNCTION("""COMPUTED_VALUE"""),"tc.*****1600@mail.edu.tw")</f>
        <v>tc.*****1600@mail.edu.tw</v>
      </c>
      <c r="E1760" s="17" t="str">
        <f>IFERROR(__xludf.DUMMYFUNCTION("""COMPUTED_VALUE"""),"臺中市立崇倫國民中學")</f>
        <v>臺中市立崇倫國民中學</v>
      </c>
      <c r="F1760" s="14" t="str">
        <f>IFERROR(__xludf.DUMMYFUNCTION("""COMPUTED_VALUE"""),"八年級")</f>
        <v>八年級</v>
      </c>
      <c r="G1760" s="14" t="str">
        <f>IFERROR(__xludf.DUMMYFUNCTION("""COMPUTED_VALUE"""),"獎狀")</f>
        <v>獎狀</v>
      </c>
      <c r="H1760" s="8"/>
    </row>
    <row r="1761">
      <c r="A1761" s="18"/>
      <c r="B1761" s="14">
        <f>IFERROR(__xludf.DUMMYFUNCTION("""COMPUTED_VALUE"""),1203248.0)</f>
        <v>1203248</v>
      </c>
      <c r="C1761" s="14" t="str">
        <f>IFERROR(__xludf.DUMMYFUNCTION("""COMPUTED_VALUE"""),"王宸麟")</f>
        <v>王宸麟</v>
      </c>
      <c r="D1761" s="16" t="str">
        <f>IFERROR(__xludf.DUMMYFUNCTION("""COMPUTED_VALUE"""),"322*****t.tc.edu.tw")</f>
        <v>322*****t.tc.edu.tw</v>
      </c>
      <c r="E1761" s="17" t="str">
        <f>IFERROR(__xludf.DUMMYFUNCTION("""COMPUTED_VALUE"""),"臺中市立崇倫國民中學")</f>
        <v>臺中市立崇倫國民中學</v>
      </c>
      <c r="F1761" s="14" t="str">
        <f>IFERROR(__xludf.DUMMYFUNCTION("""COMPUTED_VALUE"""),"九年級")</f>
        <v>九年級</v>
      </c>
      <c r="G1761" s="14" t="str">
        <f>IFERROR(__xludf.DUMMYFUNCTION("""COMPUTED_VALUE"""),"獎狀")</f>
        <v>獎狀</v>
      </c>
      <c r="H1761" s="8"/>
    </row>
    <row r="1762">
      <c r="A1762" s="18"/>
      <c r="B1762" s="14">
        <f>IFERROR(__xludf.DUMMYFUNCTION("""COMPUTED_VALUE"""),1203247.0)</f>
        <v>1203247</v>
      </c>
      <c r="C1762" s="14" t="str">
        <f>IFERROR(__xludf.DUMMYFUNCTION("""COMPUTED_VALUE"""),"洪璽")</f>
        <v>洪璽</v>
      </c>
      <c r="D1762" s="16" t="str">
        <f>IFERROR(__xludf.DUMMYFUNCTION("""COMPUTED_VALUE"""),"326*****t.tc.edu.tw")</f>
        <v>326*****t.tc.edu.tw</v>
      </c>
      <c r="E1762" s="17" t="str">
        <f>IFERROR(__xludf.DUMMYFUNCTION("""COMPUTED_VALUE"""),"臺中市立崇倫國民中學")</f>
        <v>臺中市立崇倫國民中學</v>
      </c>
      <c r="F1762" s="14" t="str">
        <f>IFERROR(__xludf.DUMMYFUNCTION("""COMPUTED_VALUE"""),"九年級")</f>
        <v>九年級</v>
      </c>
      <c r="G1762" s="14" t="str">
        <f>IFERROR(__xludf.DUMMYFUNCTION("""COMPUTED_VALUE"""),"獎狀")</f>
        <v>獎狀</v>
      </c>
      <c r="H1762" s="8"/>
    </row>
    <row r="1763">
      <c r="A1763" s="18"/>
      <c r="B1763" s="14">
        <f>IFERROR(__xludf.DUMMYFUNCTION("""COMPUTED_VALUE"""),1203245.0)</f>
        <v>1203245</v>
      </c>
      <c r="C1763" s="14" t="str">
        <f>IFERROR(__xludf.DUMMYFUNCTION("""COMPUTED_VALUE"""),"韓靖喬")</f>
        <v>韓靖喬</v>
      </c>
      <c r="D1763" s="16" t="str">
        <f>IFERROR(__xludf.DUMMYFUNCTION("""COMPUTED_VALUE"""),"321*****t.tc.edu.tw")</f>
        <v>321*****t.tc.edu.tw</v>
      </c>
      <c r="E1763" s="17" t="str">
        <f>IFERROR(__xludf.DUMMYFUNCTION("""COMPUTED_VALUE"""),"臺中市立崇倫國民中學")</f>
        <v>臺中市立崇倫國民中學</v>
      </c>
      <c r="F1763" s="14" t="str">
        <f>IFERROR(__xludf.DUMMYFUNCTION("""COMPUTED_VALUE"""),"九年級")</f>
        <v>九年級</v>
      </c>
      <c r="G1763" s="14" t="str">
        <f>IFERROR(__xludf.DUMMYFUNCTION("""COMPUTED_VALUE"""),"獎狀")</f>
        <v>獎狀</v>
      </c>
      <c r="H1763" s="8"/>
    </row>
    <row r="1764">
      <c r="A1764" s="18"/>
      <c r="B1764" s="14">
        <f>IFERROR(__xludf.DUMMYFUNCTION("""COMPUTED_VALUE"""),643476.0)</f>
        <v>643476</v>
      </c>
      <c r="C1764" s="14" t="str">
        <f>IFERROR(__xludf.DUMMYFUNCTION("""COMPUTED_VALUE"""),"張琼文")</f>
        <v>張琼文</v>
      </c>
      <c r="D1764" s="16" t="str">
        <f>IFERROR(__xludf.DUMMYFUNCTION("""COMPUTED_VALUE"""),"321*****t.tc.edu.tw")</f>
        <v>321*****t.tc.edu.tw</v>
      </c>
      <c r="E1764" s="17" t="str">
        <f>IFERROR(__xludf.DUMMYFUNCTION("""COMPUTED_VALUE"""),"臺中市立崇倫國民中學")</f>
        <v>臺中市立崇倫國民中學</v>
      </c>
      <c r="F1764" s="14" t="str">
        <f>IFERROR(__xludf.DUMMYFUNCTION("""COMPUTED_VALUE"""),"九年級")</f>
        <v>九年級</v>
      </c>
      <c r="G1764" s="14" t="str">
        <f>IFERROR(__xludf.DUMMYFUNCTION("""COMPUTED_VALUE"""),"獎狀")</f>
        <v>獎狀</v>
      </c>
      <c r="H1764" s="8"/>
    </row>
    <row r="1765">
      <c r="A1765" s="18"/>
      <c r="B1765" s="14">
        <f>IFERROR(__xludf.DUMMYFUNCTION("""COMPUTED_VALUE"""),1136823.0)</f>
        <v>1136823</v>
      </c>
      <c r="C1765" s="14" t="str">
        <f>IFERROR(__xludf.DUMMYFUNCTION("""COMPUTED_VALUE"""),"鍾妍翊")</f>
        <v>鍾妍翊</v>
      </c>
      <c r="D1765" s="16" t="str">
        <f>IFERROR(__xludf.DUMMYFUNCTION("""COMPUTED_VALUE"""),"322*****t.tc.edu.tw")</f>
        <v>322*****t.tc.edu.tw</v>
      </c>
      <c r="E1765" s="17" t="str">
        <f>IFERROR(__xludf.DUMMYFUNCTION("""COMPUTED_VALUE"""),"臺中市立崇倫國民中學")</f>
        <v>臺中市立崇倫國民中學</v>
      </c>
      <c r="F1765" s="14" t="str">
        <f>IFERROR(__xludf.DUMMYFUNCTION("""COMPUTED_VALUE"""),"九年級")</f>
        <v>九年級</v>
      </c>
      <c r="G1765" s="14" t="str">
        <f>IFERROR(__xludf.DUMMYFUNCTION("""COMPUTED_VALUE"""),"●小禮物")</f>
        <v>●小禮物</v>
      </c>
      <c r="H1765" s="8"/>
    </row>
    <row r="1766">
      <c r="A1766" s="18"/>
      <c r="B1766" s="14">
        <f>IFERROR(__xludf.DUMMYFUNCTION("""COMPUTED_VALUE"""),816686.0)</f>
        <v>816686</v>
      </c>
      <c r="C1766" s="14" t="str">
        <f>IFERROR(__xludf.DUMMYFUNCTION("""COMPUTED_VALUE"""),"王又禾")</f>
        <v>王又禾</v>
      </c>
      <c r="D1766" s="16" t="str">
        <f>IFERROR(__xludf.DUMMYFUNCTION("""COMPUTED_VALUE"""),"322*****t.tc.edu.tw")</f>
        <v>322*****t.tc.edu.tw</v>
      </c>
      <c r="E1766" s="17" t="str">
        <f>IFERROR(__xludf.DUMMYFUNCTION("""COMPUTED_VALUE"""),"臺中市立崇倫國民中學")</f>
        <v>臺中市立崇倫國民中學</v>
      </c>
      <c r="F1766" s="14" t="str">
        <f>IFERROR(__xludf.DUMMYFUNCTION("""COMPUTED_VALUE"""),"九年級")</f>
        <v>九年級</v>
      </c>
      <c r="G1766" s="14" t="str">
        <f>IFERROR(__xludf.DUMMYFUNCTION("""COMPUTED_VALUE"""),"●小禮物")</f>
        <v>●小禮物</v>
      </c>
      <c r="H1766" s="8"/>
    </row>
    <row r="1767">
      <c r="A1767" s="18"/>
      <c r="B1767" s="14">
        <f>IFERROR(__xludf.DUMMYFUNCTION("""COMPUTED_VALUE"""),816685.0)</f>
        <v>816685</v>
      </c>
      <c r="C1767" s="14" t="str">
        <f>IFERROR(__xludf.DUMMYFUNCTION("""COMPUTED_VALUE"""),"吳瑨怡")</f>
        <v>吳瑨怡</v>
      </c>
      <c r="D1767" s="16" t="str">
        <f>IFERROR(__xludf.DUMMYFUNCTION("""COMPUTED_VALUE"""),"321*****t.tc.edu.tw")</f>
        <v>321*****t.tc.edu.tw</v>
      </c>
      <c r="E1767" s="17" t="str">
        <f>IFERROR(__xludf.DUMMYFUNCTION("""COMPUTED_VALUE"""),"臺中市立崇倫國民中學")</f>
        <v>臺中市立崇倫國民中學</v>
      </c>
      <c r="F1767" s="14" t="str">
        <f>IFERROR(__xludf.DUMMYFUNCTION("""COMPUTED_VALUE"""),"九年級")</f>
        <v>九年級</v>
      </c>
      <c r="G1767" s="14" t="str">
        <f>IFERROR(__xludf.DUMMYFUNCTION("""COMPUTED_VALUE"""),"★禮券$200")</f>
        <v>★禮券$200</v>
      </c>
      <c r="H1767" s="8"/>
    </row>
    <row r="1768">
      <c r="A1768" s="18"/>
      <c r="B1768" s="14">
        <f>IFERROR(__xludf.DUMMYFUNCTION("""COMPUTED_VALUE"""),1204233.0)</f>
        <v>1204233</v>
      </c>
      <c r="C1768" s="14" t="str">
        <f>IFERROR(__xludf.DUMMYFUNCTION("""COMPUTED_VALUE"""),"張洳銨")</f>
        <v>張洳銨</v>
      </c>
      <c r="D1768" s="16" t="str">
        <f>IFERROR(__xludf.DUMMYFUNCTION("""COMPUTED_VALUE"""),"314*****t.tc.edu.tw")</f>
        <v>314*****t.tc.edu.tw</v>
      </c>
      <c r="E1768" s="17" t="str">
        <f>IFERROR(__xludf.DUMMYFUNCTION("""COMPUTED_VALUE"""),"臺中市立崇倫國民中學")</f>
        <v>臺中市立崇倫國民中學</v>
      </c>
      <c r="F1768" s="14" t="str">
        <f>IFERROR(__xludf.DUMMYFUNCTION("""COMPUTED_VALUE"""),"九年級")</f>
        <v>九年級</v>
      </c>
      <c r="G1768" s="14" t="str">
        <f>IFERROR(__xludf.DUMMYFUNCTION("""COMPUTED_VALUE"""),"獎狀")</f>
        <v>獎狀</v>
      </c>
      <c r="H1768" s="8"/>
    </row>
    <row r="1769">
      <c r="A1769" s="18"/>
      <c r="B1769" s="14">
        <f>IFERROR(__xludf.DUMMYFUNCTION("""COMPUTED_VALUE"""),811896.0)</f>
        <v>811896</v>
      </c>
      <c r="C1769" s="14" t="str">
        <f>IFERROR(__xludf.DUMMYFUNCTION("""COMPUTED_VALUE"""),"劉承祐")</f>
        <v>劉承祐</v>
      </c>
      <c r="D1769" s="16" t="str">
        <f>IFERROR(__xludf.DUMMYFUNCTION("""COMPUTED_VALUE"""),"300*****t.tc.edu.tw")</f>
        <v>300*****t.tc.edu.tw</v>
      </c>
      <c r="E1769" s="17" t="str">
        <f>IFERROR(__xludf.DUMMYFUNCTION("""COMPUTED_VALUE"""),"臺中市立崇倫國民中學")</f>
        <v>臺中市立崇倫國民中學</v>
      </c>
      <c r="F1769" s="14" t="str">
        <f>IFERROR(__xludf.DUMMYFUNCTION("""COMPUTED_VALUE"""),"九年級")</f>
        <v>九年級</v>
      </c>
      <c r="G1769" s="14" t="str">
        <f>IFERROR(__xludf.DUMMYFUNCTION("""COMPUTED_VALUE"""),"獎狀")</f>
        <v>獎狀</v>
      </c>
      <c r="H1769" s="8"/>
    </row>
    <row r="1770">
      <c r="A1770" s="18"/>
      <c r="B1770" s="14">
        <f>IFERROR(__xludf.DUMMYFUNCTION("""COMPUTED_VALUE"""),1203244.0)</f>
        <v>1203244</v>
      </c>
      <c r="C1770" s="14" t="str">
        <f>IFERROR(__xludf.DUMMYFUNCTION("""COMPUTED_VALUE"""),"黃浩元")</f>
        <v>黃浩元</v>
      </c>
      <c r="D1770" s="16" t="str">
        <f>IFERROR(__xludf.DUMMYFUNCTION("""COMPUTED_VALUE"""),"316*****t.tc.edu.tw")</f>
        <v>316*****t.tc.edu.tw</v>
      </c>
      <c r="E1770" s="17" t="str">
        <f>IFERROR(__xludf.DUMMYFUNCTION("""COMPUTED_VALUE"""),"臺中市立崇倫國民中學")</f>
        <v>臺中市立崇倫國民中學</v>
      </c>
      <c r="F1770" s="14" t="str">
        <f>IFERROR(__xludf.DUMMYFUNCTION("""COMPUTED_VALUE"""),"九年級")</f>
        <v>九年級</v>
      </c>
      <c r="G1770" s="14" t="str">
        <f>IFERROR(__xludf.DUMMYFUNCTION("""COMPUTED_VALUE"""),"●小禮物")</f>
        <v>●小禮物</v>
      </c>
      <c r="H1770" s="8"/>
    </row>
    <row r="1771">
      <c r="A1771" s="18"/>
      <c r="B1771" s="14">
        <f>IFERROR(__xludf.DUMMYFUNCTION("""COMPUTED_VALUE"""),1203252.0)</f>
        <v>1203252</v>
      </c>
      <c r="C1771" s="14" t="str">
        <f>IFERROR(__xludf.DUMMYFUNCTION("""COMPUTED_VALUE"""),"葉庭華")</f>
        <v>葉庭華</v>
      </c>
      <c r="D1771" s="16" t="str">
        <f>IFERROR(__xludf.DUMMYFUNCTION("""COMPUTED_VALUE"""),"300*****t.tc.edu.tw")</f>
        <v>300*****t.tc.edu.tw</v>
      </c>
      <c r="E1771" s="17" t="str">
        <f>IFERROR(__xludf.DUMMYFUNCTION("""COMPUTED_VALUE"""),"臺中市立崇倫國民中學")</f>
        <v>臺中市立崇倫國民中學</v>
      </c>
      <c r="F1771" s="14" t="str">
        <f>IFERROR(__xludf.DUMMYFUNCTION("""COMPUTED_VALUE"""),"九年級")</f>
        <v>九年級</v>
      </c>
      <c r="G1771" s="14" t="str">
        <f>IFERROR(__xludf.DUMMYFUNCTION("""COMPUTED_VALUE"""),"獎狀")</f>
        <v>獎狀</v>
      </c>
      <c r="H1771" s="8"/>
    </row>
    <row r="1772">
      <c r="A1772" s="18"/>
      <c r="B1772" s="14">
        <f>IFERROR(__xludf.DUMMYFUNCTION("""COMPUTED_VALUE"""),359627.0)</f>
        <v>359627</v>
      </c>
      <c r="C1772" s="14" t="str">
        <f>IFERROR(__xludf.DUMMYFUNCTION("""COMPUTED_VALUE"""),"洪筠筑")</f>
        <v>洪筠筑</v>
      </c>
      <c r="D1772" s="16" t="str">
        <f>IFERROR(__xludf.DUMMYFUNCTION("""COMPUTED_VALUE"""),"321*****t.tc.edu.tw")</f>
        <v>321*****t.tc.edu.tw</v>
      </c>
      <c r="E1772" s="17" t="str">
        <f>IFERROR(__xludf.DUMMYFUNCTION("""COMPUTED_VALUE"""),"臺中市立崇倫國民中學")</f>
        <v>臺中市立崇倫國民中學</v>
      </c>
      <c r="F1772" s="14" t="str">
        <f>IFERROR(__xludf.DUMMYFUNCTION("""COMPUTED_VALUE"""),"九年級")</f>
        <v>九年級</v>
      </c>
      <c r="G1772" s="14" t="str">
        <f>IFERROR(__xludf.DUMMYFUNCTION("""COMPUTED_VALUE"""),"●小禮物")</f>
        <v>●小禮物</v>
      </c>
      <c r="H1772" s="8"/>
    </row>
    <row r="1773">
      <c r="A1773" s="18"/>
      <c r="B1773" s="14">
        <f>IFERROR(__xludf.DUMMYFUNCTION("""COMPUTED_VALUE"""),515538.0)</f>
        <v>515538</v>
      </c>
      <c r="C1773" s="14" t="str">
        <f>IFERROR(__xludf.DUMMYFUNCTION("""COMPUTED_VALUE"""),"王毓凱")</f>
        <v>王毓凱</v>
      </c>
      <c r="D1773" s="16" t="str">
        <f>IFERROR(__xludf.DUMMYFUNCTION("""COMPUTED_VALUE"""),"321*****t.tc.edu.tw")</f>
        <v>321*****t.tc.edu.tw</v>
      </c>
      <c r="E1773" s="17" t="str">
        <f>IFERROR(__xludf.DUMMYFUNCTION("""COMPUTED_VALUE"""),"臺中市立崇倫國民中學")</f>
        <v>臺中市立崇倫國民中學</v>
      </c>
      <c r="F1773" s="14" t="str">
        <f>IFERROR(__xludf.DUMMYFUNCTION("""COMPUTED_VALUE"""),"九年級")</f>
        <v>九年級</v>
      </c>
      <c r="G1773" s="14" t="str">
        <f>IFERROR(__xludf.DUMMYFUNCTION("""COMPUTED_VALUE"""),"獎狀")</f>
        <v>獎狀</v>
      </c>
      <c r="H1773" s="8"/>
    </row>
    <row r="1774">
      <c r="A1774" s="18"/>
      <c r="B1774" s="14">
        <f>IFERROR(__xludf.DUMMYFUNCTION("""COMPUTED_VALUE"""),391071.0)</f>
        <v>391071</v>
      </c>
      <c r="C1774" s="14" t="str">
        <f>IFERROR(__xludf.DUMMYFUNCTION("""COMPUTED_VALUE"""),"黃雯靖")</f>
        <v>黃雯靖</v>
      </c>
      <c r="D1774" s="16" t="str">
        <f>IFERROR(__xludf.DUMMYFUNCTION("""COMPUTED_VALUE"""),"321*****t.tc.edu.tw")</f>
        <v>321*****t.tc.edu.tw</v>
      </c>
      <c r="E1774" s="17" t="str">
        <f>IFERROR(__xludf.DUMMYFUNCTION("""COMPUTED_VALUE"""),"臺中市立崇倫國民中學")</f>
        <v>臺中市立崇倫國民中學</v>
      </c>
      <c r="F1774" s="14" t="str">
        <f>IFERROR(__xludf.DUMMYFUNCTION("""COMPUTED_VALUE"""),"九年級")</f>
        <v>九年級</v>
      </c>
      <c r="G1774" s="14" t="str">
        <f>IFERROR(__xludf.DUMMYFUNCTION("""COMPUTED_VALUE"""),"●小禮物")</f>
        <v>●小禮物</v>
      </c>
      <c r="H1774" s="8"/>
    </row>
    <row r="1775">
      <c r="A1775" s="18"/>
      <c r="B1775" s="14">
        <f>IFERROR(__xludf.DUMMYFUNCTION("""COMPUTED_VALUE"""),1212834.0)</f>
        <v>1212834</v>
      </c>
      <c r="C1775" s="14" t="str">
        <f>IFERROR(__xludf.DUMMYFUNCTION("""COMPUTED_VALUE"""),"王宜婷")</f>
        <v>王宜婷</v>
      </c>
      <c r="D1775" s="16" t="str">
        <f>IFERROR(__xludf.DUMMYFUNCTION("""COMPUTED_VALUE"""),"300*****t.tc.edu.tw")</f>
        <v>300*****t.tc.edu.tw</v>
      </c>
      <c r="E1775" s="17" t="str">
        <f>IFERROR(__xludf.DUMMYFUNCTION("""COMPUTED_VALUE"""),"臺中市立崇倫國民中學")</f>
        <v>臺中市立崇倫國民中學</v>
      </c>
      <c r="F1775" s="14" t="str">
        <f>IFERROR(__xludf.DUMMYFUNCTION("""COMPUTED_VALUE"""),"九年級")</f>
        <v>九年級</v>
      </c>
      <c r="G1775" s="14" t="str">
        <f>IFERROR(__xludf.DUMMYFUNCTION("""COMPUTED_VALUE"""),"●小禮物")</f>
        <v>●小禮物</v>
      </c>
      <c r="H1775" s="8"/>
    </row>
    <row r="1776">
      <c r="A1776" s="18"/>
      <c r="B1776" s="14">
        <f>IFERROR(__xludf.DUMMYFUNCTION("""COMPUTED_VALUE"""),1212840.0)</f>
        <v>1212840</v>
      </c>
      <c r="C1776" s="14" t="str">
        <f>IFERROR(__xludf.DUMMYFUNCTION("""COMPUTED_VALUE"""),"許昱緯")</f>
        <v>許昱緯</v>
      </c>
      <c r="D1776" s="16" t="str">
        <f>IFERROR(__xludf.DUMMYFUNCTION("""COMPUTED_VALUE"""),"300*****t.tc.edu.tw")</f>
        <v>300*****t.tc.edu.tw</v>
      </c>
      <c r="E1776" s="17" t="str">
        <f>IFERROR(__xludf.DUMMYFUNCTION("""COMPUTED_VALUE"""),"臺中市立崇倫國民中學")</f>
        <v>臺中市立崇倫國民中學</v>
      </c>
      <c r="F1776" s="14" t="str">
        <f>IFERROR(__xludf.DUMMYFUNCTION("""COMPUTED_VALUE"""),"九年級")</f>
        <v>九年級</v>
      </c>
      <c r="G1776" s="14" t="str">
        <f>IFERROR(__xludf.DUMMYFUNCTION("""COMPUTED_VALUE"""),"●小禮物")</f>
        <v>●小禮物</v>
      </c>
      <c r="H1776" s="8"/>
    </row>
    <row r="1777">
      <c r="A1777" s="18"/>
      <c r="B1777" s="14">
        <f>IFERROR(__xludf.DUMMYFUNCTION("""COMPUTED_VALUE"""),1212828.0)</f>
        <v>1212828</v>
      </c>
      <c r="C1777" s="14" t="str">
        <f>IFERROR(__xludf.DUMMYFUNCTION("""COMPUTED_VALUE"""),"黃芊菲")</f>
        <v>黃芊菲</v>
      </c>
      <c r="D1777" s="16" t="str">
        <f>IFERROR(__xludf.DUMMYFUNCTION("""COMPUTED_VALUE"""),"322*****t.tc.edu.tw")</f>
        <v>322*****t.tc.edu.tw</v>
      </c>
      <c r="E1777" s="17" t="str">
        <f>IFERROR(__xludf.DUMMYFUNCTION("""COMPUTED_VALUE"""),"臺中市立崇倫國民中學")</f>
        <v>臺中市立崇倫國民中學</v>
      </c>
      <c r="F1777" s="14" t="str">
        <f>IFERROR(__xludf.DUMMYFUNCTION("""COMPUTED_VALUE"""),"九年級")</f>
        <v>九年級</v>
      </c>
      <c r="G1777" s="14" t="str">
        <f>IFERROR(__xludf.DUMMYFUNCTION("""COMPUTED_VALUE"""),"●小禮物")</f>
        <v>●小禮物</v>
      </c>
      <c r="H1777" s="8"/>
    </row>
    <row r="1778">
      <c r="A1778" s="18"/>
      <c r="B1778" s="14">
        <f>IFERROR(__xludf.DUMMYFUNCTION("""COMPUTED_VALUE"""),1212835.0)</f>
        <v>1212835</v>
      </c>
      <c r="C1778" s="14" t="str">
        <f>IFERROR(__xludf.DUMMYFUNCTION("""COMPUTED_VALUE"""),"吳昕儒")</f>
        <v>吳昕儒</v>
      </c>
      <c r="D1778" s="16" t="str">
        <f>IFERROR(__xludf.DUMMYFUNCTION("""COMPUTED_VALUE"""),"321*****t.tc.edu.tw")</f>
        <v>321*****t.tc.edu.tw</v>
      </c>
      <c r="E1778" s="17" t="str">
        <f>IFERROR(__xludf.DUMMYFUNCTION("""COMPUTED_VALUE"""),"臺中市立崇倫國民中學")</f>
        <v>臺中市立崇倫國民中學</v>
      </c>
      <c r="F1778" s="14" t="str">
        <f>IFERROR(__xludf.DUMMYFUNCTION("""COMPUTED_VALUE"""),"九年級")</f>
        <v>九年級</v>
      </c>
      <c r="G1778" s="14" t="str">
        <f>IFERROR(__xludf.DUMMYFUNCTION("""COMPUTED_VALUE"""),"獎狀")</f>
        <v>獎狀</v>
      </c>
      <c r="H1778" s="8"/>
    </row>
    <row r="1779">
      <c r="A1779" s="18"/>
      <c r="B1779" s="14">
        <f>IFERROR(__xludf.DUMMYFUNCTION("""COMPUTED_VALUE"""),1211023.0)</f>
        <v>1211023</v>
      </c>
      <c r="C1779" s="14" t="str">
        <f>IFERROR(__xludf.DUMMYFUNCTION("""COMPUTED_VALUE"""),"王印寬")</f>
        <v>王印寬</v>
      </c>
      <c r="D1779" s="16" t="str">
        <f>IFERROR(__xludf.DUMMYFUNCTION("""COMPUTED_VALUE"""),"300*****t.tc.edu.tw")</f>
        <v>300*****t.tc.edu.tw</v>
      </c>
      <c r="E1779" s="17" t="str">
        <f>IFERROR(__xludf.DUMMYFUNCTION("""COMPUTED_VALUE"""),"臺中市立崇倫國民中學")</f>
        <v>臺中市立崇倫國民中學</v>
      </c>
      <c r="F1779" s="14" t="str">
        <f>IFERROR(__xludf.DUMMYFUNCTION("""COMPUTED_VALUE"""),"九年級")</f>
        <v>九年級</v>
      </c>
      <c r="G1779" s="14" t="str">
        <f>IFERROR(__xludf.DUMMYFUNCTION("""COMPUTED_VALUE"""),"●小禮物")</f>
        <v>●小禮物</v>
      </c>
      <c r="H1779" s="8"/>
    </row>
    <row r="1780">
      <c r="A1780" s="18"/>
      <c r="B1780" s="14">
        <f>IFERROR(__xludf.DUMMYFUNCTION("""COMPUTED_VALUE"""),1211014.0)</f>
        <v>1211014</v>
      </c>
      <c r="C1780" s="14" t="str">
        <f>IFERROR(__xludf.DUMMYFUNCTION("""COMPUTED_VALUE"""),"沈祐辰")</f>
        <v>沈祐辰</v>
      </c>
      <c r="D1780" s="16" t="str">
        <f>IFERROR(__xludf.DUMMYFUNCTION("""COMPUTED_VALUE"""),"321*****t.tc.edu.tw")</f>
        <v>321*****t.tc.edu.tw</v>
      </c>
      <c r="E1780" s="17" t="str">
        <f>IFERROR(__xludf.DUMMYFUNCTION("""COMPUTED_VALUE"""),"臺中市立崇倫國民中學")</f>
        <v>臺中市立崇倫國民中學</v>
      </c>
      <c r="F1780" s="14" t="str">
        <f>IFERROR(__xludf.DUMMYFUNCTION("""COMPUTED_VALUE"""),"九年級")</f>
        <v>九年級</v>
      </c>
      <c r="G1780" s="14" t="str">
        <f>IFERROR(__xludf.DUMMYFUNCTION("""COMPUTED_VALUE"""),"●小禮物")</f>
        <v>●小禮物</v>
      </c>
      <c r="H1780" s="8"/>
    </row>
    <row r="1781">
      <c r="A1781" s="18"/>
      <c r="B1781" s="14">
        <f>IFERROR(__xludf.DUMMYFUNCTION("""COMPUTED_VALUE"""),1211024.0)</f>
        <v>1211024</v>
      </c>
      <c r="C1781" s="14" t="str">
        <f>IFERROR(__xludf.DUMMYFUNCTION("""COMPUTED_VALUE"""),"洪語婕")</f>
        <v>洪語婕</v>
      </c>
      <c r="D1781" s="16" t="str">
        <f>IFERROR(__xludf.DUMMYFUNCTION("""COMPUTED_VALUE"""),"324*****t.tc.edu.tw")</f>
        <v>324*****t.tc.edu.tw</v>
      </c>
      <c r="E1781" s="17" t="str">
        <f>IFERROR(__xludf.DUMMYFUNCTION("""COMPUTED_VALUE"""),"臺中市立崇倫國民中學")</f>
        <v>臺中市立崇倫國民中學</v>
      </c>
      <c r="F1781" s="14" t="str">
        <f>IFERROR(__xludf.DUMMYFUNCTION("""COMPUTED_VALUE"""),"九年級")</f>
        <v>九年級</v>
      </c>
      <c r="G1781" s="14" t="str">
        <f>IFERROR(__xludf.DUMMYFUNCTION("""COMPUTED_VALUE"""),"●小禮物")</f>
        <v>●小禮物</v>
      </c>
      <c r="H1781" s="8"/>
    </row>
    <row r="1782">
      <c r="A1782" s="18"/>
      <c r="B1782" s="14">
        <f>IFERROR(__xludf.DUMMYFUNCTION("""COMPUTED_VALUE"""),1211012.0)</f>
        <v>1211012</v>
      </c>
      <c r="C1782" s="14" t="str">
        <f>IFERROR(__xludf.DUMMYFUNCTION("""COMPUTED_VALUE"""),"曹崴傑")</f>
        <v>曹崴傑</v>
      </c>
      <c r="D1782" s="16" t="str">
        <f>IFERROR(__xludf.DUMMYFUNCTION("""COMPUTED_VALUE"""),"322*****t.tc.edu.tw")</f>
        <v>322*****t.tc.edu.tw</v>
      </c>
      <c r="E1782" s="17" t="str">
        <f>IFERROR(__xludf.DUMMYFUNCTION("""COMPUTED_VALUE"""),"臺中市立崇倫國民中學")</f>
        <v>臺中市立崇倫國民中學</v>
      </c>
      <c r="F1782" s="14" t="str">
        <f>IFERROR(__xludf.DUMMYFUNCTION("""COMPUTED_VALUE"""),"九年級")</f>
        <v>九年級</v>
      </c>
      <c r="G1782" s="14" t="str">
        <f>IFERROR(__xludf.DUMMYFUNCTION("""COMPUTED_VALUE"""),"●小禮物")</f>
        <v>●小禮物</v>
      </c>
      <c r="H1782" s="8"/>
    </row>
    <row r="1783">
      <c r="A1783" s="18"/>
      <c r="B1783" s="14">
        <f>IFERROR(__xludf.DUMMYFUNCTION("""COMPUTED_VALUE"""),1211027.0)</f>
        <v>1211027</v>
      </c>
      <c r="C1783" s="14" t="str">
        <f>IFERROR(__xludf.DUMMYFUNCTION("""COMPUTED_VALUE"""),"陳韋評")</f>
        <v>陳韋評</v>
      </c>
      <c r="D1783" s="16" t="str">
        <f>IFERROR(__xludf.DUMMYFUNCTION("""COMPUTED_VALUE"""),"321*****t.tc.edu.tw")</f>
        <v>321*****t.tc.edu.tw</v>
      </c>
      <c r="E1783" s="17" t="str">
        <f>IFERROR(__xludf.DUMMYFUNCTION("""COMPUTED_VALUE"""),"臺中市立崇倫國民中學")</f>
        <v>臺中市立崇倫國民中學</v>
      </c>
      <c r="F1783" s="14" t="str">
        <f>IFERROR(__xludf.DUMMYFUNCTION("""COMPUTED_VALUE"""),"九年級")</f>
        <v>九年級</v>
      </c>
      <c r="G1783" s="14" t="str">
        <f>IFERROR(__xludf.DUMMYFUNCTION("""COMPUTED_VALUE"""),"●小禮物")</f>
        <v>●小禮物</v>
      </c>
      <c r="H1783" s="8"/>
    </row>
    <row r="1784">
      <c r="A1784" s="18"/>
      <c r="B1784" s="14">
        <f>IFERROR(__xludf.DUMMYFUNCTION("""COMPUTED_VALUE"""),1211008.0)</f>
        <v>1211008</v>
      </c>
      <c r="C1784" s="14" t="str">
        <f>IFERROR(__xludf.DUMMYFUNCTION("""COMPUTED_VALUE"""),"洪右宸")</f>
        <v>洪右宸</v>
      </c>
      <c r="D1784" s="16" t="str">
        <f>IFERROR(__xludf.DUMMYFUNCTION("""COMPUTED_VALUE"""),"315*****t.tc.edu.tw")</f>
        <v>315*****t.tc.edu.tw</v>
      </c>
      <c r="E1784" s="17" t="str">
        <f>IFERROR(__xludf.DUMMYFUNCTION("""COMPUTED_VALUE"""),"臺中市立崇倫國民中學")</f>
        <v>臺中市立崇倫國民中學</v>
      </c>
      <c r="F1784" s="14" t="str">
        <f>IFERROR(__xludf.DUMMYFUNCTION("""COMPUTED_VALUE"""),"九年級")</f>
        <v>九年級</v>
      </c>
      <c r="G1784" s="14" t="str">
        <f>IFERROR(__xludf.DUMMYFUNCTION("""COMPUTED_VALUE"""),"獎狀")</f>
        <v>獎狀</v>
      </c>
      <c r="H1784" s="8"/>
    </row>
    <row r="1785">
      <c r="A1785" s="18"/>
      <c r="B1785" s="14">
        <f>IFERROR(__xludf.DUMMYFUNCTION("""COMPUTED_VALUE"""),1211010.0)</f>
        <v>1211010</v>
      </c>
      <c r="C1785" s="14" t="str">
        <f>IFERROR(__xludf.DUMMYFUNCTION("""COMPUTED_VALUE"""),"楊宥卿")</f>
        <v>楊宥卿</v>
      </c>
      <c r="D1785" s="16" t="str">
        <f>IFERROR(__xludf.DUMMYFUNCTION("""COMPUTED_VALUE"""),"322*****t.tc.edu.tw")</f>
        <v>322*****t.tc.edu.tw</v>
      </c>
      <c r="E1785" s="17" t="str">
        <f>IFERROR(__xludf.DUMMYFUNCTION("""COMPUTED_VALUE"""),"臺中市立崇倫國民中學")</f>
        <v>臺中市立崇倫國民中學</v>
      </c>
      <c r="F1785" s="14" t="str">
        <f>IFERROR(__xludf.DUMMYFUNCTION("""COMPUTED_VALUE"""),"九年級")</f>
        <v>九年級</v>
      </c>
      <c r="G1785" s="14" t="str">
        <f>IFERROR(__xludf.DUMMYFUNCTION("""COMPUTED_VALUE"""),"獎狀")</f>
        <v>獎狀</v>
      </c>
      <c r="H1785" s="8"/>
    </row>
    <row r="1786">
      <c r="A1786" s="18"/>
      <c r="B1786" s="14">
        <f>IFERROR(__xludf.DUMMYFUNCTION("""COMPUTED_VALUE"""),1211009.0)</f>
        <v>1211009</v>
      </c>
      <c r="C1786" s="14" t="str">
        <f>IFERROR(__xludf.DUMMYFUNCTION("""COMPUTED_VALUE"""),"董宥孜")</f>
        <v>董宥孜</v>
      </c>
      <c r="D1786" s="16" t="str">
        <f>IFERROR(__xludf.DUMMYFUNCTION("""COMPUTED_VALUE"""),"300*****t.tc.edu.tw")</f>
        <v>300*****t.tc.edu.tw</v>
      </c>
      <c r="E1786" s="17" t="str">
        <f>IFERROR(__xludf.DUMMYFUNCTION("""COMPUTED_VALUE"""),"臺中市立崇倫國民中學")</f>
        <v>臺中市立崇倫國民中學</v>
      </c>
      <c r="F1786" s="14" t="str">
        <f>IFERROR(__xludf.DUMMYFUNCTION("""COMPUTED_VALUE"""),"九年級")</f>
        <v>九年級</v>
      </c>
      <c r="G1786" s="14" t="str">
        <f>IFERROR(__xludf.DUMMYFUNCTION("""COMPUTED_VALUE"""),"獎狀")</f>
        <v>獎狀</v>
      </c>
      <c r="H1786" s="8"/>
    </row>
    <row r="1787">
      <c r="A1787" s="18"/>
      <c r="B1787" s="14">
        <f>IFERROR(__xludf.DUMMYFUNCTION("""COMPUTED_VALUE"""),758783.0)</f>
        <v>758783</v>
      </c>
      <c r="C1787" s="14" t="str">
        <f>IFERROR(__xludf.DUMMYFUNCTION("""COMPUTED_VALUE"""),"劉冠妘")</f>
        <v>劉冠妘</v>
      </c>
      <c r="D1787" s="16" t="str">
        <f>IFERROR(__xludf.DUMMYFUNCTION("""COMPUTED_VALUE"""),"nin*****@mail.edu.tw")</f>
        <v>nin*****@mail.edu.tw</v>
      </c>
      <c r="E1787" s="17" t="str">
        <f>IFERROR(__xludf.DUMMYFUNCTION("""COMPUTED_VALUE"""),"臺中市立居仁國民中學")</f>
        <v>臺中市立居仁國民中學</v>
      </c>
      <c r="F1787" s="14" t="str">
        <f>IFERROR(__xludf.DUMMYFUNCTION("""COMPUTED_VALUE"""),"八年級")</f>
        <v>八年級</v>
      </c>
      <c r="G1787" s="14" t="str">
        <f>IFERROR(__xludf.DUMMYFUNCTION("""COMPUTED_VALUE"""),"獎狀")</f>
        <v>獎狀</v>
      </c>
      <c r="H1787" s="8"/>
    </row>
    <row r="1788">
      <c r="A1788" s="18"/>
      <c r="B1788" s="14">
        <f>IFERROR(__xludf.DUMMYFUNCTION("""COMPUTED_VALUE"""),1051260.0)</f>
        <v>1051260</v>
      </c>
      <c r="C1788" s="14" t="str">
        <f>IFERROR(__xludf.DUMMYFUNCTION("""COMPUTED_VALUE"""),"馬聖如")</f>
        <v>馬聖如</v>
      </c>
      <c r="D1788" s="16" t="str">
        <f>IFERROR(__xludf.DUMMYFUNCTION("""COMPUTED_VALUE"""),"419*****t.tc.edu.tw")</f>
        <v>419*****t.tc.edu.tw</v>
      </c>
      <c r="E1788" s="17" t="str">
        <f>IFERROR(__xludf.DUMMYFUNCTION("""COMPUTED_VALUE"""),"臺中市立雙十國民中學")</f>
        <v>臺中市立雙十國民中學</v>
      </c>
      <c r="F1788" s="14" t="str">
        <f>IFERROR(__xludf.DUMMYFUNCTION("""COMPUTED_VALUE"""),"八年級")</f>
        <v>八年級</v>
      </c>
      <c r="G1788" s="14" t="str">
        <f>IFERROR(__xludf.DUMMYFUNCTION("""COMPUTED_VALUE"""),"獎狀")</f>
        <v>獎狀</v>
      </c>
      <c r="H1788" s="8"/>
    </row>
    <row r="1789">
      <c r="A1789" s="18"/>
      <c r="B1789" s="14">
        <f>IFERROR(__xludf.DUMMYFUNCTION("""COMPUTED_VALUE"""),119813.0)</f>
        <v>119813</v>
      </c>
      <c r="C1789" s="14" t="str">
        <f>IFERROR(__xludf.DUMMYFUNCTION("""COMPUTED_VALUE"""),"蘇育寬")</f>
        <v>蘇育寬</v>
      </c>
      <c r="D1789" s="16" t="str">
        <f>IFERROR(__xludf.DUMMYFUNCTION("""COMPUTED_VALUE"""),"a09*****161@gmail.com")</f>
        <v>a09*****161@gmail.com</v>
      </c>
      <c r="E1789" s="17" t="str">
        <f>IFERROR(__xludf.DUMMYFUNCTION("""COMPUTED_VALUE"""),"臺中市立五權國民中學")</f>
        <v>臺中市立五權國民中學</v>
      </c>
      <c r="F1789" s="14" t="str">
        <f>IFERROR(__xludf.DUMMYFUNCTION("""COMPUTED_VALUE"""),"八年級")</f>
        <v>八年級</v>
      </c>
      <c r="G1789" s="14" t="str">
        <f>IFERROR(__xludf.DUMMYFUNCTION("""COMPUTED_VALUE"""),"●小禮物")</f>
        <v>●小禮物</v>
      </c>
      <c r="H1789" s="8"/>
    </row>
    <row r="1790">
      <c r="A1790" s="18"/>
      <c r="B1790" s="14">
        <f>IFERROR(__xludf.DUMMYFUNCTION("""COMPUTED_VALUE"""),540279.0)</f>
        <v>540279</v>
      </c>
      <c r="C1790" s="14" t="str">
        <f>IFERROR(__xludf.DUMMYFUNCTION("""COMPUTED_VALUE"""),"陳品瑄")</f>
        <v>陳品瑄</v>
      </c>
      <c r="D1790" s="16" t="str">
        <f>IFERROR(__xludf.DUMMYFUNCTION("""COMPUTED_VALUE"""),"tc.*****0919@mail.edu.tw")</f>
        <v>tc.*****0919@mail.edu.tw</v>
      </c>
      <c r="E1790" s="17" t="str">
        <f>IFERROR(__xludf.DUMMYFUNCTION("""COMPUTED_VALUE"""),"臺中市私立新民高級中學附設國中部")</f>
        <v>臺中市私立新民高級中學附設國中部</v>
      </c>
      <c r="F1790" s="14" t="str">
        <f>IFERROR(__xludf.DUMMYFUNCTION("""COMPUTED_VALUE"""),"七年級")</f>
        <v>七年級</v>
      </c>
      <c r="G1790" s="14" t="str">
        <f>IFERROR(__xludf.DUMMYFUNCTION("""COMPUTED_VALUE"""),"獎狀")</f>
        <v>獎狀</v>
      </c>
      <c r="H1790" s="8"/>
    </row>
    <row r="1791">
      <c r="A1791" s="18"/>
      <c r="B1791" s="14">
        <f>IFERROR(__xludf.DUMMYFUNCTION("""COMPUTED_VALUE"""),927423.0)</f>
        <v>927423</v>
      </c>
      <c r="C1791" s="14" t="str">
        <f>IFERROR(__xludf.DUMMYFUNCTION("""COMPUTED_VALUE"""),"張弋安")</f>
        <v>張弋安</v>
      </c>
      <c r="D1791" s="16" t="str">
        <f>IFERROR(__xludf.DUMMYFUNCTION("""COMPUTED_VALUE"""),"110*****stu.shinmin.tc.edu.tw")</f>
        <v>110*****stu.shinmin.tc.edu.tw</v>
      </c>
      <c r="E1791" s="17" t="str">
        <f>IFERROR(__xludf.DUMMYFUNCTION("""COMPUTED_VALUE"""),"臺中市私立新民高級中學附設國中部")</f>
        <v>臺中市私立新民高級中學附設國中部</v>
      </c>
      <c r="F1791" s="14" t="str">
        <f>IFERROR(__xludf.DUMMYFUNCTION("""COMPUTED_VALUE"""),"八年級")</f>
        <v>八年級</v>
      </c>
      <c r="G1791" s="14" t="str">
        <f>IFERROR(__xludf.DUMMYFUNCTION("""COMPUTED_VALUE"""),"獎狀")</f>
        <v>獎狀</v>
      </c>
      <c r="H1791" s="8"/>
    </row>
    <row r="1792">
      <c r="A1792" s="18"/>
      <c r="B1792" s="14">
        <f>IFERROR(__xludf.DUMMYFUNCTION("""COMPUTED_VALUE"""),951359.0)</f>
        <v>951359</v>
      </c>
      <c r="C1792" s="14" t="str">
        <f>IFERROR(__xludf.DUMMYFUNCTION("""COMPUTED_VALUE"""),"謝庭溱")</f>
        <v>謝庭溱</v>
      </c>
      <c r="D1792" s="16" t="str">
        <f>IFERROR(__xludf.DUMMYFUNCTION("""COMPUTED_VALUE"""),"110*****stu.shinmin.tc.edu.tw")</f>
        <v>110*****stu.shinmin.tc.edu.tw</v>
      </c>
      <c r="E1792" s="17" t="str">
        <f>IFERROR(__xludf.DUMMYFUNCTION("""COMPUTED_VALUE"""),"臺中市私立新民高級中學附設國中部")</f>
        <v>臺中市私立新民高級中學附設國中部</v>
      </c>
      <c r="F1792" s="14" t="str">
        <f>IFERROR(__xludf.DUMMYFUNCTION("""COMPUTED_VALUE"""),"八年級")</f>
        <v>八年級</v>
      </c>
      <c r="G1792" s="14" t="str">
        <f>IFERROR(__xludf.DUMMYFUNCTION("""COMPUTED_VALUE"""),"●小禮物")</f>
        <v>●小禮物</v>
      </c>
      <c r="H1792" s="8"/>
    </row>
    <row r="1793">
      <c r="A1793" s="18"/>
      <c r="B1793" s="14">
        <f>IFERROR(__xludf.DUMMYFUNCTION("""COMPUTED_VALUE"""),1208872.0)</f>
        <v>1208872</v>
      </c>
      <c r="C1793" s="14" t="str">
        <f>IFERROR(__xludf.DUMMYFUNCTION("""COMPUTED_VALUE"""),"賴承岳")</f>
        <v>賴承岳</v>
      </c>
      <c r="D1793" s="16" t="str">
        <f>IFERROR(__xludf.DUMMYFUNCTION("""COMPUTED_VALUE"""),"111*****vtsh.tc.edu.tw")</f>
        <v>111*****vtsh.tc.edu.tw</v>
      </c>
      <c r="E1793" s="17" t="str">
        <f>IFERROR(__xludf.DUMMYFUNCTION("""COMPUTED_VALUE"""),"臺中市私立衛道高級中學附設國中部")</f>
        <v>臺中市私立衛道高級中學附設國中部</v>
      </c>
      <c r="F1793" s="14" t="str">
        <f>IFERROR(__xludf.DUMMYFUNCTION("""COMPUTED_VALUE"""),"七年級")</f>
        <v>七年級</v>
      </c>
      <c r="G1793" s="14" t="str">
        <f>IFERROR(__xludf.DUMMYFUNCTION("""COMPUTED_VALUE"""),"★禮券$200")</f>
        <v>★禮券$200</v>
      </c>
      <c r="H1793" s="8"/>
    </row>
    <row r="1794">
      <c r="A1794" s="18"/>
      <c r="B1794" s="14">
        <f>IFERROR(__xludf.DUMMYFUNCTION("""COMPUTED_VALUE"""),248616.0)</f>
        <v>248616</v>
      </c>
      <c r="C1794" s="14" t="str">
        <f>IFERROR(__xludf.DUMMYFUNCTION("""COMPUTED_VALUE"""),"郭湘琦")</f>
        <v>郭湘琦</v>
      </c>
      <c r="D1794" s="16" t="str">
        <f>IFERROR(__xludf.DUMMYFUNCTION("""COMPUTED_VALUE"""),"hsu*****u@msa.hinet.net")</f>
        <v>hsu*****u@msa.hinet.net</v>
      </c>
      <c r="E1794" s="17" t="str">
        <f>IFERROR(__xludf.DUMMYFUNCTION("""COMPUTED_VALUE"""),"臺中市私立衛道高級中學附設國中部")</f>
        <v>臺中市私立衛道高級中學附設國中部</v>
      </c>
      <c r="F1794" s="14" t="str">
        <f>IFERROR(__xludf.DUMMYFUNCTION("""COMPUTED_VALUE"""),"七年級")</f>
        <v>七年級</v>
      </c>
      <c r="G1794" s="14" t="str">
        <f>IFERROR(__xludf.DUMMYFUNCTION("""COMPUTED_VALUE"""),"●小禮物")</f>
        <v>●小禮物</v>
      </c>
      <c r="H1794" s="8"/>
    </row>
    <row r="1795">
      <c r="A1795" s="18"/>
      <c r="B1795" s="14">
        <f>IFERROR(__xludf.DUMMYFUNCTION("""COMPUTED_VALUE"""),247542.0)</f>
        <v>247542</v>
      </c>
      <c r="C1795" s="14" t="str">
        <f>IFERROR(__xludf.DUMMYFUNCTION("""COMPUTED_VALUE"""),"鄧士宏")</f>
        <v>鄧士宏</v>
      </c>
      <c r="D1795" s="16" t="str">
        <f>IFERROR(__xludf.DUMMYFUNCTION("""COMPUTED_VALUE"""),"tru*****8092250@mail.edu.tw")</f>
        <v>tru*****8092250@mail.edu.tw</v>
      </c>
      <c r="E1795" s="17" t="str">
        <f>IFERROR(__xludf.DUMMYFUNCTION("""COMPUTED_VALUE"""),"臺中市私立衛道高級中學附設國中部")</f>
        <v>臺中市私立衛道高級中學附設國中部</v>
      </c>
      <c r="F1795" s="14" t="str">
        <f>IFERROR(__xludf.DUMMYFUNCTION("""COMPUTED_VALUE"""),"七年級")</f>
        <v>七年級</v>
      </c>
      <c r="G1795" s="14" t="str">
        <f>IFERROR(__xludf.DUMMYFUNCTION("""COMPUTED_VALUE"""),"●小禮物")</f>
        <v>●小禮物</v>
      </c>
      <c r="H1795" s="8"/>
    </row>
    <row r="1796">
      <c r="A1796" s="18"/>
      <c r="B1796" s="14">
        <f>IFERROR(__xludf.DUMMYFUNCTION("""COMPUTED_VALUE"""),247837.0)</f>
        <v>247837</v>
      </c>
      <c r="C1796" s="14" t="str">
        <f>IFERROR(__xludf.DUMMYFUNCTION("""COMPUTED_VALUE"""),"邱彥禎")</f>
        <v>邱彥禎</v>
      </c>
      <c r="D1796" s="16" t="str">
        <f>IFERROR(__xludf.DUMMYFUNCTION("""COMPUTED_VALUE"""),"que*****e7@gmail.com")</f>
        <v>que*****e7@gmail.com</v>
      </c>
      <c r="E1796" s="17" t="str">
        <f>IFERROR(__xludf.DUMMYFUNCTION("""COMPUTED_VALUE"""),"臺中市私立衛道高級中學附設國中部")</f>
        <v>臺中市私立衛道高級中學附設國中部</v>
      </c>
      <c r="F1796" s="14" t="str">
        <f>IFERROR(__xludf.DUMMYFUNCTION("""COMPUTED_VALUE"""),"八年級")</f>
        <v>八年級</v>
      </c>
      <c r="G1796" s="14" t="str">
        <f>IFERROR(__xludf.DUMMYFUNCTION("""COMPUTED_VALUE"""),"●小禮物")</f>
        <v>●小禮物</v>
      </c>
      <c r="H1796" s="8"/>
    </row>
    <row r="1797">
      <c r="A1797" s="18"/>
      <c r="B1797" s="14">
        <f>IFERROR(__xludf.DUMMYFUNCTION("""COMPUTED_VALUE"""),456673.0)</f>
        <v>456673</v>
      </c>
      <c r="C1797" s="14" t="str">
        <f>IFERROR(__xludf.DUMMYFUNCTION("""COMPUTED_VALUE"""),"楊子諒")</f>
        <v>楊子諒</v>
      </c>
      <c r="D1797" s="16" t="str">
        <f>IFERROR(__xludf.DUMMYFUNCTION("""COMPUTED_VALUE"""),"109*****vtsh.tc.edu.tw")</f>
        <v>109*****vtsh.tc.edu.tw</v>
      </c>
      <c r="E1797" s="17" t="str">
        <f>IFERROR(__xludf.DUMMYFUNCTION("""COMPUTED_VALUE"""),"臺中市私立衛道高級中學附設國中部")</f>
        <v>臺中市私立衛道高級中學附設國中部</v>
      </c>
      <c r="F1797" s="14" t="str">
        <f>IFERROR(__xludf.DUMMYFUNCTION("""COMPUTED_VALUE"""),"九年級")</f>
        <v>九年級</v>
      </c>
      <c r="G1797" s="14" t="str">
        <f>IFERROR(__xludf.DUMMYFUNCTION("""COMPUTED_VALUE"""),"●小禮物")</f>
        <v>●小禮物</v>
      </c>
      <c r="H1797" s="8"/>
    </row>
    <row r="1798">
      <c r="A1798" s="18"/>
      <c r="B1798" s="14">
        <f>IFERROR(__xludf.DUMMYFUNCTION("""COMPUTED_VALUE"""),813473.0)</f>
        <v>813473</v>
      </c>
      <c r="C1798" s="14" t="str">
        <f>IFERROR(__xludf.DUMMYFUNCTION("""COMPUTED_VALUE"""),"黃浚庭")</f>
        <v>黃浚庭</v>
      </c>
      <c r="D1798" s="16" t="str">
        <f>IFERROR(__xludf.DUMMYFUNCTION("""COMPUTED_VALUE"""),"415*****t.tc.edu.tw")</f>
        <v>415*****t.tc.edu.tw</v>
      </c>
      <c r="E1798" s="17" t="str">
        <f>IFERROR(__xludf.DUMMYFUNCTION("""COMPUTED_VALUE"""),"臺中市立北新國民中學")</f>
        <v>臺中市立北新國民中學</v>
      </c>
      <c r="F1798" s="14" t="str">
        <f>IFERROR(__xludf.DUMMYFUNCTION("""COMPUTED_VALUE"""),"八年級")</f>
        <v>八年級</v>
      </c>
      <c r="G1798" s="14" t="str">
        <f>IFERROR(__xludf.DUMMYFUNCTION("""COMPUTED_VALUE"""),"獎狀")</f>
        <v>獎狀</v>
      </c>
      <c r="H1798" s="8"/>
    </row>
    <row r="1799">
      <c r="A1799" s="18"/>
      <c r="B1799" s="14">
        <f>IFERROR(__xludf.DUMMYFUNCTION("""COMPUTED_VALUE"""),581805.0)</f>
        <v>581805</v>
      </c>
      <c r="C1799" s="14" t="str">
        <f>IFERROR(__xludf.DUMMYFUNCTION("""COMPUTED_VALUE"""),"張翰宇")</f>
        <v>張翰宇</v>
      </c>
      <c r="D1799" s="16" t="str">
        <f>IFERROR(__xludf.DUMMYFUNCTION("""COMPUTED_VALUE"""),"cdy*****19@gmail.com")</f>
        <v>cdy*****19@gmail.com</v>
      </c>
      <c r="E1799" s="17" t="str">
        <f>IFERROR(__xludf.DUMMYFUNCTION("""COMPUTED_VALUE"""),"臺中市立北新國民中學")</f>
        <v>臺中市立北新國民中學</v>
      </c>
      <c r="F1799" s="14" t="str">
        <f>IFERROR(__xludf.DUMMYFUNCTION("""COMPUTED_VALUE"""),"八年級")</f>
        <v>八年級</v>
      </c>
      <c r="G1799" s="14" t="str">
        <f>IFERROR(__xludf.DUMMYFUNCTION("""COMPUTED_VALUE"""),"●小禮物")</f>
        <v>●小禮物</v>
      </c>
      <c r="H1799" s="8"/>
    </row>
    <row r="1800">
      <c r="A1800" s="18"/>
      <c r="B1800" s="14">
        <f>IFERROR(__xludf.DUMMYFUNCTION("""COMPUTED_VALUE"""),1110764.0)</f>
        <v>1110764</v>
      </c>
      <c r="C1800" s="14" t="str">
        <f>IFERROR(__xludf.DUMMYFUNCTION("""COMPUTED_VALUE"""),"高冠恆")</f>
        <v>高冠恆</v>
      </c>
      <c r="D1800" s="16" t="str">
        <f>IFERROR(__xludf.DUMMYFUNCTION("""COMPUTED_VALUE"""),"520*****t.tc.edu.tw")</f>
        <v>520*****t.tc.edu.tw</v>
      </c>
      <c r="E1800" s="17" t="str">
        <f>IFERROR(__xludf.DUMMYFUNCTION("""COMPUTED_VALUE"""),"臺中市立崇德國民中學")</f>
        <v>臺中市立崇德國民中學</v>
      </c>
      <c r="F1800" s="14" t="str">
        <f>IFERROR(__xludf.DUMMYFUNCTION("""COMPUTED_VALUE"""),"七年級")</f>
        <v>七年級</v>
      </c>
      <c r="G1800" s="14" t="str">
        <f>IFERROR(__xludf.DUMMYFUNCTION("""COMPUTED_VALUE"""),"●小禮物")</f>
        <v>●小禮物</v>
      </c>
      <c r="H1800" s="8"/>
    </row>
    <row r="1801">
      <c r="A1801" s="18"/>
      <c r="B1801" s="14">
        <f>IFERROR(__xludf.DUMMYFUNCTION("""COMPUTED_VALUE"""),1203748.0)</f>
        <v>1203748</v>
      </c>
      <c r="C1801" s="14" t="str">
        <f>IFERROR(__xludf.DUMMYFUNCTION("""COMPUTED_VALUE"""),"陳寧恩")</f>
        <v>陳寧恩</v>
      </c>
      <c r="D1801" s="16" t="str">
        <f>IFERROR(__xludf.DUMMYFUNCTION("""COMPUTED_VALUE"""),"517*****t.tc.edu.tw")</f>
        <v>517*****t.tc.edu.tw</v>
      </c>
      <c r="E1801" s="17" t="str">
        <f>IFERROR(__xludf.DUMMYFUNCTION("""COMPUTED_VALUE"""),"臺中市立崇德國民中學")</f>
        <v>臺中市立崇德國民中學</v>
      </c>
      <c r="F1801" s="14" t="str">
        <f>IFERROR(__xludf.DUMMYFUNCTION("""COMPUTED_VALUE"""),"七年級")</f>
        <v>七年級</v>
      </c>
      <c r="G1801" s="14" t="str">
        <f>IFERROR(__xludf.DUMMYFUNCTION("""COMPUTED_VALUE"""),"●小禮物")</f>
        <v>●小禮物</v>
      </c>
      <c r="H1801" s="8"/>
    </row>
    <row r="1802">
      <c r="A1802" s="18"/>
      <c r="B1802" s="14">
        <f>IFERROR(__xludf.DUMMYFUNCTION("""COMPUTED_VALUE"""),860958.0)</f>
        <v>860958</v>
      </c>
      <c r="C1802" s="14" t="str">
        <f>IFERROR(__xludf.DUMMYFUNCTION("""COMPUTED_VALUE"""),"邱子浤")</f>
        <v>邱子浤</v>
      </c>
      <c r="D1802" s="16" t="str">
        <f>IFERROR(__xludf.DUMMYFUNCTION("""COMPUTED_VALUE"""),"418*****t.tc.edu.tw")</f>
        <v>418*****t.tc.edu.tw</v>
      </c>
      <c r="E1802" s="17" t="str">
        <f>IFERROR(__xludf.DUMMYFUNCTION("""COMPUTED_VALUE"""),"臺中市立崇德國民中學")</f>
        <v>臺中市立崇德國民中學</v>
      </c>
      <c r="F1802" s="14" t="str">
        <f>IFERROR(__xludf.DUMMYFUNCTION("""COMPUTED_VALUE"""),"八年級")</f>
        <v>八年級</v>
      </c>
      <c r="G1802" s="14" t="str">
        <f>IFERROR(__xludf.DUMMYFUNCTION("""COMPUTED_VALUE"""),"★禮券$200")</f>
        <v>★禮券$200</v>
      </c>
      <c r="H1802" s="8"/>
    </row>
    <row r="1803">
      <c r="A1803" s="18"/>
      <c r="B1803" s="14">
        <f>IFERROR(__xludf.DUMMYFUNCTION("""COMPUTED_VALUE"""),861032.0)</f>
        <v>861032</v>
      </c>
      <c r="C1803" s="14" t="str">
        <f>IFERROR(__xludf.DUMMYFUNCTION("""COMPUTED_VALUE"""),"余思叡")</f>
        <v>余思叡</v>
      </c>
      <c r="D1803" s="16" t="str">
        <f>IFERROR(__xludf.DUMMYFUNCTION("""COMPUTED_VALUE"""),"418*****t.tc.edu.tw")</f>
        <v>418*****t.tc.edu.tw</v>
      </c>
      <c r="E1803" s="17" t="str">
        <f>IFERROR(__xludf.DUMMYFUNCTION("""COMPUTED_VALUE"""),"臺中市立崇德國民中學")</f>
        <v>臺中市立崇德國民中學</v>
      </c>
      <c r="F1803" s="14" t="str">
        <f>IFERROR(__xludf.DUMMYFUNCTION("""COMPUTED_VALUE"""),"八年級")</f>
        <v>八年級</v>
      </c>
      <c r="G1803" s="14" t="str">
        <f>IFERROR(__xludf.DUMMYFUNCTION("""COMPUTED_VALUE"""),"●小禮物")</f>
        <v>●小禮物</v>
      </c>
      <c r="H1803" s="8"/>
    </row>
    <row r="1804">
      <c r="A1804" s="18"/>
      <c r="B1804" s="14">
        <f>IFERROR(__xludf.DUMMYFUNCTION("""COMPUTED_VALUE"""),863205.0)</f>
        <v>863205</v>
      </c>
      <c r="C1804" s="14" t="str">
        <f>IFERROR(__xludf.DUMMYFUNCTION("""COMPUTED_VALUE"""),"姚伯翰")</f>
        <v>姚伯翰</v>
      </c>
      <c r="D1804" s="16" t="str">
        <f>IFERROR(__xludf.DUMMYFUNCTION("""COMPUTED_VALUE"""),"415*****t.tc.edu.tw")</f>
        <v>415*****t.tc.edu.tw</v>
      </c>
      <c r="E1804" s="17" t="str">
        <f>IFERROR(__xludf.DUMMYFUNCTION("""COMPUTED_VALUE"""),"臺中市立崇德國民中學")</f>
        <v>臺中市立崇德國民中學</v>
      </c>
      <c r="F1804" s="14" t="str">
        <f>IFERROR(__xludf.DUMMYFUNCTION("""COMPUTED_VALUE"""),"八年級")</f>
        <v>八年級</v>
      </c>
      <c r="G1804" s="14" t="str">
        <f>IFERROR(__xludf.DUMMYFUNCTION("""COMPUTED_VALUE"""),"●小禮物")</f>
        <v>●小禮物</v>
      </c>
      <c r="H1804" s="8"/>
    </row>
    <row r="1805">
      <c r="A1805" s="18"/>
      <c r="B1805" s="14">
        <f>IFERROR(__xludf.DUMMYFUNCTION("""COMPUTED_VALUE"""),695387.0)</f>
        <v>695387</v>
      </c>
      <c r="C1805" s="14" t="str">
        <f>IFERROR(__xludf.DUMMYFUNCTION("""COMPUTED_VALUE"""),"蘇丞翌")</f>
        <v>蘇丞翌</v>
      </c>
      <c r="D1805" s="16" t="str">
        <f>IFERROR(__xludf.DUMMYFUNCTION("""COMPUTED_VALUE"""),"415*****t.tc.edu.tw")</f>
        <v>415*****t.tc.edu.tw</v>
      </c>
      <c r="E1805" s="17" t="str">
        <f>IFERROR(__xludf.DUMMYFUNCTION("""COMPUTED_VALUE"""),"臺中市立崇德國民中學")</f>
        <v>臺中市立崇德國民中學</v>
      </c>
      <c r="F1805" s="14" t="str">
        <f>IFERROR(__xludf.DUMMYFUNCTION("""COMPUTED_VALUE"""),"八年級")</f>
        <v>八年級</v>
      </c>
      <c r="G1805" s="14" t="str">
        <f>IFERROR(__xludf.DUMMYFUNCTION("""COMPUTED_VALUE"""),"獎狀")</f>
        <v>獎狀</v>
      </c>
      <c r="H1805" s="8"/>
    </row>
    <row r="1806">
      <c r="A1806" s="18"/>
      <c r="B1806" s="14">
        <f>IFERROR(__xludf.DUMMYFUNCTION("""COMPUTED_VALUE"""),1207857.0)</f>
        <v>1207857</v>
      </c>
      <c r="C1806" s="14" t="str">
        <f>IFERROR(__xludf.DUMMYFUNCTION("""COMPUTED_VALUE"""),"江逸凱")</f>
        <v>江逸凱</v>
      </c>
      <c r="D1806" s="16" t="str">
        <f>IFERROR(__xludf.DUMMYFUNCTION("""COMPUTED_VALUE"""),"tc.*****0385@mail.edu.tw")</f>
        <v>tc.*****0385@mail.edu.tw</v>
      </c>
      <c r="E1806" s="17" t="str">
        <f>IFERROR(__xludf.DUMMYFUNCTION("""COMPUTED_VALUE"""),"臺中市立崇德國民中學")</f>
        <v>臺中市立崇德國民中學</v>
      </c>
      <c r="F1806" s="14" t="str">
        <f>IFERROR(__xludf.DUMMYFUNCTION("""COMPUTED_VALUE"""),"八年級")</f>
        <v>八年級</v>
      </c>
      <c r="G1806" s="14" t="str">
        <f>IFERROR(__xludf.DUMMYFUNCTION("""COMPUTED_VALUE"""),"●小禮物")</f>
        <v>●小禮物</v>
      </c>
      <c r="H1806" s="8"/>
    </row>
    <row r="1807">
      <c r="A1807" s="18"/>
      <c r="B1807" s="14">
        <f>IFERROR(__xludf.DUMMYFUNCTION("""COMPUTED_VALUE"""),1212832.0)</f>
        <v>1212832</v>
      </c>
      <c r="C1807" s="14" t="str">
        <f>IFERROR(__xludf.DUMMYFUNCTION("""COMPUTED_VALUE"""),"陳若涵")</f>
        <v>陳若涵</v>
      </c>
      <c r="D1807" s="16" t="str">
        <f>IFERROR(__xludf.DUMMYFUNCTION("""COMPUTED_VALUE"""),"324*****t.tc.edu.tw")</f>
        <v>324*****t.tc.edu.tw</v>
      </c>
      <c r="E1807" s="17" t="str">
        <f>IFERROR(__xludf.DUMMYFUNCTION("""COMPUTED_VALUE"""),"臺中市立崇德國民中學")</f>
        <v>臺中市立崇德國民中學</v>
      </c>
      <c r="F1807" s="14" t="str">
        <f>IFERROR(__xludf.DUMMYFUNCTION("""COMPUTED_VALUE"""),"九年級")</f>
        <v>九年級</v>
      </c>
      <c r="G1807" s="14" t="str">
        <f>IFERROR(__xludf.DUMMYFUNCTION("""COMPUTED_VALUE"""),"獎狀")</f>
        <v>獎狀</v>
      </c>
      <c r="H1807" s="8"/>
    </row>
    <row r="1808">
      <c r="A1808" s="18"/>
      <c r="B1808" s="14">
        <f>IFERROR(__xludf.DUMMYFUNCTION("""COMPUTED_VALUE"""),250224.0)</f>
        <v>250224</v>
      </c>
      <c r="C1808" s="14" t="str">
        <f>IFERROR(__xludf.DUMMYFUNCTION("""COMPUTED_VALUE"""),"何可仁")</f>
        <v>何可仁</v>
      </c>
      <c r="D1808" s="16" t="str">
        <f>IFERROR(__xludf.DUMMYFUNCTION("""COMPUTED_VALUE"""),"chu*****hgyn@msa.hinet.net")</f>
        <v>chu*****hgyn@msa.hinet.net</v>
      </c>
      <c r="E1808" s="17" t="str">
        <f>IFERROR(__xludf.DUMMYFUNCTION("""COMPUTED_VALUE"""),"臺中市立西苑高級中學附設國中部")</f>
        <v>臺中市立西苑高級中學附設國中部</v>
      </c>
      <c r="F1808" s="14" t="str">
        <f>IFERROR(__xludf.DUMMYFUNCTION("""COMPUTED_VALUE"""),"七年級")</f>
        <v>七年級</v>
      </c>
      <c r="G1808" s="14" t="str">
        <f>IFERROR(__xludf.DUMMYFUNCTION("""COMPUTED_VALUE"""),"獎狀")</f>
        <v>獎狀</v>
      </c>
      <c r="H1808" s="8"/>
    </row>
    <row r="1809">
      <c r="A1809" s="18"/>
      <c r="B1809" s="14">
        <f>IFERROR(__xludf.DUMMYFUNCTION("""COMPUTED_VALUE"""),1007751.0)</f>
        <v>1007751</v>
      </c>
      <c r="C1809" s="14" t="str">
        <f>IFERROR(__xludf.DUMMYFUNCTION("""COMPUTED_VALUE"""),"李懿倫")</f>
        <v>李懿倫</v>
      </c>
      <c r="D1809" s="16" t="str">
        <f>IFERROR(__xludf.DUMMYFUNCTION("""COMPUTED_VALUE"""),"j10*****@gm.sysh.tc.edu.tw")</f>
        <v>j10*****@gm.sysh.tc.edu.tw</v>
      </c>
      <c r="E1809" s="17" t="str">
        <f>IFERROR(__xludf.DUMMYFUNCTION("""COMPUTED_VALUE"""),"臺中市立西苑高級中學附設國中部")</f>
        <v>臺中市立西苑高級中學附設國中部</v>
      </c>
      <c r="F1809" s="14" t="str">
        <f>IFERROR(__xludf.DUMMYFUNCTION("""COMPUTED_VALUE"""),"九年級")</f>
        <v>九年級</v>
      </c>
      <c r="G1809" s="14" t="str">
        <f>IFERROR(__xludf.DUMMYFUNCTION("""COMPUTED_VALUE"""),"●小禮物")</f>
        <v>●小禮物</v>
      </c>
      <c r="H1809" s="8"/>
    </row>
    <row r="1810">
      <c r="A1810" s="18"/>
      <c r="B1810" s="14">
        <f>IFERROR(__xludf.DUMMYFUNCTION("""COMPUTED_VALUE"""),1153958.0)</f>
        <v>1153958</v>
      </c>
      <c r="C1810" s="14" t="str">
        <f>IFERROR(__xludf.DUMMYFUNCTION("""COMPUTED_VALUE"""),"李秉津")</f>
        <v>李秉津</v>
      </c>
      <c r="D1810" s="16" t="str">
        <f>IFERROR(__xludf.DUMMYFUNCTION("""COMPUTED_VALUE"""),"S11*****@mail.csjh.tc.edu.tw")</f>
        <v>S11*****@mail.csjh.tc.edu.tw</v>
      </c>
      <c r="E1810" s="17" t="str">
        <f>IFERROR(__xludf.DUMMYFUNCTION("""COMPUTED_VALUE"""),"臺中市立至善國民中學")</f>
        <v>臺中市立至善國民中學</v>
      </c>
      <c r="F1810" s="14" t="str">
        <f>IFERROR(__xludf.DUMMYFUNCTION("""COMPUTED_VALUE"""),"八年級")</f>
        <v>八年級</v>
      </c>
      <c r="G1810" s="14" t="str">
        <f>IFERROR(__xludf.DUMMYFUNCTION("""COMPUTED_VALUE"""),"●小禮物")</f>
        <v>●小禮物</v>
      </c>
      <c r="H1810" s="8"/>
    </row>
    <row r="1811">
      <c r="A1811" s="18"/>
      <c r="B1811" s="14">
        <f>IFERROR(__xludf.DUMMYFUNCTION("""COMPUTED_VALUE"""),1153828.0)</f>
        <v>1153828</v>
      </c>
      <c r="C1811" s="14" t="str">
        <f>IFERROR(__xludf.DUMMYFUNCTION("""COMPUTED_VALUE"""),"李謹亦")</f>
        <v>李謹亦</v>
      </c>
      <c r="D1811" s="16" t="str">
        <f>IFERROR(__xludf.DUMMYFUNCTION("""COMPUTED_VALUE"""),"s11*****@mail.csjh.tc.edu.tw")</f>
        <v>s11*****@mail.csjh.tc.edu.tw</v>
      </c>
      <c r="E1811" s="17" t="str">
        <f>IFERROR(__xludf.DUMMYFUNCTION("""COMPUTED_VALUE"""),"臺中市立至善國民中學")</f>
        <v>臺中市立至善國民中學</v>
      </c>
      <c r="F1811" s="14" t="str">
        <f>IFERROR(__xludf.DUMMYFUNCTION("""COMPUTED_VALUE"""),"八年級")</f>
        <v>八年級</v>
      </c>
      <c r="G1811" s="14" t="str">
        <f>IFERROR(__xludf.DUMMYFUNCTION("""COMPUTED_VALUE"""),"●小禮物")</f>
        <v>●小禮物</v>
      </c>
      <c r="H1811" s="8"/>
    </row>
    <row r="1812">
      <c r="A1812" s="18"/>
      <c r="B1812" s="14">
        <f>IFERROR(__xludf.DUMMYFUNCTION("""COMPUTED_VALUE"""),1153856.0)</f>
        <v>1153856</v>
      </c>
      <c r="C1812" s="14" t="str">
        <f>IFERROR(__xludf.DUMMYFUNCTION("""COMPUTED_VALUE"""),"林奕全")</f>
        <v>林奕全</v>
      </c>
      <c r="D1812" s="16" t="str">
        <f>IFERROR(__xludf.DUMMYFUNCTION("""COMPUTED_VALUE"""),"S11*****@mail.csjh.tc.edu.tw")</f>
        <v>S11*****@mail.csjh.tc.edu.tw</v>
      </c>
      <c r="E1812" s="17" t="str">
        <f>IFERROR(__xludf.DUMMYFUNCTION("""COMPUTED_VALUE"""),"臺中市立至善國民中學")</f>
        <v>臺中市立至善國民中學</v>
      </c>
      <c r="F1812" s="14" t="str">
        <f>IFERROR(__xludf.DUMMYFUNCTION("""COMPUTED_VALUE"""),"八年級")</f>
        <v>八年級</v>
      </c>
      <c r="G1812" s="14" t="str">
        <f>IFERROR(__xludf.DUMMYFUNCTION("""COMPUTED_VALUE"""),"●小禮物")</f>
        <v>●小禮物</v>
      </c>
      <c r="H1812" s="8"/>
    </row>
    <row r="1813">
      <c r="A1813" s="18"/>
      <c r="B1813" s="14">
        <f>IFERROR(__xludf.DUMMYFUNCTION("""COMPUTED_VALUE"""),1153350.0)</f>
        <v>1153350</v>
      </c>
      <c r="C1813" s="14" t="str">
        <f>IFERROR(__xludf.DUMMYFUNCTION("""COMPUTED_VALUE"""),"林庭瑋")</f>
        <v>林庭瑋</v>
      </c>
      <c r="D1813" s="16" t="str">
        <f>IFERROR(__xludf.DUMMYFUNCTION("""COMPUTED_VALUE"""),"s11*****@mail.csjh.tc.edu.tw")</f>
        <v>s11*****@mail.csjh.tc.edu.tw</v>
      </c>
      <c r="E1813" s="17" t="str">
        <f>IFERROR(__xludf.DUMMYFUNCTION("""COMPUTED_VALUE"""),"臺中市立至善國民中學")</f>
        <v>臺中市立至善國民中學</v>
      </c>
      <c r="F1813" s="14" t="str">
        <f>IFERROR(__xludf.DUMMYFUNCTION("""COMPUTED_VALUE"""),"八年級")</f>
        <v>八年級</v>
      </c>
      <c r="G1813" s="14" t="str">
        <f>IFERROR(__xludf.DUMMYFUNCTION("""COMPUTED_VALUE"""),"●小禮物")</f>
        <v>●小禮物</v>
      </c>
      <c r="H1813" s="8"/>
    </row>
    <row r="1814">
      <c r="A1814" s="18"/>
      <c r="B1814" s="14">
        <f>IFERROR(__xludf.DUMMYFUNCTION("""COMPUTED_VALUE"""),1153778.0)</f>
        <v>1153778</v>
      </c>
      <c r="C1814" s="14" t="str">
        <f>IFERROR(__xludf.DUMMYFUNCTION("""COMPUTED_VALUE"""),"洪翊翔")</f>
        <v>洪翊翔</v>
      </c>
      <c r="D1814" s="16" t="str">
        <f>IFERROR(__xludf.DUMMYFUNCTION("""COMPUTED_VALUE"""),"s11*****@mail.csjh.tc.edu.tw")</f>
        <v>s11*****@mail.csjh.tc.edu.tw</v>
      </c>
      <c r="E1814" s="17" t="str">
        <f>IFERROR(__xludf.DUMMYFUNCTION("""COMPUTED_VALUE"""),"臺中市立至善國民中學")</f>
        <v>臺中市立至善國民中學</v>
      </c>
      <c r="F1814" s="14" t="str">
        <f>IFERROR(__xludf.DUMMYFUNCTION("""COMPUTED_VALUE"""),"八年級")</f>
        <v>八年級</v>
      </c>
      <c r="G1814" s="14" t="str">
        <f>IFERROR(__xludf.DUMMYFUNCTION("""COMPUTED_VALUE"""),"●小禮物")</f>
        <v>●小禮物</v>
      </c>
      <c r="H1814" s="8"/>
    </row>
    <row r="1815">
      <c r="A1815" s="18"/>
      <c r="B1815" s="14">
        <f>IFERROR(__xludf.DUMMYFUNCTION("""COMPUTED_VALUE"""),1166213.0)</f>
        <v>1166213</v>
      </c>
      <c r="C1815" s="14" t="str">
        <f>IFERROR(__xludf.DUMMYFUNCTION("""COMPUTED_VALUE"""),"張苡宣")</f>
        <v>張苡宣</v>
      </c>
      <c r="D1815" s="16" t="str">
        <f>IFERROR(__xludf.DUMMYFUNCTION("""COMPUTED_VALUE"""),"s11*****@mail.csjh.tc.edu.tw")</f>
        <v>s11*****@mail.csjh.tc.edu.tw</v>
      </c>
      <c r="E1815" s="17" t="str">
        <f>IFERROR(__xludf.DUMMYFUNCTION("""COMPUTED_VALUE"""),"臺中市立至善國民中學")</f>
        <v>臺中市立至善國民中學</v>
      </c>
      <c r="F1815" s="14" t="str">
        <f>IFERROR(__xludf.DUMMYFUNCTION("""COMPUTED_VALUE"""),"八年級")</f>
        <v>八年級</v>
      </c>
      <c r="G1815" s="14" t="str">
        <f>IFERROR(__xludf.DUMMYFUNCTION("""COMPUTED_VALUE"""),"●小禮物")</f>
        <v>●小禮物</v>
      </c>
      <c r="H1815" s="8"/>
    </row>
    <row r="1816">
      <c r="A1816" s="18"/>
      <c r="B1816" s="14">
        <f>IFERROR(__xludf.DUMMYFUNCTION("""COMPUTED_VALUE"""),1153403.0)</f>
        <v>1153403</v>
      </c>
      <c r="C1816" s="14" t="str">
        <f>IFERROR(__xludf.DUMMYFUNCTION("""COMPUTED_VALUE"""),"張倖慈")</f>
        <v>張倖慈</v>
      </c>
      <c r="D1816" s="16" t="str">
        <f>IFERROR(__xludf.DUMMYFUNCTION("""COMPUTED_VALUE"""),"s11*****@mail.csjh.tc.edu.tw")</f>
        <v>s11*****@mail.csjh.tc.edu.tw</v>
      </c>
      <c r="E1816" s="17" t="str">
        <f>IFERROR(__xludf.DUMMYFUNCTION("""COMPUTED_VALUE"""),"臺中市立至善國民中學")</f>
        <v>臺中市立至善國民中學</v>
      </c>
      <c r="F1816" s="14" t="str">
        <f>IFERROR(__xludf.DUMMYFUNCTION("""COMPUTED_VALUE"""),"八年級")</f>
        <v>八年級</v>
      </c>
      <c r="G1816" s="14" t="str">
        <f>IFERROR(__xludf.DUMMYFUNCTION("""COMPUTED_VALUE"""),"●小禮物")</f>
        <v>●小禮物</v>
      </c>
      <c r="H1816" s="8"/>
    </row>
    <row r="1817">
      <c r="A1817" s="18"/>
      <c r="B1817" s="14">
        <f>IFERROR(__xludf.DUMMYFUNCTION("""COMPUTED_VALUE"""),1153974.0)</f>
        <v>1153974</v>
      </c>
      <c r="C1817" s="14" t="str">
        <f>IFERROR(__xludf.DUMMYFUNCTION("""COMPUTED_VALUE"""),"陳君宇")</f>
        <v>陳君宇</v>
      </c>
      <c r="D1817" s="16" t="str">
        <f>IFERROR(__xludf.DUMMYFUNCTION("""COMPUTED_VALUE"""),"s11*****@mail.csjh.tc.edu.tw")</f>
        <v>s11*****@mail.csjh.tc.edu.tw</v>
      </c>
      <c r="E1817" s="17" t="str">
        <f>IFERROR(__xludf.DUMMYFUNCTION("""COMPUTED_VALUE"""),"臺中市立至善國民中學")</f>
        <v>臺中市立至善國民中學</v>
      </c>
      <c r="F1817" s="14" t="str">
        <f>IFERROR(__xludf.DUMMYFUNCTION("""COMPUTED_VALUE"""),"八年級")</f>
        <v>八年級</v>
      </c>
      <c r="G1817" s="14" t="str">
        <f>IFERROR(__xludf.DUMMYFUNCTION("""COMPUTED_VALUE"""),"●小禮物")</f>
        <v>●小禮物</v>
      </c>
      <c r="H1817" s="8"/>
    </row>
    <row r="1818">
      <c r="A1818" s="18"/>
      <c r="B1818" s="14">
        <f>IFERROR(__xludf.DUMMYFUNCTION("""COMPUTED_VALUE"""),1153942.0)</f>
        <v>1153942</v>
      </c>
      <c r="C1818" s="14" t="str">
        <f>IFERROR(__xludf.DUMMYFUNCTION("""COMPUTED_VALUE"""),"陳旖")</f>
        <v>陳旖</v>
      </c>
      <c r="D1818" s="16" t="str">
        <f>IFERROR(__xludf.DUMMYFUNCTION("""COMPUTED_VALUE"""),"s11*****@mail.csjh.tc.edu.tw")</f>
        <v>s11*****@mail.csjh.tc.edu.tw</v>
      </c>
      <c r="E1818" s="17" t="str">
        <f>IFERROR(__xludf.DUMMYFUNCTION("""COMPUTED_VALUE"""),"臺中市立至善國民中學")</f>
        <v>臺中市立至善國民中學</v>
      </c>
      <c r="F1818" s="14" t="str">
        <f>IFERROR(__xludf.DUMMYFUNCTION("""COMPUTED_VALUE"""),"八年級")</f>
        <v>八年級</v>
      </c>
      <c r="G1818" s="14" t="str">
        <f>IFERROR(__xludf.DUMMYFUNCTION("""COMPUTED_VALUE"""),"獎狀")</f>
        <v>獎狀</v>
      </c>
      <c r="H1818" s="8"/>
    </row>
    <row r="1819">
      <c r="A1819" s="18"/>
      <c r="B1819" s="14">
        <f>IFERROR(__xludf.DUMMYFUNCTION("""COMPUTED_VALUE"""),1153598.0)</f>
        <v>1153598</v>
      </c>
      <c r="C1819" s="14" t="str">
        <f>IFERROR(__xludf.DUMMYFUNCTION("""COMPUTED_VALUE"""),"譚宇廷")</f>
        <v>譚宇廷</v>
      </c>
      <c r="D1819" s="16" t="str">
        <f>IFERROR(__xludf.DUMMYFUNCTION("""COMPUTED_VALUE"""),"S11*****@mail.csjh.tc.edu.tw")</f>
        <v>S11*****@mail.csjh.tc.edu.tw</v>
      </c>
      <c r="E1819" s="17" t="str">
        <f>IFERROR(__xludf.DUMMYFUNCTION("""COMPUTED_VALUE"""),"臺中市立至善國民中學")</f>
        <v>臺中市立至善國民中學</v>
      </c>
      <c r="F1819" s="14" t="str">
        <f>IFERROR(__xludf.DUMMYFUNCTION("""COMPUTED_VALUE"""),"八年級")</f>
        <v>八年級</v>
      </c>
      <c r="G1819" s="14" t="str">
        <f>IFERROR(__xludf.DUMMYFUNCTION("""COMPUTED_VALUE"""),"獎狀")</f>
        <v>獎狀</v>
      </c>
      <c r="H1819" s="8"/>
    </row>
    <row r="1820">
      <c r="A1820" s="18"/>
      <c r="B1820" s="14">
        <f>IFERROR(__xludf.DUMMYFUNCTION("""COMPUTED_VALUE"""),1176127.0)</f>
        <v>1176127</v>
      </c>
      <c r="C1820" s="14" t="str">
        <f>IFERROR(__xludf.DUMMYFUNCTION("""COMPUTED_VALUE"""),"黃佑瑄")</f>
        <v>黃佑瑄</v>
      </c>
      <c r="D1820" s="16" t="str">
        <f>IFERROR(__xludf.DUMMYFUNCTION("""COMPUTED_VALUE"""),"s11*****@mail.csjh.tc.edu.tw")</f>
        <v>s11*****@mail.csjh.tc.edu.tw</v>
      </c>
      <c r="E1820" s="17" t="str">
        <f>IFERROR(__xludf.DUMMYFUNCTION("""COMPUTED_VALUE"""),"臺中市立至善國民中學")</f>
        <v>臺中市立至善國民中學</v>
      </c>
      <c r="F1820" s="14" t="str">
        <f>IFERROR(__xludf.DUMMYFUNCTION("""COMPUTED_VALUE"""),"八年級")</f>
        <v>八年級</v>
      </c>
      <c r="G1820" s="14" t="str">
        <f>IFERROR(__xludf.DUMMYFUNCTION("""COMPUTED_VALUE"""),"●小禮物")</f>
        <v>●小禮物</v>
      </c>
      <c r="H1820" s="8"/>
    </row>
    <row r="1821">
      <c r="A1821" s="18"/>
      <c r="B1821" s="14">
        <f>IFERROR(__xludf.DUMMYFUNCTION("""COMPUTED_VALUE"""),1177549.0)</f>
        <v>1177549</v>
      </c>
      <c r="C1821" s="14" t="str">
        <f>IFERROR(__xludf.DUMMYFUNCTION("""COMPUTED_VALUE"""),"張庭瑄")</f>
        <v>張庭瑄</v>
      </c>
      <c r="D1821" s="16" t="str">
        <f>IFERROR(__xludf.DUMMYFUNCTION("""COMPUTED_VALUE"""),"s11*****@mail.csjh.tc.edu.tw")</f>
        <v>s11*****@mail.csjh.tc.edu.tw</v>
      </c>
      <c r="E1821" s="17" t="str">
        <f>IFERROR(__xludf.DUMMYFUNCTION("""COMPUTED_VALUE"""),"臺中市立至善國民中學")</f>
        <v>臺中市立至善國民中學</v>
      </c>
      <c r="F1821" s="14" t="str">
        <f>IFERROR(__xludf.DUMMYFUNCTION("""COMPUTED_VALUE"""),"八年級")</f>
        <v>八年級</v>
      </c>
      <c r="G1821" s="14" t="str">
        <f>IFERROR(__xludf.DUMMYFUNCTION("""COMPUTED_VALUE"""),"獎狀")</f>
        <v>獎狀</v>
      </c>
      <c r="H1821" s="8"/>
    </row>
    <row r="1822">
      <c r="A1822" s="18"/>
      <c r="B1822" s="14">
        <f>IFERROR(__xludf.DUMMYFUNCTION("""COMPUTED_VALUE"""),1020784.0)</f>
        <v>1020784</v>
      </c>
      <c r="C1822" s="14" t="str">
        <f>IFERROR(__xludf.DUMMYFUNCTION("""COMPUTED_VALUE"""),"徐宣渝")</f>
        <v>徐宣渝</v>
      </c>
      <c r="D1822" s="16" t="str">
        <f>IFERROR(__xludf.DUMMYFUNCTION("""COMPUTED_VALUE"""),"ra1*****0@ritz.tc.edu.tw")</f>
        <v>ra1*****0@ritz.tc.edu.tw</v>
      </c>
      <c r="E1822" s="17" t="str">
        <f>IFERROR(__xludf.DUMMYFUNCTION("""COMPUTED_VALUE"""),"臺中市麗?雙語中小學國中部")</f>
        <v>臺中市麗?雙語中小學國中部</v>
      </c>
      <c r="F1822" s="14" t="str">
        <f>IFERROR(__xludf.DUMMYFUNCTION("""COMPUTED_VALUE"""),"八年級")</f>
        <v>八年級</v>
      </c>
      <c r="G1822" s="14" t="str">
        <f>IFERROR(__xludf.DUMMYFUNCTION("""COMPUTED_VALUE"""),"獎狀")</f>
        <v>獎狀</v>
      </c>
      <c r="H1822" s="8"/>
    </row>
    <row r="1823">
      <c r="A1823" s="18"/>
      <c r="B1823" s="14">
        <f>IFERROR(__xludf.DUMMYFUNCTION("""COMPUTED_VALUE"""),439749.0)</f>
        <v>439749</v>
      </c>
      <c r="C1823" s="14" t="str">
        <f>IFERROR(__xludf.DUMMYFUNCTION("""COMPUTED_VALUE"""),"張浿銨")</f>
        <v>張浿銨</v>
      </c>
      <c r="D1823" s="16" t="str">
        <f>IFERROR(__xludf.DUMMYFUNCTION("""COMPUTED_VALUE"""),"318*****t.tc.edu.tw")</f>
        <v>318*****t.tc.edu.tw</v>
      </c>
      <c r="E1823" s="17" t="str">
        <f>IFERROR(__xludf.DUMMYFUNCTION("""COMPUTED_VALUE"""),"臺中市立福科國民中學")</f>
        <v>臺中市立福科國民中學</v>
      </c>
      <c r="F1823" s="14" t="str">
        <f>IFERROR(__xludf.DUMMYFUNCTION("""COMPUTED_VALUE"""),"九年級")</f>
        <v>九年級</v>
      </c>
      <c r="G1823" s="14" t="str">
        <f>IFERROR(__xludf.DUMMYFUNCTION("""COMPUTED_VALUE"""),"●小禮物")</f>
        <v>●小禮物</v>
      </c>
      <c r="H1823" s="8"/>
    </row>
    <row r="1824">
      <c r="A1824" s="18"/>
      <c r="B1824" s="14">
        <f>IFERROR(__xludf.DUMMYFUNCTION("""COMPUTED_VALUE"""),721619.0)</f>
        <v>721619</v>
      </c>
      <c r="C1824" s="14" t="str">
        <f>IFERROR(__xludf.DUMMYFUNCTION("""COMPUTED_VALUE"""),"郭宙葳")</f>
        <v>郭宙葳</v>
      </c>
      <c r="D1824" s="16" t="str">
        <f>IFERROR(__xludf.DUMMYFUNCTION("""COMPUTED_VALUE"""),"min*****uo113@gmail.com")</f>
        <v>min*****uo113@gmail.com</v>
      </c>
      <c r="E1824" s="17" t="str">
        <f>IFERROR(__xludf.DUMMYFUNCTION("""COMPUTED_VALUE"""),"臺中市立惠文高級中學附設國中部")</f>
        <v>臺中市立惠文高級中學附設國中部</v>
      </c>
      <c r="F1824" s="14" t="str">
        <f>IFERROR(__xludf.DUMMYFUNCTION("""COMPUTED_VALUE"""),"八年級")</f>
        <v>八年級</v>
      </c>
      <c r="G1824" s="14" t="str">
        <f>IFERROR(__xludf.DUMMYFUNCTION("""COMPUTED_VALUE"""),"★禮券$200")</f>
        <v>★禮券$200</v>
      </c>
      <c r="H1824" s="8"/>
    </row>
    <row r="1825">
      <c r="A1825" s="18"/>
      <c r="B1825" s="14">
        <f>IFERROR(__xludf.DUMMYFUNCTION("""COMPUTED_VALUE"""),1193234.0)</f>
        <v>1193234</v>
      </c>
      <c r="C1825" s="14" t="str">
        <f>IFERROR(__xludf.DUMMYFUNCTION("""COMPUTED_VALUE"""),"林威愷")</f>
        <v>林威愷</v>
      </c>
      <c r="D1825" s="16" t="str">
        <f>IFERROR(__xludf.DUMMYFUNCTION("""COMPUTED_VALUE"""),"520*****t.tc.edu.tw")</f>
        <v>520*****t.tc.edu.tw</v>
      </c>
      <c r="E1825" s="17" t="str">
        <f>IFERROR(__xludf.DUMMYFUNCTION("""COMPUTED_VALUE"""),"臺中市立萬和國民中學")</f>
        <v>臺中市立萬和國民中學</v>
      </c>
      <c r="F1825" s="14" t="str">
        <f>IFERROR(__xludf.DUMMYFUNCTION("""COMPUTED_VALUE"""),"七年級")</f>
        <v>七年級</v>
      </c>
      <c r="G1825" s="14" t="str">
        <f>IFERROR(__xludf.DUMMYFUNCTION("""COMPUTED_VALUE"""),"●小禮物")</f>
        <v>●小禮物</v>
      </c>
      <c r="H1825" s="8"/>
    </row>
    <row r="1826">
      <c r="A1826" s="18"/>
      <c r="B1826" s="14">
        <f>IFERROR(__xludf.DUMMYFUNCTION("""COMPUTED_VALUE"""),554766.0)</f>
        <v>554766</v>
      </c>
      <c r="C1826" s="14" t="str">
        <f>IFERROR(__xludf.DUMMYFUNCTION("""COMPUTED_VALUE"""),"黃子芯")</f>
        <v>黃子芯</v>
      </c>
      <c r="D1826" s="16" t="str">
        <f>IFERROR(__xludf.DUMMYFUNCTION("""COMPUTED_VALUE"""),"520*****t.tc.edu.tw")</f>
        <v>520*****t.tc.edu.tw</v>
      </c>
      <c r="E1826" s="17" t="str">
        <f>IFERROR(__xludf.DUMMYFUNCTION("""COMPUTED_VALUE"""),"臺中市立萬和國民中學")</f>
        <v>臺中市立萬和國民中學</v>
      </c>
      <c r="F1826" s="14" t="str">
        <f>IFERROR(__xludf.DUMMYFUNCTION("""COMPUTED_VALUE"""),"七年級")</f>
        <v>七年級</v>
      </c>
      <c r="G1826" s="14" t="str">
        <f>IFERROR(__xludf.DUMMYFUNCTION("""COMPUTED_VALUE"""),"●小禮物")</f>
        <v>●小禮物</v>
      </c>
      <c r="H1826" s="8"/>
    </row>
    <row r="1827">
      <c r="A1827" s="18"/>
      <c r="B1827" s="14">
        <f>IFERROR(__xludf.DUMMYFUNCTION("""COMPUTED_VALUE"""),1193189.0)</f>
        <v>1193189</v>
      </c>
      <c r="C1827" s="14" t="str">
        <f>IFERROR(__xludf.DUMMYFUNCTION("""COMPUTED_VALUE"""),"賴翊云")</f>
        <v>賴翊云</v>
      </c>
      <c r="D1827" s="16" t="str">
        <f>IFERROR(__xludf.DUMMYFUNCTION("""COMPUTED_VALUE"""),"520*****t.tc.edu.tw")</f>
        <v>520*****t.tc.edu.tw</v>
      </c>
      <c r="E1827" s="17" t="str">
        <f>IFERROR(__xludf.DUMMYFUNCTION("""COMPUTED_VALUE"""),"臺中市立萬和國民中學")</f>
        <v>臺中市立萬和國民中學</v>
      </c>
      <c r="F1827" s="14" t="str">
        <f>IFERROR(__xludf.DUMMYFUNCTION("""COMPUTED_VALUE"""),"七年級")</f>
        <v>七年級</v>
      </c>
      <c r="G1827" s="14" t="str">
        <f>IFERROR(__xludf.DUMMYFUNCTION("""COMPUTED_VALUE"""),"●小禮物")</f>
        <v>●小禮物</v>
      </c>
      <c r="H1827" s="8"/>
    </row>
    <row r="1828">
      <c r="A1828" s="18"/>
      <c r="B1828" s="14">
        <f>IFERROR(__xludf.DUMMYFUNCTION("""COMPUTED_VALUE"""),1193364.0)</f>
        <v>1193364</v>
      </c>
      <c r="C1828" s="14" t="str">
        <f>IFERROR(__xludf.DUMMYFUNCTION("""COMPUTED_VALUE"""),"簡冠丞")</f>
        <v>簡冠丞</v>
      </c>
      <c r="D1828" s="16" t="str">
        <f>IFERROR(__xludf.DUMMYFUNCTION("""COMPUTED_VALUE"""),"422*****t.tc.edu.tw")</f>
        <v>422*****t.tc.edu.tw</v>
      </c>
      <c r="E1828" s="17" t="str">
        <f>IFERROR(__xludf.DUMMYFUNCTION("""COMPUTED_VALUE"""),"臺中市立萬和國民中學")</f>
        <v>臺中市立萬和國民中學</v>
      </c>
      <c r="F1828" s="14" t="str">
        <f>IFERROR(__xludf.DUMMYFUNCTION("""COMPUTED_VALUE"""),"八年級")</f>
        <v>八年級</v>
      </c>
      <c r="G1828" s="14" t="str">
        <f>IFERROR(__xludf.DUMMYFUNCTION("""COMPUTED_VALUE"""),"●小禮物")</f>
        <v>●小禮物</v>
      </c>
      <c r="H1828" s="8"/>
    </row>
    <row r="1829">
      <c r="A1829" s="18"/>
      <c r="B1829" s="14">
        <f>IFERROR(__xludf.DUMMYFUNCTION("""COMPUTED_VALUE"""),1193393.0)</f>
        <v>1193393</v>
      </c>
      <c r="C1829" s="14" t="str">
        <f>IFERROR(__xludf.DUMMYFUNCTION("""COMPUTED_VALUE"""),"陳秀宣")</f>
        <v>陳秀宣</v>
      </c>
      <c r="D1829" s="16" t="str">
        <f>IFERROR(__xludf.DUMMYFUNCTION("""COMPUTED_VALUE"""),"422*****t.tc.edu.tw")</f>
        <v>422*****t.tc.edu.tw</v>
      </c>
      <c r="E1829" s="17" t="str">
        <f>IFERROR(__xludf.DUMMYFUNCTION("""COMPUTED_VALUE"""),"臺中市立萬和國民中學")</f>
        <v>臺中市立萬和國民中學</v>
      </c>
      <c r="F1829" s="14" t="str">
        <f>IFERROR(__xludf.DUMMYFUNCTION("""COMPUTED_VALUE"""),"八年級")</f>
        <v>八年級</v>
      </c>
      <c r="G1829" s="14" t="str">
        <f>IFERROR(__xludf.DUMMYFUNCTION("""COMPUTED_VALUE"""),"★禮券$200")</f>
        <v>★禮券$200</v>
      </c>
      <c r="H1829" s="8"/>
    </row>
    <row r="1830">
      <c r="A1830" s="18"/>
      <c r="B1830" s="14">
        <f>IFERROR(__xludf.DUMMYFUNCTION("""COMPUTED_VALUE"""),1193564.0)</f>
        <v>1193564</v>
      </c>
      <c r="C1830" s="14" t="str">
        <f>IFERROR(__xludf.DUMMYFUNCTION("""COMPUTED_VALUE"""),"楊凱竣")</f>
        <v>楊凱竣</v>
      </c>
      <c r="D1830" s="16" t="str">
        <f>IFERROR(__xludf.DUMMYFUNCTION("""COMPUTED_VALUE"""),"324*****t.tc.edu.tw")</f>
        <v>324*****t.tc.edu.tw</v>
      </c>
      <c r="E1830" s="17" t="str">
        <f>IFERROR(__xludf.DUMMYFUNCTION("""COMPUTED_VALUE"""),"臺中市立萬和國民中學")</f>
        <v>臺中市立萬和國民中學</v>
      </c>
      <c r="F1830" s="14" t="str">
        <f>IFERROR(__xludf.DUMMYFUNCTION("""COMPUTED_VALUE"""),"九年級")</f>
        <v>九年級</v>
      </c>
      <c r="G1830" s="14" t="str">
        <f>IFERROR(__xludf.DUMMYFUNCTION("""COMPUTED_VALUE"""),"獎狀")</f>
        <v>獎狀</v>
      </c>
      <c r="H1830" s="8"/>
    </row>
    <row r="1831">
      <c r="A1831" s="18"/>
      <c r="B1831" s="14">
        <f>IFERROR(__xludf.DUMMYFUNCTION("""COMPUTED_VALUE"""),589178.0)</f>
        <v>589178</v>
      </c>
      <c r="C1831" s="14" t="str">
        <f>IFERROR(__xludf.DUMMYFUNCTION("""COMPUTED_VALUE"""),"李品臻")</f>
        <v>李品臻</v>
      </c>
      <c r="D1831" s="16" t="str">
        <f>IFERROR(__xludf.DUMMYFUNCTION("""COMPUTED_VALUE"""),"iam*****05@outlook.com")</f>
        <v>iam*****05@outlook.com</v>
      </c>
      <c r="E1831" s="17" t="str">
        <f>IFERROR(__xludf.DUMMYFUNCTION("""COMPUTED_VALUE"""),"臺中市私立嶺東高級中學附設國中部")</f>
        <v>臺中市私立嶺東高級中學附設國中部</v>
      </c>
      <c r="F1831" s="14" t="str">
        <f>IFERROR(__xludf.DUMMYFUNCTION("""COMPUTED_VALUE"""),"八年級")</f>
        <v>八年級</v>
      </c>
      <c r="G1831" s="14" t="str">
        <f>IFERROR(__xludf.DUMMYFUNCTION("""COMPUTED_VALUE"""),"●小禮物")</f>
        <v>●小禮物</v>
      </c>
      <c r="H1831" s="8"/>
    </row>
    <row r="1832">
      <c r="A1832" s="18"/>
      <c r="B1832" s="14">
        <f>IFERROR(__xludf.DUMMYFUNCTION("""COMPUTED_VALUE"""),823068.0)</f>
        <v>823068</v>
      </c>
      <c r="C1832" s="14" t="str">
        <f>IFERROR(__xludf.DUMMYFUNCTION("""COMPUTED_VALUE"""),"薛宇涵")</f>
        <v>薛宇涵</v>
      </c>
      <c r="D1832" s="16" t="str">
        <f>IFERROR(__xludf.DUMMYFUNCTION("""COMPUTED_VALUE"""),"110*****st.lths.tc.edu.tw")</f>
        <v>110*****st.lths.tc.edu.tw</v>
      </c>
      <c r="E1832" s="17" t="str">
        <f>IFERROR(__xludf.DUMMYFUNCTION("""COMPUTED_VALUE"""),"臺中市私立嶺東高級中學附設國中部")</f>
        <v>臺中市私立嶺東高級中學附設國中部</v>
      </c>
      <c r="F1832" s="14" t="str">
        <f>IFERROR(__xludf.DUMMYFUNCTION("""COMPUTED_VALUE"""),"八年級")</f>
        <v>八年級</v>
      </c>
      <c r="G1832" s="14" t="str">
        <f>IFERROR(__xludf.DUMMYFUNCTION("""COMPUTED_VALUE"""),"●小禮物")</f>
        <v>●小禮物</v>
      </c>
      <c r="H1832" s="8"/>
    </row>
    <row r="1833">
      <c r="A1833" s="18"/>
      <c r="B1833" s="14">
        <f>IFERROR(__xludf.DUMMYFUNCTION("""COMPUTED_VALUE"""),833945.0)</f>
        <v>833945</v>
      </c>
      <c r="C1833" s="14" t="str">
        <f>IFERROR(__xludf.DUMMYFUNCTION("""COMPUTED_VALUE"""),"鐘亭雯")</f>
        <v>鐘亭雯</v>
      </c>
      <c r="D1833" s="16" t="str">
        <f>IFERROR(__xludf.DUMMYFUNCTION("""COMPUTED_VALUE"""),"110*****st.lths.tc.edu.tw")</f>
        <v>110*****st.lths.tc.edu.tw</v>
      </c>
      <c r="E1833" s="17" t="str">
        <f>IFERROR(__xludf.DUMMYFUNCTION("""COMPUTED_VALUE"""),"臺中市私立嶺東高級中學附設國中部")</f>
        <v>臺中市私立嶺東高級中學附設國中部</v>
      </c>
      <c r="F1833" s="14" t="str">
        <f>IFERROR(__xludf.DUMMYFUNCTION("""COMPUTED_VALUE"""),"八年級")</f>
        <v>八年級</v>
      </c>
      <c r="G1833" s="14" t="str">
        <f>IFERROR(__xludf.DUMMYFUNCTION("""COMPUTED_VALUE"""),"●小禮物")</f>
        <v>●小禮物</v>
      </c>
      <c r="H1833" s="8"/>
    </row>
    <row r="1834">
      <c r="A1834" s="18"/>
      <c r="B1834" s="14">
        <f>IFERROR(__xludf.DUMMYFUNCTION("""COMPUTED_VALUE"""),833961.0)</f>
        <v>833961</v>
      </c>
      <c r="C1834" s="14" t="str">
        <f>IFERROR(__xludf.DUMMYFUNCTION("""COMPUTED_VALUE"""),"蕭湘諭")</f>
        <v>蕭湘諭</v>
      </c>
      <c r="D1834" s="16" t="str">
        <f>IFERROR(__xludf.DUMMYFUNCTION("""COMPUTED_VALUE"""),"110*****st.lths.tc.edu.tw")</f>
        <v>110*****st.lths.tc.edu.tw</v>
      </c>
      <c r="E1834" s="17" t="str">
        <f>IFERROR(__xludf.DUMMYFUNCTION("""COMPUTED_VALUE"""),"臺中市私立嶺東高級中學附設國中部")</f>
        <v>臺中市私立嶺東高級中學附設國中部</v>
      </c>
      <c r="F1834" s="14" t="str">
        <f>IFERROR(__xludf.DUMMYFUNCTION("""COMPUTED_VALUE"""),"八年級")</f>
        <v>八年級</v>
      </c>
      <c r="G1834" s="14" t="str">
        <f>IFERROR(__xludf.DUMMYFUNCTION("""COMPUTED_VALUE"""),"★禮券$500")</f>
        <v>★禮券$500</v>
      </c>
      <c r="H1834" s="8"/>
    </row>
    <row r="1835">
      <c r="A1835" s="18"/>
      <c r="B1835" s="14">
        <f>IFERROR(__xludf.DUMMYFUNCTION("""COMPUTED_VALUE"""),820351.0)</f>
        <v>820351</v>
      </c>
      <c r="C1835" s="14" t="str">
        <f>IFERROR(__xludf.DUMMYFUNCTION("""COMPUTED_VALUE"""),"賴玟彤")</f>
        <v>賴玟彤</v>
      </c>
      <c r="D1835" s="16" t="str">
        <f>IFERROR(__xludf.DUMMYFUNCTION("""COMPUTED_VALUE"""),"110*****st.lths.tc.edu.tw")</f>
        <v>110*****st.lths.tc.edu.tw</v>
      </c>
      <c r="E1835" s="17" t="str">
        <f>IFERROR(__xludf.DUMMYFUNCTION("""COMPUTED_VALUE"""),"臺中市私立嶺東高級中學附設國中部")</f>
        <v>臺中市私立嶺東高級中學附設國中部</v>
      </c>
      <c r="F1835" s="14" t="str">
        <f>IFERROR(__xludf.DUMMYFUNCTION("""COMPUTED_VALUE"""),"八年級")</f>
        <v>八年級</v>
      </c>
      <c r="G1835" s="14" t="str">
        <f>IFERROR(__xludf.DUMMYFUNCTION("""COMPUTED_VALUE"""),"獎狀")</f>
        <v>獎狀</v>
      </c>
      <c r="H1835" s="8"/>
    </row>
    <row r="1836">
      <c r="A1836" s="18"/>
      <c r="B1836" s="14">
        <f>IFERROR(__xludf.DUMMYFUNCTION("""COMPUTED_VALUE"""),820897.0)</f>
        <v>820897</v>
      </c>
      <c r="C1836" s="14" t="str">
        <f>IFERROR(__xludf.DUMMYFUNCTION("""COMPUTED_VALUE"""),"温宇蓁")</f>
        <v>温宇蓁</v>
      </c>
      <c r="D1836" s="16" t="str">
        <f>IFERROR(__xludf.DUMMYFUNCTION("""COMPUTED_VALUE"""),"110*****st.lths.tc.edu.tw")</f>
        <v>110*****st.lths.tc.edu.tw</v>
      </c>
      <c r="E1836" s="17" t="str">
        <f>IFERROR(__xludf.DUMMYFUNCTION("""COMPUTED_VALUE"""),"臺中市私立嶺東高級中學附設國中部")</f>
        <v>臺中市私立嶺東高級中學附設國中部</v>
      </c>
      <c r="F1836" s="14" t="str">
        <f>IFERROR(__xludf.DUMMYFUNCTION("""COMPUTED_VALUE"""),"八年級")</f>
        <v>八年級</v>
      </c>
      <c r="G1836" s="14" t="str">
        <f>IFERROR(__xludf.DUMMYFUNCTION("""COMPUTED_VALUE"""),"●小禮物")</f>
        <v>●小禮物</v>
      </c>
      <c r="H1836" s="8"/>
    </row>
    <row r="1837">
      <c r="A1837" s="18"/>
      <c r="B1837" s="14">
        <f>IFERROR(__xludf.DUMMYFUNCTION("""COMPUTED_VALUE"""),1117914.0)</f>
        <v>1117914</v>
      </c>
      <c r="C1837" s="14" t="str">
        <f>IFERROR(__xludf.DUMMYFUNCTION("""COMPUTED_VALUE"""),"吳沛潼")</f>
        <v>吳沛潼</v>
      </c>
      <c r="D1837" s="16" t="str">
        <f>IFERROR(__xludf.DUMMYFUNCTION("""COMPUTED_VALUE"""),"min*****0329@gmail.com")</f>
        <v>min*****0329@gmail.com</v>
      </c>
      <c r="E1837" s="17" t="str">
        <f>IFERROR(__xludf.DUMMYFUNCTION("""COMPUTED_VALUE"""),"臺中市華盛頓高級中學附設國中部")</f>
        <v>臺中市華盛頓高級中學附設國中部</v>
      </c>
      <c r="F1837" s="14" t="str">
        <f>IFERROR(__xludf.DUMMYFUNCTION("""COMPUTED_VALUE"""),"七年級")</f>
        <v>七年級</v>
      </c>
      <c r="G1837" s="14" t="str">
        <f>IFERROR(__xludf.DUMMYFUNCTION("""COMPUTED_VALUE"""),"獎狀")</f>
        <v>獎狀</v>
      </c>
      <c r="H1837" s="8"/>
    </row>
    <row r="1838">
      <c r="A1838" s="18"/>
      <c r="B1838" s="14">
        <f>IFERROR(__xludf.DUMMYFUNCTION("""COMPUTED_VALUE"""),595275.0)</f>
        <v>595275</v>
      </c>
      <c r="C1838" s="14" t="str">
        <f>IFERROR(__xludf.DUMMYFUNCTION("""COMPUTED_VALUE"""),"施沛賢")</f>
        <v>施沛賢</v>
      </c>
      <c r="D1838" s="16" t="str">
        <f>IFERROR(__xludf.DUMMYFUNCTION("""COMPUTED_VALUE"""),"S10*****spes.tc.edu.tw")</f>
        <v>S10*****spes.tc.edu.tw</v>
      </c>
      <c r="E1838" s="17" t="str">
        <f>IFERROR(__xludf.DUMMYFUNCTION("""COMPUTED_VALUE"""),"臺中市立新光國民中學")</f>
        <v>臺中市立新光國民中學</v>
      </c>
      <c r="F1838" s="14" t="str">
        <f>IFERROR(__xludf.DUMMYFUNCTION("""COMPUTED_VALUE"""),"八年級")</f>
        <v>八年級</v>
      </c>
      <c r="G1838" s="14" t="str">
        <f>IFERROR(__xludf.DUMMYFUNCTION("""COMPUTED_VALUE"""),"獎狀")</f>
        <v>獎狀</v>
      </c>
      <c r="H1838" s="8"/>
    </row>
    <row r="1839">
      <c r="A1839" s="18"/>
      <c r="B1839" s="14">
        <f>IFERROR(__xludf.DUMMYFUNCTION("""COMPUTED_VALUE"""),1189561.0)</f>
        <v>1189561</v>
      </c>
      <c r="C1839" s="14" t="str">
        <f>IFERROR(__xludf.DUMMYFUNCTION("""COMPUTED_VALUE"""),"李炳憲")</f>
        <v>李炳憲</v>
      </c>
      <c r="D1839" s="16" t="str">
        <f>IFERROR(__xludf.DUMMYFUNCTION("""COMPUTED_VALUE"""),"jhs*****09@stu.ctas.tc.edu.tw")</f>
        <v>jhs*****09@stu.ctas.tc.edu.tw</v>
      </c>
      <c r="E1839" s="17" t="str">
        <f>IFERROR(__xludf.DUMMYFUNCTION("""COMPUTED_VALUE"""),"臺中市私立僑泰高級中學附設國中部")</f>
        <v>臺中市私立僑泰高級中學附設國中部</v>
      </c>
      <c r="F1839" s="14" t="str">
        <f>IFERROR(__xludf.DUMMYFUNCTION("""COMPUTED_VALUE"""),"七年級")</f>
        <v>七年級</v>
      </c>
      <c r="G1839" s="14" t="str">
        <f>IFERROR(__xludf.DUMMYFUNCTION("""COMPUTED_VALUE"""),"●小禮物")</f>
        <v>●小禮物</v>
      </c>
      <c r="H1839" s="8"/>
    </row>
    <row r="1840">
      <c r="A1840" s="18"/>
      <c r="B1840" s="14">
        <f>IFERROR(__xludf.DUMMYFUNCTION("""COMPUTED_VALUE"""),1189544.0)</f>
        <v>1189544</v>
      </c>
      <c r="C1840" s="14" t="str">
        <f>IFERROR(__xludf.DUMMYFUNCTION("""COMPUTED_VALUE"""),"林毓璿")</f>
        <v>林毓璿</v>
      </c>
      <c r="D1840" s="16" t="str">
        <f>IFERROR(__xludf.DUMMYFUNCTION("""COMPUTED_VALUE"""),"jhs*****12@stu.ctas.tc.edu.tw")</f>
        <v>jhs*****12@stu.ctas.tc.edu.tw</v>
      </c>
      <c r="E1840" s="17" t="str">
        <f>IFERROR(__xludf.DUMMYFUNCTION("""COMPUTED_VALUE"""),"臺中市私立僑泰高級中學附設國中部")</f>
        <v>臺中市私立僑泰高級中學附設國中部</v>
      </c>
      <c r="F1840" s="14" t="str">
        <f>IFERROR(__xludf.DUMMYFUNCTION("""COMPUTED_VALUE"""),"七年級")</f>
        <v>七年級</v>
      </c>
      <c r="G1840" s="14" t="str">
        <f>IFERROR(__xludf.DUMMYFUNCTION("""COMPUTED_VALUE"""),"●小禮物")</f>
        <v>●小禮物</v>
      </c>
      <c r="H1840" s="8"/>
    </row>
    <row r="1841">
      <c r="A1841" s="18"/>
      <c r="B1841" s="14">
        <f>IFERROR(__xludf.DUMMYFUNCTION("""COMPUTED_VALUE"""),1189558.0)</f>
        <v>1189558</v>
      </c>
      <c r="C1841" s="14" t="str">
        <f>IFERROR(__xludf.DUMMYFUNCTION("""COMPUTED_VALUE"""),"鄧資勳")</f>
        <v>鄧資勳</v>
      </c>
      <c r="D1841" s="16" t="str">
        <f>IFERROR(__xludf.DUMMYFUNCTION("""COMPUTED_VALUE"""),"jhs*****31@stu.ctas.tc.edu.tw")</f>
        <v>jhs*****31@stu.ctas.tc.edu.tw</v>
      </c>
      <c r="E1841" s="17" t="str">
        <f>IFERROR(__xludf.DUMMYFUNCTION("""COMPUTED_VALUE"""),"臺中市私立僑泰高級中學附設國中部")</f>
        <v>臺中市私立僑泰高級中學附設國中部</v>
      </c>
      <c r="F1841" s="14" t="str">
        <f>IFERROR(__xludf.DUMMYFUNCTION("""COMPUTED_VALUE"""),"七年級")</f>
        <v>七年級</v>
      </c>
      <c r="G1841" s="14" t="str">
        <f>IFERROR(__xludf.DUMMYFUNCTION("""COMPUTED_VALUE"""),"●小禮物")</f>
        <v>●小禮物</v>
      </c>
      <c r="H1841" s="8"/>
    </row>
    <row r="1842">
      <c r="A1842" s="18"/>
      <c r="B1842" s="14">
        <f>IFERROR(__xludf.DUMMYFUNCTION("""COMPUTED_VALUE"""),1189538.0)</f>
        <v>1189538</v>
      </c>
      <c r="C1842" s="14" t="str">
        <f>IFERROR(__xludf.DUMMYFUNCTION("""COMPUTED_VALUE"""),"李沅靜")</f>
        <v>李沅靜</v>
      </c>
      <c r="D1842" s="16" t="str">
        <f>IFERROR(__xludf.DUMMYFUNCTION("""COMPUTED_VALUE"""),"jhs*****06@stu.ctas.tc.edu.tw")</f>
        <v>jhs*****06@stu.ctas.tc.edu.tw</v>
      </c>
      <c r="E1842" s="17" t="str">
        <f>IFERROR(__xludf.DUMMYFUNCTION("""COMPUTED_VALUE"""),"臺中市私立僑泰高級中學附設國中部")</f>
        <v>臺中市私立僑泰高級中學附設國中部</v>
      </c>
      <c r="F1842" s="14" t="str">
        <f>IFERROR(__xludf.DUMMYFUNCTION("""COMPUTED_VALUE"""),"七年級")</f>
        <v>七年級</v>
      </c>
      <c r="G1842" s="14" t="str">
        <f>IFERROR(__xludf.DUMMYFUNCTION("""COMPUTED_VALUE"""),"獎狀")</f>
        <v>獎狀</v>
      </c>
      <c r="H1842" s="8"/>
    </row>
    <row r="1843">
      <c r="A1843" s="18"/>
      <c r="B1843" s="14">
        <f>IFERROR(__xludf.DUMMYFUNCTION("""COMPUTED_VALUE"""),1189553.0)</f>
        <v>1189553</v>
      </c>
      <c r="C1843" s="14" t="str">
        <f>IFERROR(__xludf.DUMMYFUNCTION("""COMPUTED_VALUE"""),"李欣穎")</f>
        <v>李欣穎</v>
      </c>
      <c r="D1843" s="16" t="str">
        <f>IFERROR(__xludf.DUMMYFUNCTION("""COMPUTED_VALUE"""),"jhs*****08@stu.ctas.tc.edu.tw")</f>
        <v>jhs*****08@stu.ctas.tc.edu.tw</v>
      </c>
      <c r="E1843" s="17" t="str">
        <f>IFERROR(__xludf.DUMMYFUNCTION("""COMPUTED_VALUE"""),"臺中市私立僑泰高級中學附設國中部")</f>
        <v>臺中市私立僑泰高級中學附設國中部</v>
      </c>
      <c r="F1843" s="14" t="str">
        <f>IFERROR(__xludf.DUMMYFUNCTION("""COMPUTED_VALUE"""),"七年級")</f>
        <v>七年級</v>
      </c>
      <c r="G1843" s="14" t="str">
        <f>IFERROR(__xludf.DUMMYFUNCTION("""COMPUTED_VALUE"""),"獎狀")</f>
        <v>獎狀</v>
      </c>
      <c r="H1843" s="8"/>
    </row>
    <row r="1844">
      <c r="A1844" s="18"/>
      <c r="B1844" s="14">
        <f>IFERROR(__xludf.DUMMYFUNCTION("""COMPUTED_VALUE"""),1189541.0)</f>
        <v>1189541</v>
      </c>
      <c r="C1844" s="14" t="str">
        <f>IFERROR(__xludf.DUMMYFUNCTION("""COMPUTED_VALUE"""),"胡芷菱")</f>
        <v>胡芷菱</v>
      </c>
      <c r="D1844" s="16" t="str">
        <f>IFERROR(__xludf.DUMMYFUNCTION("""COMPUTED_VALUE"""),"jhs*****13@stu.ctas.tc.edu.tw")</f>
        <v>jhs*****13@stu.ctas.tc.edu.tw</v>
      </c>
      <c r="E1844" s="17" t="str">
        <f>IFERROR(__xludf.DUMMYFUNCTION("""COMPUTED_VALUE"""),"臺中市私立僑泰高級中學附設國中部")</f>
        <v>臺中市私立僑泰高級中學附設國中部</v>
      </c>
      <c r="F1844" s="14" t="str">
        <f>IFERROR(__xludf.DUMMYFUNCTION("""COMPUTED_VALUE"""),"七年級")</f>
        <v>七年級</v>
      </c>
      <c r="G1844" s="14" t="str">
        <f>IFERROR(__xludf.DUMMYFUNCTION("""COMPUTED_VALUE"""),"獎狀")</f>
        <v>獎狀</v>
      </c>
      <c r="H1844" s="8"/>
    </row>
    <row r="1845">
      <c r="A1845" s="18"/>
      <c r="B1845" s="14">
        <f>IFERROR(__xludf.DUMMYFUNCTION("""COMPUTED_VALUE"""),1189185.0)</f>
        <v>1189185</v>
      </c>
      <c r="C1845" s="14" t="str">
        <f>IFERROR(__xludf.DUMMYFUNCTION("""COMPUTED_VALUE"""),"謝亞霏")</f>
        <v>謝亞霏</v>
      </c>
      <c r="D1845" s="16" t="str">
        <f>IFERROR(__xludf.DUMMYFUNCTION("""COMPUTED_VALUE"""),"jhs*****33@stu.ctas.tc.edu.tw")</f>
        <v>jhs*****33@stu.ctas.tc.edu.tw</v>
      </c>
      <c r="E1845" s="17" t="str">
        <f>IFERROR(__xludf.DUMMYFUNCTION("""COMPUTED_VALUE"""),"臺中市私立僑泰高級中學附設國中部")</f>
        <v>臺中市私立僑泰高級中學附設國中部</v>
      </c>
      <c r="F1845" s="14" t="str">
        <f>IFERROR(__xludf.DUMMYFUNCTION("""COMPUTED_VALUE"""),"七年級")</f>
        <v>七年級</v>
      </c>
      <c r="G1845" s="14" t="str">
        <f>IFERROR(__xludf.DUMMYFUNCTION("""COMPUTED_VALUE"""),"獎狀")</f>
        <v>獎狀</v>
      </c>
      <c r="H1845" s="8"/>
    </row>
    <row r="1846">
      <c r="A1846" s="18"/>
      <c r="B1846" s="14">
        <f>IFERROR(__xludf.DUMMYFUNCTION("""COMPUTED_VALUE"""),1138449.0)</f>
        <v>1138449</v>
      </c>
      <c r="C1846" s="14" t="str">
        <f>IFERROR(__xludf.DUMMYFUNCTION("""COMPUTED_VALUE"""),"劉翊菲")</f>
        <v>劉翊菲</v>
      </c>
      <c r="D1846" s="16" t="str">
        <f>IFERROR(__xludf.DUMMYFUNCTION("""COMPUTED_VALUE"""),"j27*****tu.ctas.tc.edu.tw")</f>
        <v>j27*****tu.ctas.tc.edu.tw</v>
      </c>
      <c r="E1846" s="17" t="str">
        <f>IFERROR(__xludf.DUMMYFUNCTION("""COMPUTED_VALUE"""),"臺中市私立僑泰高級中學附設國中部")</f>
        <v>臺中市私立僑泰高級中學附設國中部</v>
      </c>
      <c r="F1846" s="14" t="str">
        <f>IFERROR(__xludf.DUMMYFUNCTION("""COMPUTED_VALUE"""),"七年級")</f>
        <v>七年級</v>
      </c>
      <c r="G1846" s="14" t="str">
        <f>IFERROR(__xludf.DUMMYFUNCTION("""COMPUTED_VALUE"""),"●小禮物")</f>
        <v>●小禮物</v>
      </c>
      <c r="H1846" s="8"/>
    </row>
    <row r="1847">
      <c r="A1847" s="18"/>
      <c r="B1847" s="14">
        <f>IFERROR(__xludf.DUMMYFUNCTION("""COMPUTED_VALUE"""),820762.0)</f>
        <v>820762</v>
      </c>
      <c r="C1847" s="14" t="str">
        <f>IFERROR(__xludf.DUMMYFUNCTION("""COMPUTED_VALUE"""),"湯侑宸")</f>
        <v>湯侑宸</v>
      </c>
      <c r="D1847" s="16" t="str">
        <f>IFERROR(__xludf.DUMMYFUNCTION("""COMPUTED_VALUE"""),"jhs*****27@stu.ctas.tc.edu.tw")</f>
        <v>jhs*****27@stu.ctas.tc.edu.tw</v>
      </c>
      <c r="E1847" s="17" t="str">
        <f>IFERROR(__xludf.DUMMYFUNCTION("""COMPUTED_VALUE"""),"臺中市私立僑泰高級中學附設國中部")</f>
        <v>臺中市私立僑泰高級中學附設國中部</v>
      </c>
      <c r="F1847" s="14" t="str">
        <f>IFERROR(__xludf.DUMMYFUNCTION("""COMPUTED_VALUE"""),"八年級")</f>
        <v>八年級</v>
      </c>
      <c r="G1847" s="14" t="str">
        <f>IFERROR(__xludf.DUMMYFUNCTION("""COMPUTED_VALUE"""),"獎狀")</f>
        <v>獎狀</v>
      </c>
      <c r="H1847" s="8"/>
    </row>
    <row r="1848">
      <c r="A1848" s="18"/>
      <c r="B1848" s="14">
        <f>IFERROR(__xludf.DUMMYFUNCTION("""COMPUTED_VALUE"""),930475.0)</f>
        <v>930475</v>
      </c>
      <c r="C1848" s="14" t="str">
        <f>IFERROR(__xludf.DUMMYFUNCTION("""COMPUTED_VALUE"""),"黃亭禎")</f>
        <v>黃亭禎</v>
      </c>
      <c r="D1848" s="16" t="str">
        <f>IFERROR(__xludf.DUMMYFUNCTION("""COMPUTED_VALUE"""),"jhs*****28@stu.ctas.tc.edu.tw")</f>
        <v>jhs*****28@stu.ctas.tc.edu.tw</v>
      </c>
      <c r="E1848" s="17" t="str">
        <f>IFERROR(__xludf.DUMMYFUNCTION("""COMPUTED_VALUE"""),"臺中市私立僑泰高級中學附設國中部")</f>
        <v>臺中市私立僑泰高級中學附設國中部</v>
      </c>
      <c r="F1848" s="14" t="str">
        <f>IFERROR(__xludf.DUMMYFUNCTION("""COMPUTED_VALUE"""),"八年級")</f>
        <v>八年級</v>
      </c>
      <c r="G1848" s="14" t="str">
        <f>IFERROR(__xludf.DUMMYFUNCTION("""COMPUTED_VALUE"""),"獎狀")</f>
        <v>獎狀</v>
      </c>
      <c r="H1848" s="8"/>
    </row>
    <row r="1849">
      <c r="A1849" s="18"/>
      <c r="B1849" s="14">
        <f>IFERROR(__xludf.DUMMYFUNCTION("""COMPUTED_VALUE"""),128179.0)</f>
        <v>128179</v>
      </c>
      <c r="C1849" s="14" t="str">
        <f>IFERROR(__xludf.DUMMYFUNCTION("""COMPUTED_VALUE"""),"林裕乘")</f>
        <v>林裕乘</v>
      </c>
      <c r="D1849" s="16" t="str">
        <f>IFERROR(__xludf.DUMMYFUNCTION("""COMPUTED_VALUE"""),"pag*****02@gmail.com")</f>
        <v>pag*****02@gmail.com</v>
      </c>
      <c r="E1849" s="17" t="str">
        <f>IFERROR(__xludf.DUMMYFUNCTION("""COMPUTED_VALUE"""),"臺中市立光復國民中小學國中部")</f>
        <v>臺中市立光復國民中小學國中部</v>
      </c>
      <c r="F1849" s="14" t="str">
        <f>IFERROR(__xludf.DUMMYFUNCTION("""COMPUTED_VALUE"""),"八年級")</f>
        <v>八年級</v>
      </c>
      <c r="G1849" s="14" t="str">
        <f>IFERROR(__xludf.DUMMYFUNCTION("""COMPUTED_VALUE"""),"獎狀")</f>
        <v>獎狀</v>
      </c>
      <c r="H1849" s="8"/>
    </row>
    <row r="1850">
      <c r="A1850" s="18"/>
      <c r="B1850" s="14">
        <f>IFERROR(__xludf.DUMMYFUNCTION("""COMPUTED_VALUE"""),782070.0)</f>
        <v>782070</v>
      </c>
      <c r="C1850" s="14" t="str">
        <f>IFERROR(__xludf.DUMMYFUNCTION("""COMPUTED_VALUE"""),"麥文謙")</f>
        <v>麥文謙</v>
      </c>
      <c r="D1850" s="16" t="str">
        <f>IFERROR(__xludf.DUMMYFUNCTION("""COMPUTED_VALUE"""),"01j*****s.mingdao.edu.tw")</f>
        <v>01j*****s.mingdao.edu.tw</v>
      </c>
      <c r="E1850" s="17" t="str">
        <f>IFERROR(__xludf.DUMMYFUNCTION("""COMPUTED_VALUE"""),"臺中市私立明道高級中學附設國中部")</f>
        <v>臺中市私立明道高級中學附設國中部</v>
      </c>
      <c r="F1850" s="14" t="str">
        <f>IFERROR(__xludf.DUMMYFUNCTION("""COMPUTED_VALUE"""),"八年級")</f>
        <v>八年級</v>
      </c>
      <c r="G1850" s="14" t="str">
        <f>IFERROR(__xludf.DUMMYFUNCTION("""COMPUTED_VALUE"""),"●小禮物")</f>
        <v>●小禮物</v>
      </c>
      <c r="H1850" s="8"/>
    </row>
    <row r="1851">
      <c r="A1851" s="18"/>
      <c r="B1851" s="14">
        <f>IFERROR(__xludf.DUMMYFUNCTION("""COMPUTED_VALUE"""),1183691.0)</f>
        <v>1183691</v>
      </c>
      <c r="C1851" s="14" t="str">
        <f>IFERROR(__xludf.DUMMYFUNCTION("""COMPUTED_VALUE"""),"蘇亮廷")</f>
        <v>蘇亮廷</v>
      </c>
      <c r="D1851" s="16" t="str">
        <f>IFERROR(__xludf.DUMMYFUNCTION("""COMPUTED_VALUE"""),"ton*****081117@gmail.com")</f>
        <v>ton*****081117@gmail.com</v>
      </c>
      <c r="E1851" s="17" t="str">
        <f>IFERROR(__xludf.DUMMYFUNCTION("""COMPUTED_VALUE"""),"臺中市私立明道高級中學附設國中部")</f>
        <v>臺中市私立明道高級中學附設國中部</v>
      </c>
      <c r="F1851" s="14" t="str">
        <f>IFERROR(__xludf.DUMMYFUNCTION("""COMPUTED_VALUE"""),"八年級")</f>
        <v>八年級</v>
      </c>
      <c r="G1851" s="14" t="str">
        <f>IFERROR(__xludf.DUMMYFUNCTION("""COMPUTED_VALUE"""),"獎狀")</f>
        <v>獎狀</v>
      </c>
      <c r="H1851" s="8"/>
    </row>
    <row r="1852">
      <c r="A1852" s="18"/>
      <c r="B1852" s="14">
        <f>IFERROR(__xludf.DUMMYFUNCTION("""COMPUTED_VALUE"""),588420.0)</f>
        <v>588420</v>
      </c>
      <c r="C1852" s="14" t="str">
        <f>IFERROR(__xludf.DUMMYFUNCTION("""COMPUTED_VALUE"""),"劉庭安")</f>
        <v>劉庭安</v>
      </c>
      <c r="D1852" s="16" t="str">
        <f>IFERROR(__xludf.DUMMYFUNCTION("""COMPUTED_VALUE"""),"a09*****625@gmail.com")</f>
        <v>a09*****625@gmail.com</v>
      </c>
      <c r="E1852" s="17" t="str">
        <f>IFERROR(__xludf.DUMMYFUNCTION("""COMPUTED_VALUE"""),"臺中市私立明道高級中學附設國中部")</f>
        <v>臺中市私立明道高級中學附設國中部</v>
      </c>
      <c r="F1852" s="14" t="str">
        <f>IFERROR(__xludf.DUMMYFUNCTION("""COMPUTED_VALUE"""),"八年級")</f>
        <v>八年級</v>
      </c>
      <c r="G1852" s="14" t="str">
        <f>IFERROR(__xludf.DUMMYFUNCTION("""COMPUTED_VALUE"""),"獎狀")</f>
        <v>獎狀</v>
      </c>
      <c r="H1852" s="8"/>
    </row>
    <row r="1853">
      <c r="A1853" s="18"/>
      <c r="B1853" s="14">
        <f>IFERROR(__xludf.DUMMYFUNCTION("""COMPUTED_VALUE"""),444505.0)</f>
        <v>444505</v>
      </c>
      <c r="C1853" s="14" t="str">
        <f>IFERROR(__xludf.DUMMYFUNCTION("""COMPUTED_VALUE"""),"陸榆璇")</f>
        <v>陸榆璇</v>
      </c>
      <c r="D1853" s="16" t="str">
        <f>IFERROR(__xludf.DUMMYFUNCTION("""COMPUTED_VALUE"""),"91y*****s.mingdao.edu.tw")</f>
        <v>91y*****s.mingdao.edu.tw</v>
      </c>
      <c r="E1853" s="17" t="str">
        <f>IFERROR(__xludf.DUMMYFUNCTION("""COMPUTED_VALUE"""),"臺中市私立明道高級中學附設國中部")</f>
        <v>臺中市私立明道高級中學附設國中部</v>
      </c>
      <c r="F1853" s="14" t="str">
        <f>IFERROR(__xludf.DUMMYFUNCTION("""COMPUTED_VALUE"""),"九年級")</f>
        <v>九年級</v>
      </c>
      <c r="G1853" s="14" t="str">
        <f>IFERROR(__xludf.DUMMYFUNCTION("""COMPUTED_VALUE"""),"獎狀")</f>
        <v>獎狀</v>
      </c>
      <c r="H1853" s="8"/>
    </row>
    <row r="1854">
      <c r="A1854" s="18"/>
      <c r="B1854" s="14">
        <f>IFERROR(__xludf.DUMMYFUNCTION("""COMPUTED_VALUE"""),520574.0)</f>
        <v>520574</v>
      </c>
      <c r="C1854" s="14" t="str">
        <f>IFERROR(__xludf.DUMMYFUNCTION("""COMPUTED_VALUE"""),"鄭佳旻")</f>
        <v>鄭佳旻</v>
      </c>
      <c r="D1854" s="16" t="str">
        <f>IFERROR(__xludf.DUMMYFUNCTION("""COMPUTED_VALUE"""),"91y*****s.mingdao.edu.tw")</f>
        <v>91y*****s.mingdao.edu.tw</v>
      </c>
      <c r="E1854" s="17" t="str">
        <f>IFERROR(__xludf.DUMMYFUNCTION("""COMPUTED_VALUE"""),"臺中市私立明道高級中學附設國中部")</f>
        <v>臺中市私立明道高級中學附設國中部</v>
      </c>
      <c r="F1854" s="14" t="str">
        <f>IFERROR(__xludf.DUMMYFUNCTION("""COMPUTED_VALUE"""),"九年級")</f>
        <v>九年級</v>
      </c>
      <c r="G1854" s="14" t="str">
        <f>IFERROR(__xludf.DUMMYFUNCTION("""COMPUTED_VALUE"""),"獎狀")</f>
        <v>獎狀</v>
      </c>
      <c r="H1854" s="8"/>
    </row>
    <row r="1855">
      <c r="A1855" s="18"/>
      <c r="B1855" s="14">
        <f>IFERROR(__xludf.DUMMYFUNCTION("""COMPUTED_VALUE"""),453079.0)</f>
        <v>453079</v>
      </c>
      <c r="C1855" s="14" t="str">
        <f>IFERROR(__xludf.DUMMYFUNCTION("""COMPUTED_VALUE"""),"吳米樂")</f>
        <v>吳米樂</v>
      </c>
      <c r="D1855" s="16" t="str">
        <f>IFERROR(__xludf.DUMMYFUNCTION("""COMPUTED_VALUE"""),"91y*****s.mingdao.edu.tw")</f>
        <v>91y*****s.mingdao.edu.tw</v>
      </c>
      <c r="E1855" s="17" t="str">
        <f>IFERROR(__xludf.DUMMYFUNCTION("""COMPUTED_VALUE"""),"臺中市私立明道高級中學附設國中部")</f>
        <v>臺中市私立明道高級中學附設國中部</v>
      </c>
      <c r="F1855" s="14" t="str">
        <f>IFERROR(__xludf.DUMMYFUNCTION("""COMPUTED_VALUE"""),"九年級")</f>
        <v>九年級</v>
      </c>
      <c r="G1855" s="14" t="str">
        <f>IFERROR(__xludf.DUMMYFUNCTION("""COMPUTED_VALUE"""),"★禮券$500")</f>
        <v>★禮券$500</v>
      </c>
      <c r="H1855" s="8"/>
    </row>
    <row r="1856">
      <c r="A1856" s="18"/>
      <c r="B1856" s="14">
        <f>IFERROR(__xludf.DUMMYFUNCTION("""COMPUTED_VALUE"""),1166943.0)</f>
        <v>1166943</v>
      </c>
      <c r="C1856" s="14" t="str">
        <f>IFERROR(__xludf.DUMMYFUNCTION("""COMPUTED_VALUE"""),"張菀芸")</f>
        <v>張菀芸</v>
      </c>
      <c r="D1856" s="16" t="str">
        <f>IFERROR(__xludf.DUMMYFUNCTION("""COMPUTED_VALUE"""),"ht1*****6@hzsh.tc.edu.tw")</f>
        <v>ht1*****6@hzsh.tc.edu.tw</v>
      </c>
      <c r="E1856" s="17" t="str">
        <f>IFERROR(__xludf.DUMMYFUNCTION("""COMPUTED_VALUE"""),"臺中市立后綜高級中學附設國中部")</f>
        <v>臺中市立后綜高級中學附設國中部</v>
      </c>
      <c r="F1856" s="14" t="str">
        <f>IFERROR(__xludf.DUMMYFUNCTION("""COMPUTED_VALUE"""),"八年級")</f>
        <v>八年級</v>
      </c>
      <c r="G1856" s="14" t="str">
        <f>IFERROR(__xludf.DUMMYFUNCTION("""COMPUTED_VALUE"""),"●小禮物")</f>
        <v>●小禮物</v>
      </c>
      <c r="H1856" s="8"/>
    </row>
    <row r="1857">
      <c r="A1857" s="18"/>
      <c r="B1857" s="14">
        <f>IFERROR(__xludf.DUMMYFUNCTION("""COMPUTED_VALUE"""),1201229.0)</f>
        <v>1201229</v>
      </c>
      <c r="C1857" s="14" t="str">
        <f>IFERROR(__xludf.DUMMYFUNCTION("""COMPUTED_VALUE"""),"陳妍妡")</f>
        <v>陳妍妡</v>
      </c>
      <c r="D1857" s="16" t="str">
        <f>IFERROR(__xludf.DUMMYFUNCTION("""COMPUTED_VALUE"""),"cat*****60693@mail.edu.tw")</f>
        <v>cat*****60693@mail.edu.tw</v>
      </c>
      <c r="E1857" s="17" t="str">
        <f>IFERROR(__xludf.DUMMYFUNCTION("""COMPUTED_VALUE"""),"臺中市立后綜高級中學附設國中部")</f>
        <v>臺中市立后綜高級中學附設國中部</v>
      </c>
      <c r="F1857" s="14" t="str">
        <f>IFERROR(__xludf.DUMMYFUNCTION("""COMPUTED_VALUE"""),"八年級")</f>
        <v>八年級</v>
      </c>
      <c r="G1857" s="14" t="str">
        <f>IFERROR(__xludf.DUMMYFUNCTION("""COMPUTED_VALUE"""),"獎狀")</f>
        <v>獎狀</v>
      </c>
      <c r="H1857" s="8"/>
    </row>
    <row r="1858">
      <c r="A1858" s="18"/>
      <c r="B1858" s="14">
        <f>IFERROR(__xludf.DUMMYFUNCTION("""COMPUTED_VALUE"""),553249.0)</f>
        <v>553249</v>
      </c>
      <c r="C1858" s="14" t="str">
        <f>IFERROR(__xludf.DUMMYFUNCTION("""COMPUTED_VALUE"""),"曾柏諺")</f>
        <v>曾柏諺</v>
      </c>
      <c r="D1858" s="16" t="str">
        <f>IFERROR(__xludf.DUMMYFUNCTION("""COMPUTED_VALUE"""),"mym*****@mail.edu.tw")</f>
        <v>mym*****@mail.edu.tw</v>
      </c>
      <c r="E1858" s="17" t="str">
        <f>IFERROR(__xludf.DUMMYFUNCTION("""COMPUTED_VALUE"""),"臺中市立后綜高級中學附設國中部")</f>
        <v>臺中市立后綜高級中學附設國中部</v>
      </c>
      <c r="F1858" s="14" t="str">
        <f>IFERROR(__xludf.DUMMYFUNCTION("""COMPUTED_VALUE"""),"八年級")</f>
        <v>八年級</v>
      </c>
      <c r="G1858" s="14" t="str">
        <f>IFERROR(__xludf.DUMMYFUNCTION("""COMPUTED_VALUE"""),"●小禮物")</f>
        <v>●小禮物</v>
      </c>
      <c r="H1858" s="8"/>
    </row>
    <row r="1859">
      <c r="A1859" s="18"/>
      <c r="B1859" s="14">
        <f>IFERROR(__xludf.DUMMYFUNCTION("""COMPUTED_VALUE"""),1201220.0)</f>
        <v>1201220</v>
      </c>
      <c r="C1859" s="14" t="str">
        <f>IFERROR(__xludf.DUMMYFUNCTION("""COMPUTED_VALUE"""),"郭安婕")</f>
        <v>郭安婕</v>
      </c>
      <c r="D1859" s="16" t="str">
        <f>IFERROR(__xludf.DUMMYFUNCTION("""COMPUTED_VALUE"""),"ht1*****8@hzsh.tc.edu.tw")</f>
        <v>ht1*****8@hzsh.tc.edu.tw</v>
      </c>
      <c r="E1859" s="17" t="str">
        <f>IFERROR(__xludf.DUMMYFUNCTION("""COMPUTED_VALUE"""),"臺中市立后綜高級中學附設國中部")</f>
        <v>臺中市立后綜高級中學附設國中部</v>
      </c>
      <c r="F1859" s="14" t="str">
        <f>IFERROR(__xludf.DUMMYFUNCTION("""COMPUTED_VALUE"""),"八年級")</f>
        <v>八年級</v>
      </c>
      <c r="G1859" s="14" t="str">
        <f>IFERROR(__xludf.DUMMYFUNCTION("""COMPUTED_VALUE"""),"●小禮物")</f>
        <v>●小禮物</v>
      </c>
      <c r="H1859" s="8"/>
    </row>
    <row r="1860">
      <c r="A1860" s="18"/>
      <c r="B1860" s="14">
        <f>IFERROR(__xludf.DUMMYFUNCTION("""COMPUTED_VALUE"""),1157233.0)</f>
        <v>1157233</v>
      </c>
      <c r="C1860" s="14" t="str">
        <f>IFERROR(__xludf.DUMMYFUNCTION("""COMPUTED_VALUE"""),"張芸倢")</f>
        <v>張芸倢</v>
      </c>
      <c r="D1860" s="16" t="str">
        <f>IFERROR(__xludf.DUMMYFUNCTION("""COMPUTED_VALUE"""),"ht1*****6@hzsh.tc.edu.tw")</f>
        <v>ht1*****6@hzsh.tc.edu.tw</v>
      </c>
      <c r="E1860" s="17" t="str">
        <f>IFERROR(__xludf.DUMMYFUNCTION("""COMPUTED_VALUE"""),"臺中市立后綜高級中學附設國中部")</f>
        <v>臺中市立后綜高級中學附設國中部</v>
      </c>
      <c r="F1860" s="14" t="str">
        <f>IFERROR(__xludf.DUMMYFUNCTION("""COMPUTED_VALUE"""),"八年級")</f>
        <v>八年級</v>
      </c>
      <c r="G1860" s="14" t="str">
        <f>IFERROR(__xludf.DUMMYFUNCTION("""COMPUTED_VALUE"""),"獎狀")</f>
        <v>獎狀</v>
      </c>
      <c r="H1860" s="8"/>
    </row>
    <row r="1861">
      <c r="A1861" s="18"/>
      <c r="B1861" s="14">
        <f>IFERROR(__xludf.DUMMYFUNCTION("""COMPUTED_VALUE"""),1179604.0)</f>
        <v>1179604</v>
      </c>
      <c r="C1861" s="14" t="str">
        <f>IFERROR(__xludf.DUMMYFUNCTION("""COMPUTED_VALUE"""),"劉芷妮")</f>
        <v>劉芷妮</v>
      </c>
      <c r="D1861" s="16" t="str">
        <f>IFERROR(__xludf.DUMMYFUNCTION("""COMPUTED_VALUE"""),"apl*****54@gmail.com")</f>
        <v>apl*****54@gmail.com</v>
      </c>
      <c r="E1861" s="17" t="str">
        <f>IFERROR(__xludf.DUMMYFUNCTION("""COMPUTED_VALUE"""),"臺中市立東勢國民中學")</f>
        <v>臺中市立東勢國民中學</v>
      </c>
      <c r="F1861" s="14" t="str">
        <f>IFERROR(__xludf.DUMMYFUNCTION("""COMPUTED_VALUE"""),"八年級")</f>
        <v>八年級</v>
      </c>
      <c r="G1861" s="14" t="str">
        <f>IFERROR(__xludf.DUMMYFUNCTION("""COMPUTED_VALUE"""),"獎狀")</f>
        <v>獎狀</v>
      </c>
      <c r="H1861" s="8"/>
    </row>
    <row r="1862">
      <c r="A1862" s="18"/>
      <c r="B1862" s="14">
        <f>IFERROR(__xludf.DUMMYFUNCTION("""COMPUTED_VALUE"""),768774.0)</f>
        <v>768774</v>
      </c>
      <c r="C1862" s="14" t="str">
        <f>IFERROR(__xludf.DUMMYFUNCTION("""COMPUTED_VALUE"""),"孫瑋宏")</f>
        <v>孫瑋宏</v>
      </c>
      <c r="D1862" s="16" t="str">
        <f>IFERROR(__xludf.DUMMYFUNCTION("""COMPUTED_VALUE"""),"s11*****@std.hwhs.tc.edu.tw")</f>
        <v>s11*****@std.hwhs.tc.edu.tw</v>
      </c>
      <c r="E1862" s="17" t="str">
        <f>IFERROR(__xludf.DUMMYFUNCTION("""COMPUTED_VALUE"""),"臺中市私立弘文高級中學附設國中部")</f>
        <v>臺中市私立弘文高級中學附設國中部</v>
      </c>
      <c r="F1862" s="14" t="str">
        <f>IFERROR(__xludf.DUMMYFUNCTION("""COMPUTED_VALUE"""),"八年級")</f>
        <v>八年級</v>
      </c>
      <c r="G1862" s="14" t="str">
        <f>IFERROR(__xludf.DUMMYFUNCTION("""COMPUTED_VALUE"""),"●小禮物")</f>
        <v>●小禮物</v>
      </c>
      <c r="H1862" s="8"/>
    </row>
    <row r="1863">
      <c r="A1863" s="18"/>
      <c r="B1863" s="14">
        <f>IFERROR(__xludf.DUMMYFUNCTION("""COMPUTED_VALUE"""),1148052.0)</f>
        <v>1148052</v>
      </c>
      <c r="C1863" s="14" t="str">
        <f>IFERROR(__xludf.DUMMYFUNCTION("""COMPUTED_VALUE"""),"溫偉廷")</f>
        <v>溫偉廷</v>
      </c>
      <c r="D1863" s="16" t="str">
        <f>IFERROR(__xludf.DUMMYFUNCTION("""COMPUTED_VALUE"""),"111*****ivyjhs.tc.edu.tw")</f>
        <v>111*****ivyjhs.tc.edu.tw</v>
      </c>
      <c r="E1863" s="17" t="str">
        <f>IFERROR(__xludf.DUMMYFUNCTION("""COMPUTED_VALUE"""),"常春藤學校財團法人臺中市常春藤高級中學附設國中部")</f>
        <v>常春藤學校財團法人臺中市常春藤高級中學附設國中部</v>
      </c>
      <c r="F1863" s="14" t="str">
        <f>IFERROR(__xludf.DUMMYFUNCTION("""COMPUTED_VALUE"""),"七年級")</f>
        <v>七年級</v>
      </c>
      <c r="G1863" s="14" t="str">
        <f>IFERROR(__xludf.DUMMYFUNCTION("""COMPUTED_VALUE"""),"●小禮物")</f>
        <v>●小禮物</v>
      </c>
      <c r="H1863" s="8"/>
    </row>
    <row r="1864">
      <c r="A1864" s="18"/>
      <c r="B1864" s="14">
        <f>IFERROR(__xludf.DUMMYFUNCTION("""COMPUTED_VALUE"""),1186570.0)</f>
        <v>1186570</v>
      </c>
      <c r="C1864" s="14" t="str">
        <f>IFERROR(__xludf.DUMMYFUNCTION("""COMPUTED_VALUE"""),"李安渝")</f>
        <v>李安渝</v>
      </c>
      <c r="D1864" s="16" t="str">
        <f>IFERROR(__xludf.DUMMYFUNCTION("""COMPUTED_VALUE"""),"kuk*****ie88@yahoo.com.tw")</f>
        <v>kuk*****ie88@yahoo.com.tw</v>
      </c>
      <c r="E1864" s="17" t="str">
        <f>IFERROR(__xludf.DUMMYFUNCTION("""COMPUTED_VALUE"""),"常春藤學校財團法人臺中市常春藤高級中學附設國中部")</f>
        <v>常春藤學校財團法人臺中市常春藤高級中學附設國中部</v>
      </c>
      <c r="F1864" s="14" t="str">
        <f>IFERROR(__xludf.DUMMYFUNCTION("""COMPUTED_VALUE"""),"七年級")</f>
        <v>七年級</v>
      </c>
      <c r="G1864" s="14" t="str">
        <f>IFERROR(__xludf.DUMMYFUNCTION("""COMPUTED_VALUE"""),"獎狀")</f>
        <v>獎狀</v>
      </c>
      <c r="H1864" s="8"/>
    </row>
    <row r="1865">
      <c r="A1865" s="18"/>
      <c r="B1865" s="14">
        <f>IFERROR(__xludf.DUMMYFUNCTION("""COMPUTED_VALUE"""),1148055.0)</f>
        <v>1148055</v>
      </c>
      <c r="C1865" s="14" t="str">
        <f>IFERROR(__xludf.DUMMYFUNCTION("""COMPUTED_VALUE"""),"張祐銓")</f>
        <v>張祐銓</v>
      </c>
      <c r="D1865" s="16" t="str">
        <f>IFERROR(__xludf.DUMMYFUNCTION("""COMPUTED_VALUE"""),"111*****ivyjhs.tc.edu.tw")</f>
        <v>111*****ivyjhs.tc.edu.tw</v>
      </c>
      <c r="E1865" s="17" t="str">
        <f>IFERROR(__xludf.DUMMYFUNCTION("""COMPUTED_VALUE"""),"常春藤學校財團法人臺中市常春藤高級中學附設國中部")</f>
        <v>常春藤學校財團法人臺中市常春藤高級中學附設國中部</v>
      </c>
      <c r="F1865" s="14" t="str">
        <f>IFERROR(__xludf.DUMMYFUNCTION("""COMPUTED_VALUE"""),"七年級")</f>
        <v>七年級</v>
      </c>
      <c r="G1865" s="14" t="str">
        <f>IFERROR(__xludf.DUMMYFUNCTION("""COMPUTED_VALUE"""),"獎狀")</f>
        <v>獎狀</v>
      </c>
      <c r="H1865" s="8"/>
    </row>
    <row r="1866">
      <c r="A1866" s="18"/>
      <c r="B1866" s="14">
        <f>IFERROR(__xludf.DUMMYFUNCTION("""COMPUTED_VALUE"""),792555.0)</f>
        <v>792555</v>
      </c>
      <c r="C1866" s="14" t="str">
        <f>IFERROR(__xludf.DUMMYFUNCTION("""COMPUTED_VALUE"""),"張培恩")</f>
        <v>張培恩</v>
      </c>
      <c r="D1866" s="16" t="str">
        <f>IFERROR(__xludf.DUMMYFUNCTION("""COMPUTED_VALUE"""),"pay*****01@gmail.com")</f>
        <v>pay*****01@gmail.com</v>
      </c>
      <c r="E1866" s="17" t="str">
        <f>IFERROR(__xludf.DUMMYFUNCTION("""COMPUTED_VALUE"""),"常春藤學校財團法人臺中市常春藤高級中學附設國中部")</f>
        <v>常春藤學校財團法人臺中市常春藤高級中學附設國中部</v>
      </c>
      <c r="F1866" s="14" t="str">
        <f>IFERROR(__xludf.DUMMYFUNCTION("""COMPUTED_VALUE"""),"八年級")</f>
        <v>八年級</v>
      </c>
      <c r="G1866" s="14" t="str">
        <f>IFERROR(__xludf.DUMMYFUNCTION("""COMPUTED_VALUE"""),"●小禮物")</f>
        <v>●小禮物</v>
      </c>
      <c r="H1866" s="8"/>
    </row>
    <row r="1867">
      <c r="A1867" s="18"/>
      <c r="B1867" s="14">
        <f>IFERROR(__xludf.DUMMYFUNCTION("""COMPUTED_VALUE"""),70643.0)</f>
        <v>70643</v>
      </c>
      <c r="C1867" s="14" t="str">
        <f>IFERROR(__xludf.DUMMYFUNCTION("""COMPUTED_VALUE"""),"何禹寬")</f>
        <v>何禹寬</v>
      </c>
      <c r="D1867" s="16" t="str">
        <f>IFERROR(__xludf.DUMMYFUNCTION("""COMPUTED_VALUE"""),"e83*****@ms1.url.com.tw")</f>
        <v>e83*****@ms1.url.com.tw</v>
      </c>
      <c r="E1867" s="17" t="str">
        <f>IFERROR(__xludf.DUMMYFUNCTION("""COMPUTED_VALUE"""),"國立中科實驗高級中學附設國中部")</f>
        <v>國立中科實驗高級中學附設國中部</v>
      </c>
      <c r="F1867" s="14" t="str">
        <f>IFERROR(__xludf.DUMMYFUNCTION("""COMPUTED_VALUE"""),"七年級")</f>
        <v>七年級</v>
      </c>
      <c r="G1867" s="14" t="str">
        <f>IFERROR(__xludf.DUMMYFUNCTION("""COMPUTED_VALUE"""),"獎狀")</f>
        <v>獎狀</v>
      </c>
      <c r="H1867" s="8"/>
    </row>
    <row r="1868">
      <c r="A1868" s="18"/>
      <c r="B1868" s="14">
        <f>IFERROR(__xludf.DUMMYFUNCTION("""COMPUTED_VALUE"""),1180175.0)</f>
        <v>1180175</v>
      </c>
      <c r="C1868" s="14" t="str">
        <f>IFERROR(__xludf.DUMMYFUNCTION("""COMPUTED_VALUE"""),"林竫軒")</f>
        <v>林竫軒</v>
      </c>
      <c r="D1868" s="16" t="str">
        <f>IFERROR(__xludf.DUMMYFUNCTION("""COMPUTED_VALUE"""),"tme*****86@mail.edu.tw")</f>
        <v>tme*****86@mail.edu.tw</v>
      </c>
      <c r="E1868" s="17" t="str">
        <f>IFERROR(__xludf.DUMMYFUNCTION("""COMPUTED_VALUE"""),"臺中市立大雅國民中學")</f>
        <v>臺中市立大雅國民中學</v>
      </c>
      <c r="F1868" s="14" t="str">
        <f>IFERROR(__xludf.DUMMYFUNCTION("""COMPUTED_VALUE"""),"九年級")</f>
        <v>九年級</v>
      </c>
      <c r="G1868" s="14" t="str">
        <f>IFERROR(__xludf.DUMMYFUNCTION("""COMPUTED_VALUE"""),"獎狀")</f>
        <v>獎狀</v>
      </c>
      <c r="H1868" s="8"/>
    </row>
    <row r="1869">
      <c r="A1869" s="18"/>
      <c r="B1869" s="14">
        <f>IFERROR(__xludf.DUMMYFUNCTION("""COMPUTED_VALUE"""),721801.0)</f>
        <v>721801</v>
      </c>
      <c r="C1869" s="14" t="str">
        <f>IFERROR(__xludf.DUMMYFUNCTION("""COMPUTED_VALUE"""),"趙英堤")</f>
        <v>趙英堤</v>
      </c>
      <c r="D1869" s="16" t="str">
        <f>IFERROR(__xludf.DUMMYFUNCTION("""COMPUTED_VALUE"""),"409*****t.tc.edu.tw")</f>
        <v>409*****t.tc.edu.tw</v>
      </c>
      <c r="E1869" s="17" t="str">
        <f>IFERROR(__xludf.DUMMYFUNCTION("""COMPUTED_VALUE"""),"臺中市立大道國民中學")</f>
        <v>臺中市立大道國民中學</v>
      </c>
      <c r="F1869" s="14" t="str">
        <f>IFERROR(__xludf.DUMMYFUNCTION("""COMPUTED_VALUE"""),"八年級")</f>
        <v>八年級</v>
      </c>
      <c r="G1869" s="14" t="str">
        <f>IFERROR(__xludf.DUMMYFUNCTION("""COMPUTED_VALUE"""),"●小禮物")</f>
        <v>●小禮物</v>
      </c>
      <c r="H1869" s="8"/>
    </row>
    <row r="1870">
      <c r="A1870" s="18"/>
      <c r="B1870" s="14">
        <f>IFERROR(__xludf.DUMMYFUNCTION("""COMPUTED_VALUE"""),248556.0)</f>
        <v>248556</v>
      </c>
      <c r="C1870" s="14" t="str">
        <f>IFERROR(__xludf.DUMMYFUNCTION("""COMPUTED_VALUE"""),"趙英智")</f>
        <v>趙英智</v>
      </c>
      <c r="D1870" s="16" t="str">
        <f>IFERROR(__xludf.DUMMYFUNCTION("""COMPUTED_VALUE"""),"tc.*****0388@mail.edu.tw")</f>
        <v>tc.*****0388@mail.edu.tw</v>
      </c>
      <c r="E1870" s="17" t="str">
        <f>IFERROR(__xludf.DUMMYFUNCTION("""COMPUTED_VALUE"""),"臺中市立大道國民中學")</f>
        <v>臺中市立大道國民中學</v>
      </c>
      <c r="F1870" s="14" t="str">
        <f>IFERROR(__xludf.DUMMYFUNCTION("""COMPUTED_VALUE"""),"八年級")</f>
        <v>八年級</v>
      </c>
      <c r="G1870" s="14" t="str">
        <f>IFERROR(__xludf.DUMMYFUNCTION("""COMPUTED_VALUE"""),"獎狀")</f>
        <v>獎狀</v>
      </c>
      <c r="H1870" s="8"/>
    </row>
    <row r="1871">
      <c r="A1871" s="18"/>
      <c r="B1871" s="14">
        <f>IFERROR(__xludf.DUMMYFUNCTION("""COMPUTED_VALUE"""),119292.0)</f>
        <v>119292</v>
      </c>
      <c r="C1871" s="14" t="str">
        <f>IFERROR(__xludf.DUMMYFUNCTION("""COMPUTED_VALUE"""),"吳冠岑")</f>
        <v>吳冠岑</v>
      </c>
      <c r="D1871" s="16" t="str">
        <f>IFERROR(__xludf.DUMMYFUNCTION("""COMPUTED_VALUE"""),"gua*****306@gmail.com")</f>
        <v>gua*****306@gmail.com</v>
      </c>
      <c r="E1871" s="17" t="str">
        <f>IFERROR(__xludf.DUMMYFUNCTION("""COMPUTED_VALUE"""),"臺中市立沙鹿國民中學")</f>
        <v>臺中市立沙鹿國民中學</v>
      </c>
      <c r="F1871" s="14" t="str">
        <f>IFERROR(__xludf.DUMMYFUNCTION("""COMPUTED_VALUE"""),"七年級")</f>
        <v>七年級</v>
      </c>
      <c r="G1871" s="14" t="str">
        <f>IFERROR(__xludf.DUMMYFUNCTION("""COMPUTED_VALUE"""),"●小禮物")</f>
        <v>●小禮物</v>
      </c>
      <c r="H1871" s="8"/>
    </row>
    <row r="1872">
      <c r="A1872" s="18"/>
      <c r="B1872" s="14">
        <f>IFERROR(__xludf.DUMMYFUNCTION("""COMPUTED_VALUE"""),174968.0)</f>
        <v>174968</v>
      </c>
      <c r="C1872" s="14" t="str">
        <f>IFERROR(__xludf.DUMMYFUNCTION("""COMPUTED_VALUE"""),"黃筱筠")</f>
        <v>黃筱筠</v>
      </c>
      <c r="D1872" s="16" t="str">
        <f>IFERROR(__xludf.DUMMYFUNCTION("""COMPUTED_VALUE"""),"hua*****7@mail.edu.tw")</f>
        <v>hua*****7@mail.edu.tw</v>
      </c>
      <c r="E1872" s="17" t="str">
        <f>IFERROR(__xludf.DUMMYFUNCTION("""COMPUTED_VALUE"""),"臺中市立沙鹿國民中學")</f>
        <v>臺中市立沙鹿國民中學</v>
      </c>
      <c r="F1872" s="14" t="str">
        <f>IFERROR(__xludf.DUMMYFUNCTION("""COMPUTED_VALUE"""),"八年級")</f>
        <v>八年級</v>
      </c>
      <c r="G1872" s="14" t="str">
        <f>IFERROR(__xludf.DUMMYFUNCTION("""COMPUTED_VALUE"""),"●小禮物")</f>
        <v>●小禮物</v>
      </c>
      <c r="H1872" s="8"/>
    </row>
    <row r="1873">
      <c r="A1873" s="18"/>
      <c r="B1873" s="14">
        <f>IFERROR(__xludf.DUMMYFUNCTION("""COMPUTED_VALUE"""),1159189.0)</f>
        <v>1159189</v>
      </c>
      <c r="C1873" s="14" t="str">
        <f>IFERROR(__xludf.DUMMYFUNCTION("""COMPUTED_VALUE"""),"孔繁鈗")</f>
        <v>孔繁鈗</v>
      </c>
      <c r="D1873" s="16" t="str">
        <f>IFERROR(__xludf.DUMMYFUNCTION("""COMPUTED_VALUE"""),"eas*****g0401@mail.edu.tw")</f>
        <v>eas*****g0401@mail.edu.tw</v>
      </c>
      <c r="E1873" s="17" t="str">
        <f>IFERROR(__xludf.DUMMYFUNCTION("""COMPUTED_VALUE"""),"臺中市立公明國民中學")</f>
        <v>臺中市立公明國民中學</v>
      </c>
      <c r="F1873" s="14" t="str">
        <f>IFERROR(__xludf.DUMMYFUNCTION("""COMPUTED_VALUE"""),"七年級")</f>
        <v>七年級</v>
      </c>
      <c r="G1873" s="14" t="str">
        <f>IFERROR(__xludf.DUMMYFUNCTION("""COMPUTED_VALUE"""),"獎狀")</f>
        <v>獎狀</v>
      </c>
      <c r="H1873" s="8"/>
    </row>
    <row r="1874">
      <c r="A1874" s="18"/>
      <c r="B1874" s="14">
        <f>IFERROR(__xludf.DUMMYFUNCTION("""COMPUTED_VALUE"""),822731.0)</f>
        <v>822731</v>
      </c>
      <c r="C1874" s="14" t="str">
        <f>IFERROR(__xludf.DUMMYFUNCTION("""COMPUTED_VALUE"""),"黃鈴婷")</f>
        <v>黃鈴婷</v>
      </c>
      <c r="D1874" s="16" t="str">
        <f>IFERROR(__xludf.DUMMYFUNCTION("""COMPUTED_VALUE"""),"nin*****@mail.edu.tw")</f>
        <v>nin*****@mail.edu.tw</v>
      </c>
      <c r="E1874" s="17" t="str">
        <f>IFERROR(__xludf.DUMMYFUNCTION("""COMPUTED_VALUE"""),"臺中市立公明國民中學")</f>
        <v>臺中市立公明國民中學</v>
      </c>
      <c r="F1874" s="14" t="str">
        <f>IFERROR(__xludf.DUMMYFUNCTION("""COMPUTED_VALUE"""),"九年級")</f>
        <v>九年級</v>
      </c>
      <c r="G1874" s="14" t="str">
        <f>IFERROR(__xludf.DUMMYFUNCTION("""COMPUTED_VALUE"""),"獎狀")</f>
        <v>獎狀</v>
      </c>
      <c r="H1874" s="8"/>
    </row>
    <row r="1875">
      <c r="A1875" s="18"/>
      <c r="B1875" s="14">
        <f>IFERROR(__xludf.DUMMYFUNCTION("""COMPUTED_VALUE"""),523532.0)</f>
        <v>523532</v>
      </c>
      <c r="C1875" s="14" t="str">
        <f>IFERROR(__xludf.DUMMYFUNCTION("""COMPUTED_VALUE"""),"陳莉甄")</f>
        <v>陳莉甄</v>
      </c>
      <c r="D1875" s="16" t="str">
        <f>IFERROR(__xludf.DUMMYFUNCTION("""COMPUTED_VALUE"""),"lil*****08@mail.edu.tw")</f>
        <v>lil*****08@mail.edu.tw</v>
      </c>
      <c r="E1875" s="17" t="str">
        <f>IFERROR(__xludf.DUMMYFUNCTION("""COMPUTED_VALUE"""),"臺中市立公明國民中學")</f>
        <v>臺中市立公明國民中學</v>
      </c>
      <c r="F1875" s="14" t="str">
        <f>IFERROR(__xludf.DUMMYFUNCTION("""COMPUTED_VALUE"""),"九年級")</f>
        <v>九年級</v>
      </c>
      <c r="G1875" s="14" t="str">
        <f>IFERROR(__xludf.DUMMYFUNCTION("""COMPUTED_VALUE"""),"●小禮物")</f>
        <v>●小禮物</v>
      </c>
      <c r="H1875" s="8"/>
    </row>
    <row r="1876">
      <c r="A1876" s="18"/>
      <c r="B1876" s="14">
        <f>IFERROR(__xludf.DUMMYFUNCTION("""COMPUTED_VALUE"""),739333.0)</f>
        <v>739333</v>
      </c>
      <c r="C1876" s="14" t="str">
        <f>IFERROR(__xludf.DUMMYFUNCTION("""COMPUTED_VALUE"""),"蔡宇哲")</f>
        <v>蔡宇哲</v>
      </c>
      <c r="D1876" s="16" t="str">
        <f>IFERROR(__xludf.DUMMYFUNCTION("""COMPUTED_VALUE"""),"309*****t.tc.edu.tw")</f>
        <v>309*****t.tc.edu.tw</v>
      </c>
      <c r="E1876" s="17" t="str">
        <f>IFERROR(__xludf.DUMMYFUNCTION("""COMPUTED_VALUE"""),"臺中市立公明國民中學")</f>
        <v>臺中市立公明國民中學</v>
      </c>
      <c r="F1876" s="14" t="str">
        <f>IFERROR(__xludf.DUMMYFUNCTION("""COMPUTED_VALUE"""),"九年級")</f>
        <v>九年級</v>
      </c>
      <c r="G1876" s="14" t="str">
        <f>IFERROR(__xludf.DUMMYFUNCTION("""COMPUTED_VALUE"""),"●小禮物")</f>
        <v>●小禮物</v>
      </c>
      <c r="H1876" s="8"/>
    </row>
    <row r="1877">
      <c r="A1877" s="18"/>
      <c r="B1877" s="14">
        <f>IFERROR(__xludf.DUMMYFUNCTION("""COMPUTED_VALUE"""),523533.0)</f>
        <v>523533</v>
      </c>
      <c r="C1877" s="14" t="str">
        <f>IFERROR(__xludf.DUMMYFUNCTION("""COMPUTED_VALUE"""),"王筱瑄")</f>
        <v>王筱瑄</v>
      </c>
      <c r="D1877" s="16" t="str">
        <f>IFERROR(__xludf.DUMMYFUNCTION("""COMPUTED_VALUE"""),"mic*****28@mail.edu.tw")</f>
        <v>mic*****28@mail.edu.tw</v>
      </c>
      <c r="E1877" s="17" t="str">
        <f>IFERROR(__xludf.DUMMYFUNCTION("""COMPUTED_VALUE"""),"臺中市立公明國民中學")</f>
        <v>臺中市立公明國民中學</v>
      </c>
      <c r="F1877" s="14" t="str">
        <f>IFERROR(__xludf.DUMMYFUNCTION("""COMPUTED_VALUE"""),"九年級")</f>
        <v>九年級</v>
      </c>
      <c r="G1877" s="14" t="str">
        <f>IFERROR(__xludf.DUMMYFUNCTION("""COMPUTED_VALUE"""),"獎狀")</f>
        <v>獎狀</v>
      </c>
      <c r="H1877" s="8"/>
    </row>
    <row r="1878">
      <c r="A1878" s="18"/>
      <c r="B1878" s="14">
        <f>IFERROR(__xludf.DUMMYFUNCTION("""COMPUTED_VALUE"""),564852.0)</f>
        <v>564852</v>
      </c>
      <c r="C1878" s="14" t="str">
        <f>IFERROR(__xludf.DUMMYFUNCTION("""COMPUTED_VALUE"""),"郭胤采")</f>
        <v>郭胤采</v>
      </c>
      <c r="D1878" s="16" t="str">
        <f>IFERROR(__xludf.DUMMYFUNCTION("""COMPUTED_VALUE"""),"mia*****ail.edu.tw")</f>
        <v>mia*****ail.edu.tw</v>
      </c>
      <c r="E1878" s="17" t="str">
        <f>IFERROR(__xludf.DUMMYFUNCTION("""COMPUTED_VALUE"""),"臺中市立公明國民中學")</f>
        <v>臺中市立公明國民中學</v>
      </c>
      <c r="F1878" s="14" t="str">
        <f>IFERROR(__xludf.DUMMYFUNCTION("""COMPUTED_VALUE"""),"九年級")</f>
        <v>九年級</v>
      </c>
      <c r="G1878" s="14" t="str">
        <f>IFERROR(__xludf.DUMMYFUNCTION("""COMPUTED_VALUE"""),"獎狀")</f>
        <v>獎狀</v>
      </c>
      <c r="H1878" s="8"/>
    </row>
    <row r="1879">
      <c r="A1879" s="18"/>
      <c r="B1879" s="14">
        <f>IFERROR(__xludf.DUMMYFUNCTION("""COMPUTED_VALUE"""),564830.0)</f>
        <v>564830</v>
      </c>
      <c r="C1879" s="14" t="str">
        <f>IFERROR(__xludf.DUMMYFUNCTION("""COMPUTED_VALUE"""),"廖御茗")</f>
        <v>廖御茗</v>
      </c>
      <c r="D1879" s="16" t="str">
        <f>IFERROR(__xludf.DUMMYFUNCTION("""COMPUTED_VALUE"""),"309*****t.tc.edu.tw")</f>
        <v>309*****t.tc.edu.tw</v>
      </c>
      <c r="E1879" s="17" t="str">
        <f>IFERROR(__xludf.DUMMYFUNCTION("""COMPUTED_VALUE"""),"臺中市立公明國民中學")</f>
        <v>臺中市立公明國民中學</v>
      </c>
      <c r="F1879" s="14" t="str">
        <f>IFERROR(__xludf.DUMMYFUNCTION("""COMPUTED_VALUE"""),"九年級")</f>
        <v>九年級</v>
      </c>
      <c r="G1879" s="14" t="str">
        <f>IFERROR(__xludf.DUMMYFUNCTION("""COMPUTED_VALUE"""),"獎狀")</f>
        <v>獎狀</v>
      </c>
      <c r="H1879" s="8"/>
    </row>
    <row r="1880">
      <c r="A1880" s="18"/>
      <c r="B1880" s="14">
        <f>IFERROR(__xludf.DUMMYFUNCTION("""COMPUTED_VALUE"""),564817.0)</f>
        <v>564817</v>
      </c>
      <c r="C1880" s="14" t="str">
        <f>IFERROR(__xludf.DUMMYFUNCTION("""COMPUTED_VALUE"""),"趙文瑜")</f>
        <v>趙文瑜</v>
      </c>
      <c r="D1880" s="16" t="str">
        <f>IFERROR(__xludf.DUMMYFUNCTION("""COMPUTED_VALUE"""),"309*****t.tc.edu.tw")</f>
        <v>309*****t.tc.edu.tw</v>
      </c>
      <c r="E1880" s="17" t="str">
        <f>IFERROR(__xludf.DUMMYFUNCTION("""COMPUTED_VALUE"""),"臺中市立公明國民中學")</f>
        <v>臺中市立公明國民中學</v>
      </c>
      <c r="F1880" s="14" t="str">
        <f>IFERROR(__xludf.DUMMYFUNCTION("""COMPUTED_VALUE"""),"九年級")</f>
        <v>九年級</v>
      </c>
      <c r="G1880" s="14" t="str">
        <f>IFERROR(__xludf.DUMMYFUNCTION("""COMPUTED_VALUE"""),"獎狀")</f>
        <v>獎狀</v>
      </c>
      <c r="H1880" s="8"/>
    </row>
    <row r="1881">
      <c r="A1881" s="18"/>
      <c r="B1881" s="14">
        <f>IFERROR(__xludf.DUMMYFUNCTION("""COMPUTED_VALUE"""),523534.0)</f>
        <v>523534</v>
      </c>
      <c r="C1881" s="14" t="str">
        <f>IFERROR(__xludf.DUMMYFUNCTION("""COMPUTED_VALUE"""),"蔡哲祥")</f>
        <v>蔡哲祥</v>
      </c>
      <c r="D1881" s="16" t="str">
        <f>IFERROR(__xludf.DUMMYFUNCTION("""COMPUTED_VALUE"""),"309*****t.tc.edu.tw")</f>
        <v>309*****t.tc.edu.tw</v>
      </c>
      <c r="E1881" s="17" t="str">
        <f>IFERROR(__xludf.DUMMYFUNCTION("""COMPUTED_VALUE"""),"臺中市立公明國民中學")</f>
        <v>臺中市立公明國民中學</v>
      </c>
      <c r="F1881" s="14" t="str">
        <f>IFERROR(__xludf.DUMMYFUNCTION("""COMPUTED_VALUE"""),"九年級")</f>
        <v>九年級</v>
      </c>
      <c r="G1881" s="14" t="str">
        <f>IFERROR(__xludf.DUMMYFUNCTION("""COMPUTED_VALUE"""),"獎狀")</f>
        <v>獎狀</v>
      </c>
      <c r="H1881" s="8"/>
    </row>
    <row r="1882">
      <c r="A1882" s="18"/>
      <c r="B1882" s="14">
        <f>IFERROR(__xludf.DUMMYFUNCTION("""COMPUTED_VALUE"""),1178455.0)</f>
        <v>1178455</v>
      </c>
      <c r="C1882" s="14" t="str">
        <f>IFERROR(__xludf.DUMMYFUNCTION("""COMPUTED_VALUE"""),"徐苡涵")</f>
        <v>徐苡涵</v>
      </c>
      <c r="D1882" s="16" t="str">
        <f>IFERROR(__xludf.DUMMYFUNCTION("""COMPUTED_VALUE"""),"507*****t.tc.edu.tw")</f>
        <v>507*****t.tc.edu.tw</v>
      </c>
      <c r="E1882" s="17" t="str">
        <f>IFERROR(__xludf.DUMMYFUNCTION("""COMPUTED_VALUE"""),"臺中市立北勢國民中學")</f>
        <v>臺中市立北勢國民中學</v>
      </c>
      <c r="F1882" s="14" t="str">
        <f>IFERROR(__xludf.DUMMYFUNCTION("""COMPUTED_VALUE"""),"七年級")</f>
        <v>七年級</v>
      </c>
      <c r="G1882" s="14" t="str">
        <f>IFERROR(__xludf.DUMMYFUNCTION("""COMPUTED_VALUE"""),"●小禮物")</f>
        <v>●小禮物</v>
      </c>
      <c r="H1882" s="8"/>
    </row>
    <row r="1883">
      <c r="A1883" s="18"/>
      <c r="B1883" s="14">
        <f>IFERROR(__xludf.DUMMYFUNCTION("""COMPUTED_VALUE"""),1178458.0)</f>
        <v>1178458</v>
      </c>
      <c r="C1883" s="14" t="str">
        <f>IFERROR(__xludf.DUMMYFUNCTION("""COMPUTED_VALUE"""),"王元甫")</f>
        <v>王元甫</v>
      </c>
      <c r="D1883" s="16" t="str">
        <f>IFERROR(__xludf.DUMMYFUNCTION("""COMPUTED_VALUE"""),"507*****t.tc.edu.tw")</f>
        <v>507*****t.tc.edu.tw</v>
      </c>
      <c r="E1883" s="17" t="str">
        <f>IFERROR(__xludf.DUMMYFUNCTION("""COMPUTED_VALUE"""),"臺中市立北勢國民中學")</f>
        <v>臺中市立北勢國民中學</v>
      </c>
      <c r="F1883" s="14" t="str">
        <f>IFERROR(__xludf.DUMMYFUNCTION("""COMPUTED_VALUE"""),"七年級")</f>
        <v>七年級</v>
      </c>
      <c r="G1883" s="14" t="str">
        <f>IFERROR(__xludf.DUMMYFUNCTION("""COMPUTED_VALUE"""),"獎狀")</f>
        <v>獎狀</v>
      </c>
      <c r="H1883" s="8"/>
    </row>
    <row r="1884">
      <c r="A1884" s="18"/>
      <c r="B1884" s="14">
        <f>IFERROR(__xludf.DUMMYFUNCTION("""COMPUTED_VALUE"""),1082485.0)</f>
        <v>1082485</v>
      </c>
      <c r="C1884" s="14" t="str">
        <f>IFERROR(__xludf.DUMMYFUNCTION("""COMPUTED_VALUE"""),"陳雋家")</f>
        <v>陳雋家</v>
      </c>
      <c r="D1884" s="16" t="str">
        <f>IFERROR(__xludf.DUMMYFUNCTION("""COMPUTED_VALUE"""),"507*****t.tc.edu.tw")</f>
        <v>507*****t.tc.edu.tw</v>
      </c>
      <c r="E1884" s="17" t="str">
        <f>IFERROR(__xludf.DUMMYFUNCTION("""COMPUTED_VALUE"""),"臺中市立北勢國民中學")</f>
        <v>臺中市立北勢國民中學</v>
      </c>
      <c r="F1884" s="14" t="str">
        <f>IFERROR(__xludf.DUMMYFUNCTION("""COMPUTED_VALUE"""),"七年級")</f>
        <v>七年級</v>
      </c>
      <c r="G1884" s="14" t="str">
        <f>IFERROR(__xludf.DUMMYFUNCTION("""COMPUTED_VALUE"""),"獎狀")</f>
        <v>獎狀</v>
      </c>
      <c r="H1884" s="8"/>
    </row>
    <row r="1885">
      <c r="A1885" s="18"/>
      <c r="B1885" s="14">
        <f>IFERROR(__xludf.DUMMYFUNCTION("""COMPUTED_VALUE"""),375458.0)</f>
        <v>375458</v>
      </c>
      <c r="C1885" s="14" t="str">
        <f>IFERROR(__xludf.DUMMYFUNCTION("""COMPUTED_VALUE"""),"王柏濤")</f>
        <v>王柏濤</v>
      </c>
      <c r="D1885" s="16" t="str">
        <f>IFERROR(__xludf.DUMMYFUNCTION("""COMPUTED_VALUE"""),"508*****t.tc.edu.tw")</f>
        <v>508*****t.tc.edu.tw</v>
      </c>
      <c r="E1885" s="17" t="str">
        <f>IFERROR(__xludf.DUMMYFUNCTION("""COMPUTED_VALUE"""),"臺中市立龍井國民中學")</f>
        <v>臺中市立龍井國民中學</v>
      </c>
      <c r="F1885" s="14" t="str">
        <f>IFERROR(__xludf.DUMMYFUNCTION("""COMPUTED_VALUE"""),"七年級")</f>
        <v>七年級</v>
      </c>
      <c r="G1885" s="14" t="str">
        <f>IFERROR(__xludf.DUMMYFUNCTION("""COMPUTED_VALUE"""),"●小禮物")</f>
        <v>●小禮物</v>
      </c>
      <c r="H1885" s="8"/>
    </row>
    <row r="1886">
      <c r="A1886" s="18"/>
      <c r="B1886" s="14">
        <f>IFERROR(__xludf.DUMMYFUNCTION("""COMPUTED_VALUE"""),367449.0)</f>
        <v>367449</v>
      </c>
      <c r="C1886" s="14" t="str">
        <f>IFERROR(__xludf.DUMMYFUNCTION("""COMPUTED_VALUE"""),"李冠蓁")</f>
        <v>李冠蓁</v>
      </c>
      <c r="D1886" s="16" t="str">
        <f>IFERROR(__xludf.DUMMYFUNCTION("""COMPUTED_VALUE"""),"508*****t.tc.edu.tw")</f>
        <v>508*****t.tc.edu.tw</v>
      </c>
      <c r="E1886" s="17" t="str">
        <f>IFERROR(__xludf.DUMMYFUNCTION("""COMPUTED_VALUE"""),"臺中市立龍井國民中學")</f>
        <v>臺中市立龍井國民中學</v>
      </c>
      <c r="F1886" s="14" t="str">
        <f>IFERROR(__xludf.DUMMYFUNCTION("""COMPUTED_VALUE"""),"七年級")</f>
        <v>七年級</v>
      </c>
      <c r="G1886" s="14" t="str">
        <f>IFERROR(__xludf.DUMMYFUNCTION("""COMPUTED_VALUE"""),"●小禮物")</f>
        <v>●小禮物</v>
      </c>
      <c r="H1886" s="8"/>
    </row>
    <row r="1887">
      <c r="A1887" s="18"/>
      <c r="B1887" s="14">
        <f>IFERROR(__xludf.DUMMYFUNCTION("""COMPUTED_VALUE"""),385348.0)</f>
        <v>385348</v>
      </c>
      <c r="C1887" s="14" t="str">
        <f>IFERROR(__xludf.DUMMYFUNCTION("""COMPUTED_VALUE"""),"李家儀")</f>
        <v>李家儀</v>
      </c>
      <c r="D1887" s="16" t="str">
        <f>IFERROR(__xludf.DUMMYFUNCTION("""COMPUTED_VALUE"""),"508*****t.tc.edu.tw")</f>
        <v>508*****t.tc.edu.tw</v>
      </c>
      <c r="E1887" s="17" t="str">
        <f>IFERROR(__xludf.DUMMYFUNCTION("""COMPUTED_VALUE"""),"臺中市立龍井國民中學")</f>
        <v>臺中市立龍井國民中學</v>
      </c>
      <c r="F1887" s="14" t="str">
        <f>IFERROR(__xludf.DUMMYFUNCTION("""COMPUTED_VALUE"""),"七年級")</f>
        <v>七年級</v>
      </c>
      <c r="G1887" s="14" t="str">
        <f>IFERROR(__xludf.DUMMYFUNCTION("""COMPUTED_VALUE"""),"●小禮物")</f>
        <v>●小禮物</v>
      </c>
      <c r="H1887" s="8"/>
    </row>
    <row r="1888">
      <c r="A1888" s="18"/>
      <c r="B1888" s="14">
        <f>IFERROR(__xludf.DUMMYFUNCTION("""COMPUTED_VALUE"""),1190422.0)</f>
        <v>1190422</v>
      </c>
      <c r="C1888" s="14" t="str">
        <f>IFERROR(__xludf.DUMMYFUNCTION("""COMPUTED_VALUE"""),"林沁芸")</f>
        <v>林沁芸</v>
      </c>
      <c r="D1888" s="16" t="str">
        <f>IFERROR(__xludf.DUMMYFUNCTION("""COMPUTED_VALUE"""),"508*****t.tc.edu.tw")</f>
        <v>508*****t.tc.edu.tw</v>
      </c>
      <c r="E1888" s="17" t="str">
        <f>IFERROR(__xludf.DUMMYFUNCTION("""COMPUTED_VALUE"""),"臺中市立龍井國民中學")</f>
        <v>臺中市立龍井國民中學</v>
      </c>
      <c r="F1888" s="14" t="str">
        <f>IFERROR(__xludf.DUMMYFUNCTION("""COMPUTED_VALUE"""),"七年級")</f>
        <v>七年級</v>
      </c>
      <c r="G1888" s="14" t="str">
        <f>IFERROR(__xludf.DUMMYFUNCTION("""COMPUTED_VALUE"""),"●小禮物")</f>
        <v>●小禮物</v>
      </c>
      <c r="H1888" s="8"/>
    </row>
    <row r="1889">
      <c r="A1889" s="18"/>
      <c r="B1889" s="14">
        <f>IFERROR(__xludf.DUMMYFUNCTION("""COMPUTED_VALUE"""),385209.0)</f>
        <v>385209</v>
      </c>
      <c r="C1889" s="14" t="str">
        <f>IFERROR(__xludf.DUMMYFUNCTION("""COMPUTED_VALUE"""),"林畇蓁")</f>
        <v>林畇蓁</v>
      </c>
      <c r="D1889" s="16" t="str">
        <f>IFERROR(__xludf.DUMMYFUNCTION("""COMPUTED_VALUE"""),"508*****t.tc.edu.tw")</f>
        <v>508*****t.tc.edu.tw</v>
      </c>
      <c r="E1889" s="17" t="str">
        <f>IFERROR(__xludf.DUMMYFUNCTION("""COMPUTED_VALUE"""),"臺中市立龍井國民中學")</f>
        <v>臺中市立龍井國民中學</v>
      </c>
      <c r="F1889" s="14" t="str">
        <f>IFERROR(__xludf.DUMMYFUNCTION("""COMPUTED_VALUE"""),"七年級")</f>
        <v>七年級</v>
      </c>
      <c r="G1889" s="14" t="str">
        <f>IFERROR(__xludf.DUMMYFUNCTION("""COMPUTED_VALUE"""),"●小禮物")</f>
        <v>●小禮物</v>
      </c>
      <c r="H1889" s="8"/>
    </row>
    <row r="1890">
      <c r="A1890" s="18"/>
      <c r="B1890" s="14">
        <f>IFERROR(__xludf.DUMMYFUNCTION("""COMPUTED_VALUE"""),1078511.0)</f>
        <v>1078511</v>
      </c>
      <c r="C1890" s="14" t="str">
        <f>IFERROR(__xludf.DUMMYFUNCTION("""COMPUTED_VALUE"""),"林哲緯")</f>
        <v>林哲緯</v>
      </c>
      <c r="D1890" s="16" t="str">
        <f>IFERROR(__xludf.DUMMYFUNCTION("""COMPUTED_VALUE"""),"507*****t.tc.edu.tw")</f>
        <v>507*****t.tc.edu.tw</v>
      </c>
      <c r="E1890" s="17" t="str">
        <f>IFERROR(__xludf.DUMMYFUNCTION("""COMPUTED_VALUE"""),"臺中市立龍井國民中學")</f>
        <v>臺中市立龍井國民中學</v>
      </c>
      <c r="F1890" s="14" t="str">
        <f>IFERROR(__xludf.DUMMYFUNCTION("""COMPUTED_VALUE"""),"七年級")</f>
        <v>七年級</v>
      </c>
      <c r="G1890" s="14" t="str">
        <f>IFERROR(__xludf.DUMMYFUNCTION("""COMPUTED_VALUE"""),"●小禮物")</f>
        <v>●小禮物</v>
      </c>
      <c r="H1890" s="8"/>
    </row>
    <row r="1891">
      <c r="A1891" s="18"/>
      <c r="B1891" s="14">
        <f>IFERROR(__xludf.DUMMYFUNCTION("""COMPUTED_VALUE"""),367327.0)</f>
        <v>367327</v>
      </c>
      <c r="C1891" s="14" t="str">
        <f>IFERROR(__xludf.DUMMYFUNCTION("""COMPUTED_VALUE"""),"紀翔翎")</f>
        <v>紀翔翎</v>
      </c>
      <c r="D1891" s="16" t="str">
        <f>IFERROR(__xludf.DUMMYFUNCTION("""COMPUTED_VALUE"""),"507*****t.tc.edu.tw")</f>
        <v>507*****t.tc.edu.tw</v>
      </c>
      <c r="E1891" s="17" t="str">
        <f>IFERROR(__xludf.DUMMYFUNCTION("""COMPUTED_VALUE"""),"臺中市立龍井國民中學")</f>
        <v>臺中市立龍井國民中學</v>
      </c>
      <c r="F1891" s="14" t="str">
        <f>IFERROR(__xludf.DUMMYFUNCTION("""COMPUTED_VALUE"""),"七年級")</f>
        <v>七年級</v>
      </c>
      <c r="G1891" s="14" t="str">
        <f>IFERROR(__xludf.DUMMYFUNCTION("""COMPUTED_VALUE"""),"●小禮物")</f>
        <v>●小禮物</v>
      </c>
      <c r="H1891" s="8"/>
    </row>
    <row r="1892">
      <c r="A1892" s="18"/>
      <c r="B1892" s="14">
        <f>IFERROR(__xludf.DUMMYFUNCTION("""COMPUTED_VALUE"""),367336.0)</f>
        <v>367336</v>
      </c>
      <c r="C1892" s="14" t="str">
        <f>IFERROR(__xludf.DUMMYFUNCTION("""COMPUTED_VALUE"""),"張淮碩")</f>
        <v>張淮碩</v>
      </c>
      <c r="D1892" s="16" t="str">
        <f>IFERROR(__xludf.DUMMYFUNCTION("""COMPUTED_VALUE"""),"508*****t.tc.edu.tw")</f>
        <v>508*****t.tc.edu.tw</v>
      </c>
      <c r="E1892" s="17" t="str">
        <f>IFERROR(__xludf.DUMMYFUNCTION("""COMPUTED_VALUE"""),"臺中市立龍井國民中學")</f>
        <v>臺中市立龍井國民中學</v>
      </c>
      <c r="F1892" s="14" t="str">
        <f>IFERROR(__xludf.DUMMYFUNCTION("""COMPUTED_VALUE"""),"七年級")</f>
        <v>七年級</v>
      </c>
      <c r="G1892" s="14" t="str">
        <f>IFERROR(__xludf.DUMMYFUNCTION("""COMPUTED_VALUE"""),"●小禮物")</f>
        <v>●小禮物</v>
      </c>
      <c r="H1892" s="8"/>
    </row>
    <row r="1893">
      <c r="A1893" s="18"/>
      <c r="B1893" s="14">
        <f>IFERROR(__xludf.DUMMYFUNCTION("""COMPUTED_VALUE"""),367005.0)</f>
        <v>367005</v>
      </c>
      <c r="C1893" s="14" t="str">
        <f>IFERROR(__xludf.DUMMYFUNCTION("""COMPUTED_VALUE"""),"張湘楹")</f>
        <v>張湘楹</v>
      </c>
      <c r="D1893" s="16" t="str">
        <f>IFERROR(__xludf.DUMMYFUNCTION("""COMPUTED_VALUE"""),"508*****t.tc.edu.tw")</f>
        <v>508*****t.tc.edu.tw</v>
      </c>
      <c r="E1893" s="17" t="str">
        <f>IFERROR(__xludf.DUMMYFUNCTION("""COMPUTED_VALUE"""),"臺中市立龍井國民中學")</f>
        <v>臺中市立龍井國民中學</v>
      </c>
      <c r="F1893" s="14" t="str">
        <f>IFERROR(__xludf.DUMMYFUNCTION("""COMPUTED_VALUE"""),"七年級")</f>
        <v>七年級</v>
      </c>
      <c r="G1893" s="14" t="str">
        <f>IFERROR(__xludf.DUMMYFUNCTION("""COMPUTED_VALUE"""),"●小禮物")</f>
        <v>●小禮物</v>
      </c>
      <c r="H1893" s="8"/>
    </row>
    <row r="1894">
      <c r="A1894" s="18"/>
      <c r="B1894" s="14">
        <f>IFERROR(__xludf.DUMMYFUNCTION("""COMPUTED_VALUE"""),1078876.0)</f>
        <v>1078876</v>
      </c>
      <c r="C1894" s="14" t="str">
        <f>IFERROR(__xludf.DUMMYFUNCTION("""COMPUTED_VALUE"""),"陳芋阡")</f>
        <v>陳芋阡</v>
      </c>
      <c r="D1894" s="16" t="str">
        <f>IFERROR(__xludf.DUMMYFUNCTION("""COMPUTED_VALUE"""),"507*****t.tc.edu.tw")</f>
        <v>507*****t.tc.edu.tw</v>
      </c>
      <c r="E1894" s="17" t="str">
        <f>IFERROR(__xludf.DUMMYFUNCTION("""COMPUTED_VALUE"""),"臺中市立龍井國民中學")</f>
        <v>臺中市立龍井國民中學</v>
      </c>
      <c r="F1894" s="14" t="str">
        <f>IFERROR(__xludf.DUMMYFUNCTION("""COMPUTED_VALUE"""),"七年級")</f>
        <v>七年級</v>
      </c>
      <c r="G1894" s="14" t="str">
        <f>IFERROR(__xludf.DUMMYFUNCTION("""COMPUTED_VALUE"""),"●小禮物")</f>
        <v>●小禮物</v>
      </c>
      <c r="H1894" s="8"/>
    </row>
    <row r="1895">
      <c r="A1895" s="18"/>
      <c r="B1895" s="14">
        <f>IFERROR(__xludf.DUMMYFUNCTION("""COMPUTED_VALUE"""),1079059.0)</f>
        <v>1079059</v>
      </c>
      <c r="C1895" s="14" t="str">
        <f>IFERROR(__xludf.DUMMYFUNCTION("""COMPUTED_VALUE"""),"陳則鈞")</f>
        <v>陳則鈞</v>
      </c>
      <c r="D1895" s="16" t="str">
        <f>IFERROR(__xludf.DUMMYFUNCTION("""COMPUTED_VALUE"""),"507*****t.tc.edu.tw")</f>
        <v>507*****t.tc.edu.tw</v>
      </c>
      <c r="E1895" s="17" t="str">
        <f>IFERROR(__xludf.DUMMYFUNCTION("""COMPUTED_VALUE"""),"臺中市立龍井國民中學")</f>
        <v>臺中市立龍井國民中學</v>
      </c>
      <c r="F1895" s="14" t="str">
        <f>IFERROR(__xludf.DUMMYFUNCTION("""COMPUTED_VALUE"""),"七年級")</f>
        <v>七年級</v>
      </c>
      <c r="G1895" s="14" t="str">
        <f>IFERROR(__xludf.DUMMYFUNCTION("""COMPUTED_VALUE"""),"●小禮物")</f>
        <v>●小禮物</v>
      </c>
      <c r="H1895" s="8"/>
    </row>
    <row r="1896">
      <c r="A1896" s="18"/>
      <c r="B1896" s="14">
        <f>IFERROR(__xludf.DUMMYFUNCTION("""COMPUTED_VALUE"""),1190425.0)</f>
        <v>1190425</v>
      </c>
      <c r="C1896" s="14" t="str">
        <f>IFERROR(__xludf.DUMMYFUNCTION("""COMPUTED_VALUE"""),"陳奕嘉")</f>
        <v>陳奕嘉</v>
      </c>
      <c r="D1896" s="16" t="str">
        <f>IFERROR(__xludf.DUMMYFUNCTION("""COMPUTED_VALUE"""),"507*****t.tc.edu.tw")</f>
        <v>507*****t.tc.edu.tw</v>
      </c>
      <c r="E1896" s="17" t="str">
        <f>IFERROR(__xludf.DUMMYFUNCTION("""COMPUTED_VALUE"""),"臺中市立龍井國民中學")</f>
        <v>臺中市立龍井國民中學</v>
      </c>
      <c r="F1896" s="14" t="str">
        <f>IFERROR(__xludf.DUMMYFUNCTION("""COMPUTED_VALUE"""),"七年級")</f>
        <v>七年級</v>
      </c>
      <c r="G1896" s="14" t="str">
        <f>IFERROR(__xludf.DUMMYFUNCTION("""COMPUTED_VALUE"""),"●小禮物")</f>
        <v>●小禮物</v>
      </c>
      <c r="H1896" s="8"/>
    </row>
    <row r="1897">
      <c r="A1897" s="18"/>
      <c r="B1897" s="14">
        <f>IFERROR(__xludf.DUMMYFUNCTION("""COMPUTED_VALUE"""),385221.0)</f>
        <v>385221</v>
      </c>
      <c r="C1897" s="14" t="str">
        <f>IFERROR(__xludf.DUMMYFUNCTION("""COMPUTED_VALUE"""),"黃宥達")</f>
        <v>黃宥達</v>
      </c>
      <c r="D1897" s="16" t="str">
        <f>IFERROR(__xludf.DUMMYFUNCTION("""COMPUTED_VALUE"""),"508*****t.tc.edu.tw")</f>
        <v>508*****t.tc.edu.tw</v>
      </c>
      <c r="E1897" s="17" t="str">
        <f>IFERROR(__xludf.DUMMYFUNCTION("""COMPUTED_VALUE"""),"臺中市立龍井國民中學")</f>
        <v>臺中市立龍井國民中學</v>
      </c>
      <c r="F1897" s="14" t="str">
        <f>IFERROR(__xludf.DUMMYFUNCTION("""COMPUTED_VALUE"""),"七年級")</f>
        <v>七年級</v>
      </c>
      <c r="G1897" s="14" t="str">
        <f>IFERROR(__xludf.DUMMYFUNCTION("""COMPUTED_VALUE"""),"●小禮物")</f>
        <v>●小禮物</v>
      </c>
      <c r="H1897" s="8"/>
    </row>
    <row r="1898">
      <c r="A1898" s="18"/>
      <c r="B1898" s="14">
        <f>IFERROR(__xludf.DUMMYFUNCTION("""COMPUTED_VALUE"""),375471.0)</f>
        <v>375471</v>
      </c>
      <c r="C1898" s="14" t="str">
        <f>IFERROR(__xludf.DUMMYFUNCTION("""COMPUTED_VALUE"""),"潘承育")</f>
        <v>潘承育</v>
      </c>
      <c r="D1898" s="16" t="str">
        <f>IFERROR(__xludf.DUMMYFUNCTION("""COMPUTED_VALUE"""),"508*****t.tc.edu.tw")</f>
        <v>508*****t.tc.edu.tw</v>
      </c>
      <c r="E1898" s="17" t="str">
        <f>IFERROR(__xludf.DUMMYFUNCTION("""COMPUTED_VALUE"""),"臺中市立龍井國民中學")</f>
        <v>臺中市立龍井國民中學</v>
      </c>
      <c r="F1898" s="14" t="str">
        <f>IFERROR(__xludf.DUMMYFUNCTION("""COMPUTED_VALUE"""),"七年級")</f>
        <v>七年級</v>
      </c>
      <c r="G1898" s="14" t="str">
        <f>IFERROR(__xludf.DUMMYFUNCTION("""COMPUTED_VALUE"""),"●小禮物")</f>
        <v>●小禮物</v>
      </c>
      <c r="H1898" s="8"/>
    </row>
    <row r="1899">
      <c r="A1899" s="18"/>
      <c r="B1899" s="14">
        <f>IFERROR(__xludf.DUMMYFUNCTION("""COMPUTED_VALUE"""),1190427.0)</f>
        <v>1190427</v>
      </c>
      <c r="C1899" s="14" t="str">
        <f>IFERROR(__xludf.DUMMYFUNCTION("""COMPUTED_VALUE"""),"賴欽弘")</f>
        <v>賴欽弘</v>
      </c>
      <c r="D1899" s="16" t="str">
        <f>IFERROR(__xludf.DUMMYFUNCTION("""COMPUTED_VALUE"""),"509*****t.tc.edu.tw")</f>
        <v>509*****t.tc.edu.tw</v>
      </c>
      <c r="E1899" s="17" t="str">
        <f>IFERROR(__xludf.DUMMYFUNCTION("""COMPUTED_VALUE"""),"臺中市立龍井國民中學")</f>
        <v>臺中市立龍井國民中學</v>
      </c>
      <c r="F1899" s="14" t="str">
        <f>IFERROR(__xludf.DUMMYFUNCTION("""COMPUTED_VALUE"""),"七年級")</f>
        <v>七年級</v>
      </c>
      <c r="G1899" s="14" t="str">
        <f>IFERROR(__xludf.DUMMYFUNCTION("""COMPUTED_VALUE"""),"●小禮物")</f>
        <v>●小禮物</v>
      </c>
      <c r="H1899" s="8"/>
    </row>
    <row r="1900">
      <c r="A1900" s="18"/>
      <c r="B1900" s="14">
        <f>IFERROR(__xludf.DUMMYFUNCTION("""COMPUTED_VALUE"""),1190423.0)</f>
        <v>1190423</v>
      </c>
      <c r="C1900" s="14" t="str">
        <f>IFERROR(__xludf.DUMMYFUNCTION("""COMPUTED_VALUE"""),"林冠婷")</f>
        <v>林冠婷</v>
      </c>
      <c r="D1900" s="16" t="str">
        <f>IFERROR(__xludf.DUMMYFUNCTION("""COMPUTED_VALUE"""),"508*****t.tc.edu.tw")</f>
        <v>508*****t.tc.edu.tw</v>
      </c>
      <c r="E1900" s="17" t="str">
        <f>IFERROR(__xludf.DUMMYFUNCTION("""COMPUTED_VALUE"""),"臺中市立龍井國民中學")</f>
        <v>臺中市立龍井國民中學</v>
      </c>
      <c r="F1900" s="14" t="str">
        <f>IFERROR(__xludf.DUMMYFUNCTION("""COMPUTED_VALUE"""),"七年級")</f>
        <v>七年級</v>
      </c>
      <c r="G1900" s="14" t="str">
        <f>IFERROR(__xludf.DUMMYFUNCTION("""COMPUTED_VALUE"""),"獎狀")</f>
        <v>獎狀</v>
      </c>
      <c r="H1900" s="8"/>
    </row>
    <row r="1901">
      <c r="A1901" s="18"/>
      <c r="B1901" s="14">
        <f>IFERROR(__xludf.DUMMYFUNCTION("""COMPUTED_VALUE"""),366984.0)</f>
        <v>366984</v>
      </c>
      <c r="C1901" s="14" t="str">
        <f>IFERROR(__xludf.DUMMYFUNCTION("""COMPUTED_VALUE"""),"紀宏蒝")</f>
        <v>紀宏蒝</v>
      </c>
      <c r="D1901" s="16" t="str">
        <f>IFERROR(__xludf.DUMMYFUNCTION("""COMPUTED_VALUE"""),"508*****t.tc.edu.tw")</f>
        <v>508*****t.tc.edu.tw</v>
      </c>
      <c r="E1901" s="17" t="str">
        <f>IFERROR(__xludf.DUMMYFUNCTION("""COMPUTED_VALUE"""),"臺中市立龍井國民中學")</f>
        <v>臺中市立龍井國民中學</v>
      </c>
      <c r="F1901" s="14" t="str">
        <f>IFERROR(__xludf.DUMMYFUNCTION("""COMPUTED_VALUE"""),"七年級")</f>
        <v>七年級</v>
      </c>
      <c r="G1901" s="14" t="str">
        <f>IFERROR(__xludf.DUMMYFUNCTION("""COMPUTED_VALUE"""),"獎狀")</f>
        <v>獎狀</v>
      </c>
      <c r="H1901" s="8"/>
    </row>
    <row r="1902">
      <c r="A1902" s="18"/>
      <c r="B1902" s="14">
        <f>IFERROR(__xludf.DUMMYFUNCTION("""COMPUTED_VALUE"""),375467.0)</f>
        <v>375467</v>
      </c>
      <c r="C1902" s="14" t="str">
        <f>IFERROR(__xludf.DUMMYFUNCTION("""COMPUTED_VALUE"""),"范植祥")</f>
        <v>范植祥</v>
      </c>
      <c r="D1902" s="16" t="str">
        <f>IFERROR(__xludf.DUMMYFUNCTION("""COMPUTED_VALUE"""),"507*****t.tc.edu.tw")</f>
        <v>507*****t.tc.edu.tw</v>
      </c>
      <c r="E1902" s="17" t="str">
        <f>IFERROR(__xludf.DUMMYFUNCTION("""COMPUTED_VALUE"""),"臺中市立龍井國民中學")</f>
        <v>臺中市立龍井國民中學</v>
      </c>
      <c r="F1902" s="14" t="str">
        <f>IFERROR(__xludf.DUMMYFUNCTION("""COMPUTED_VALUE"""),"七年級")</f>
        <v>七年級</v>
      </c>
      <c r="G1902" s="14" t="str">
        <f>IFERROR(__xludf.DUMMYFUNCTION("""COMPUTED_VALUE"""),"獎狀")</f>
        <v>獎狀</v>
      </c>
      <c r="H1902" s="8"/>
    </row>
    <row r="1903">
      <c r="A1903" s="18"/>
      <c r="B1903" s="14">
        <f>IFERROR(__xludf.DUMMYFUNCTION("""COMPUTED_VALUE"""),1190424.0)</f>
        <v>1190424</v>
      </c>
      <c r="C1903" s="14" t="str">
        <f>IFERROR(__xludf.DUMMYFUNCTION("""COMPUTED_VALUE"""),"張育綸")</f>
        <v>張育綸</v>
      </c>
      <c r="D1903" s="16" t="str">
        <f>IFERROR(__xludf.DUMMYFUNCTION("""COMPUTED_VALUE"""),"515*****t.tc.edu.tw")</f>
        <v>515*****t.tc.edu.tw</v>
      </c>
      <c r="E1903" s="17" t="str">
        <f>IFERROR(__xludf.DUMMYFUNCTION("""COMPUTED_VALUE"""),"臺中市立龍井國民中學")</f>
        <v>臺中市立龍井國民中學</v>
      </c>
      <c r="F1903" s="14" t="str">
        <f>IFERROR(__xludf.DUMMYFUNCTION("""COMPUTED_VALUE"""),"七年級")</f>
        <v>七年級</v>
      </c>
      <c r="G1903" s="14" t="str">
        <f>IFERROR(__xludf.DUMMYFUNCTION("""COMPUTED_VALUE"""),"獎狀")</f>
        <v>獎狀</v>
      </c>
      <c r="H1903" s="8"/>
    </row>
    <row r="1904">
      <c r="A1904" s="18"/>
      <c r="B1904" s="14">
        <f>IFERROR(__xludf.DUMMYFUNCTION("""COMPUTED_VALUE"""),385333.0)</f>
        <v>385333</v>
      </c>
      <c r="C1904" s="14" t="str">
        <f>IFERROR(__xludf.DUMMYFUNCTION("""COMPUTED_VALUE"""),"陳威崙")</f>
        <v>陳威崙</v>
      </c>
      <c r="D1904" s="16" t="str">
        <f>IFERROR(__xludf.DUMMYFUNCTION("""COMPUTED_VALUE"""),"508*****t.tc.edu.tw")</f>
        <v>508*****t.tc.edu.tw</v>
      </c>
      <c r="E1904" s="17" t="str">
        <f>IFERROR(__xludf.DUMMYFUNCTION("""COMPUTED_VALUE"""),"臺中市立龍井國民中學")</f>
        <v>臺中市立龍井國民中學</v>
      </c>
      <c r="F1904" s="14" t="str">
        <f>IFERROR(__xludf.DUMMYFUNCTION("""COMPUTED_VALUE"""),"七年級")</f>
        <v>七年級</v>
      </c>
      <c r="G1904" s="14" t="str">
        <f>IFERROR(__xludf.DUMMYFUNCTION("""COMPUTED_VALUE"""),"獎狀")</f>
        <v>獎狀</v>
      </c>
      <c r="H1904" s="8"/>
    </row>
    <row r="1905">
      <c r="A1905" s="18"/>
      <c r="B1905" s="14">
        <f>IFERROR(__xludf.DUMMYFUNCTION("""COMPUTED_VALUE"""),1190426.0)</f>
        <v>1190426</v>
      </c>
      <c r="C1905" s="14" t="str">
        <f>IFERROR(__xludf.DUMMYFUNCTION("""COMPUTED_VALUE"""),"陳柏耀")</f>
        <v>陳柏耀</v>
      </c>
      <c r="D1905" s="16" t="str">
        <f>IFERROR(__xludf.DUMMYFUNCTION("""COMPUTED_VALUE"""),"508*****t.tc.edu.tw")</f>
        <v>508*****t.tc.edu.tw</v>
      </c>
      <c r="E1905" s="17" t="str">
        <f>IFERROR(__xludf.DUMMYFUNCTION("""COMPUTED_VALUE"""),"臺中市立龍井國民中學")</f>
        <v>臺中市立龍井國民中學</v>
      </c>
      <c r="F1905" s="14" t="str">
        <f>IFERROR(__xludf.DUMMYFUNCTION("""COMPUTED_VALUE"""),"七年級")</f>
        <v>七年級</v>
      </c>
      <c r="G1905" s="14" t="str">
        <f>IFERROR(__xludf.DUMMYFUNCTION("""COMPUTED_VALUE"""),"獎狀")</f>
        <v>獎狀</v>
      </c>
      <c r="H1905" s="8"/>
    </row>
    <row r="1906">
      <c r="A1906" s="18"/>
      <c r="B1906" s="14">
        <f>IFERROR(__xludf.DUMMYFUNCTION("""COMPUTED_VALUE"""),369326.0)</f>
        <v>369326</v>
      </c>
      <c r="C1906" s="14" t="str">
        <f>IFERROR(__xludf.DUMMYFUNCTION("""COMPUTED_VALUE"""),"陳聖翰")</f>
        <v>陳聖翰</v>
      </c>
      <c r="D1906" s="16" t="str">
        <f>IFERROR(__xludf.DUMMYFUNCTION("""COMPUTED_VALUE"""),"508*****t.tc.edu.tw")</f>
        <v>508*****t.tc.edu.tw</v>
      </c>
      <c r="E1906" s="17" t="str">
        <f>IFERROR(__xludf.DUMMYFUNCTION("""COMPUTED_VALUE"""),"臺中市立龍井國民中學")</f>
        <v>臺中市立龍井國民中學</v>
      </c>
      <c r="F1906" s="14" t="str">
        <f>IFERROR(__xludf.DUMMYFUNCTION("""COMPUTED_VALUE"""),"七年級")</f>
        <v>七年級</v>
      </c>
      <c r="G1906" s="14" t="str">
        <f>IFERROR(__xludf.DUMMYFUNCTION("""COMPUTED_VALUE"""),"獎狀")</f>
        <v>獎狀</v>
      </c>
      <c r="H1906" s="8"/>
    </row>
    <row r="1907">
      <c r="A1907" s="18"/>
      <c r="B1907" s="14">
        <f>IFERROR(__xludf.DUMMYFUNCTION("""COMPUTED_VALUE"""),1078887.0)</f>
        <v>1078887</v>
      </c>
      <c r="C1907" s="14" t="str">
        <f>IFERROR(__xludf.DUMMYFUNCTION("""COMPUTED_VALUE"""),"紀睿妤")</f>
        <v>紀睿妤</v>
      </c>
      <c r="D1907" s="16" t="str">
        <f>IFERROR(__xludf.DUMMYFUNCTION("""COMPUTED_VALUE"""),"507*****t.tc.edu.tw")</f>
        <v>507*****t.tc.edu.tw</v>
      </c>
      <c r="E1907" s="17" t="str">
        <f>IFERROR(__xludf.DUMMYFUNCTION("""COMPUTED_VALUE"""),"臺中市立龍井國民中學")</f>
        <v>臺中市立龍井國民中學</v>
      </c>
      <c r="F1907" s="14" t="str">
        <f>IFERROR(__xludf.DUMMYFUNCTION("""COMPUTED_VALUE"""),"七年級")</f>
        <v>七年級</v>
      </c>
      <c r="G1907" s="14" t="str">
        <f>IFERROR(__xludf.DUMMYFUNCTION("""COMPUTED_VALUE"""),"獎狀")</f>
        <v>獎狀</v>
      </c>
      <c r="H1907" s="8"/>
    </row>
    <row r="1908">
      <c r="A1908" s="18"/>
      <c r="B1908" s="14">
        <f>IFERROR(__xludf.DUMMYFUNCTION("""COMPUTED_VALUE"""),1079061.0)</f>
        <v>1079061</v>
      </c>
      <c r="C1908" s="14" t="str">
        <f>IFERROR(__xludf.DUMMYFUNCTION("""COMPUTED_VALUE"""),"何羽庭")</f>
        <v>何羽庭</v>
      </c>
      <c r="D1908" s="16" t="str">
        <f>IFERROR(__xludf.DUMMYFUNCTION("""COMPUTED_VALUE"""),"507*****t.tc.edu.tw")</f>
        <v>507*****t.tc.edu.tw</v>
      </c>
      <c r="E1908" s="17" t="str">
        <f>IFERROR(__xludf.DUMMYFUNCTION("""COMPUTED_VALUE"""),"臺中市立龍井國民中學")</f>
        <v>臺中市立龍井國民中學</v>
      </c>
      <c r="F1908" s="14" t="str">
        <f>IFERROR(__xludf.DUMMYFUNCTION("""COMPUTED_VALUE"""),"七年級")</f>
        <v>七年級</v>
      </c>
      <c r="G1908" s="14" t="str">
        <f>IFERROR(__xludf.DUMMYFUNCTION("""COMPUTED_VALUE"""),"●小禮物")</f>
        <v>●小禮物</v>
      </c>
      <c r="H1908" s="8"/>
    </row>
    <row r="1909">
      <c r="A1909" s="18"/>
      <c r="B1909" s="14">
        <f>IFERROR(__xludf.DUMMYFUNCTION("""COMPUTED_VALUE"""),1078549.0)</f>
        <v>1078549</v>
      </c>
      <c r="C1909" s="14" t="str">
        <f>IFERROR(__xludf.DUMMYFUNCTION("""COMPUTED_VALUE"""),"何泳慕")</f>
        <v>何泳慕</v>
      </c>
      <c r="D1909" s="16" t="str">
        <f>IFERROR(__xludf.DUMMYFUNCTION("""COMPUTED_VALUE"""),"507*****t.tc.edu.tw")</f>
        <v>507*****t.tc.edu.tw</v>
      </c>
      <c r="E1909" s="17" t="str">
        <f>IFERROR(__xludf.DUMMYFUNCTION("""COMPUTED_VALUE"""),"臺中市立龍井國民中學")</f>
        <v>臺中市立龍井國民中學</v>
      </c>
      <c r="F1909" s="14" t="str">
        <f>IFERROR(__xludf.DUMMYFUNCTION("""COMPUTED_VALUE"""),"七年級")</f>
        <v>七年級</v>
      </c>
      <c r="G1909" s="14" t="str">
        <f>IFERROR(__xludf.DUMMYFUNCTION("""COMPUTED_VALUE"""),"●小禮物")</f>
        <v>●小禮物</v>
      </c>
      <c r="H1909" s="8"/>
    </row>
    <row r="1910">
      <c r="A1910" s="18"/>
      <c r="B1910" s="14">
        <f>IFERROR(__xludf.DUMMYFUNCTION("""COMPUTED_VALUE"""),1078499.0)</f>
        <v>1078499</v>
      </c>
      <c r="C1910" s="14" t="str">
        <f>IFERROR(__xludf.DUMMYFUNCTION("""COMPUTED_VALUE"""),"林澤愷")</f>
        <v>林澤愷</v>
      </c>
      <c r="D1910" s="16" t="str">
        <f>IFERROR(__xludf.DUMMYFUNCTION("""COMPUTED_VALUE"""),"507*****t.tc.edu.tw")</f>
        <v>507*****t.tc.edu.tw</v>
      </c>
      <c r="E1910" s="17" t="str">
        <f>IFERROR(__xludf.DUMMYFUNCTION("""COMPUTED_VALUE"""),"臺中市立龍井國民中學")</f>
        <v>臺中市立龍井國民中學</v>
      </c>
      <c r="F1910" s="14" t="str">
        <f>IFERROR(__xludf.DUMMYFUNCTION("""COMPUTED_VALUE"""),"七年級")</f>
        <v>七年級</v>
      </c>
      <c r="G1910" s="14" t="str">
        <f>IFERROR(__xludf.DUMMYFUNCTION("""COMPUTED_VALUE"""),"●小禮物")</f>
        <v>●小禮物</v>
      </c>
      <c r="H1910" s="8"/>
    </row>
    <row r="1911">
      <c r="A1911" s="18"/>
      <c r="B1911" s="14">
        <f>IFERROR(__xludf.DUMMYFUNCTION("""COMPUTED_VALUE"""),1079070.0)</f>
        <v>1079070</v>
      </c>
      <c r="C1911" s="14" t="str">
        <f>IFERROR(__xludf.DUMMYFUNCTION("""COMPUTED_VALUE"""),"郭定禾")</f>
        <v>郭定禾</v>
      </c>
      <c r="D1911" s="16" t="str">
        <f>IFERROR(__xludf.DUMMYFUNCTION("""COMPUTED_VALUE"""),"507*****t.tc.edu.tw")</f>
        <v>507*****t.tc.edu.tw</v>
      </c>
      <c r="E1911" s="17" t="str">
        <f>IFERROR(__xludf.DUMMYFUNCTION("""COMPUTED_VALUE"""),"臺中市立龍井國民中學")</f>
        <v>臺中市立龍井國民中學</v>
      </c>
      <c r="F1911" s="14" t="str">
        <f>IFERROR(__xludf.DUMMYFUNCTION("""COMPUTED_VALUE"""),"七年級")</f>
        <v>七年級</v>
      </c>
      <c r="G1911" s="14" t="str">
        <f>IFERROR(__xludf.DUMMYFUNCTION("""COMPUTED_VALUE"""),"●小禮物")</f>
        <v>●小禮物</v>
      </c>
      <c r="H1911" s="8"/>
    </row>
    <row r="1912">
      <c r="A1912" s="18"/>
      <c r="B1912" s="14">
        <f>IFERROR(__xludf.DUMMYFUNCTION("""COMPUTED_VALUE"""),1079075.0)</f>
        <v>1079075</v>
      </c>
      <c r="C1912" s="14" t="str">
        <f>IFERROR(__xludf.DUMMYFUNCTION("""COMPUTED_VALUE"""),"陳妮妍")</f>
        <v>陳妮妍</v>
      </c>
      <c r="D1912" s="16" t="str">
        <f>IFERROR(__xludf.DUMMYFUNCTION("""COMPUTED_VALUE"""),"507*****t.tc.edu.tw")</f>
        <v>507*****t.tc.edu.tw</v>
      </c>
      <c r="E1912" s="17" t="str">
        <f>IFERROR(__xludf.DUMMYFUNCTION("""COMPUTED_VALUE"""),"臺中市立龍井國民中學")</f>
        <v>臺中市立龍井國民中學</v>
      </c>
      <c r="F1912" s="14" t="str">
        <f>IFERROR(__xludf.DUMMYFUNCTION("""COMPUTED_VALUE"""),"七年級")</f>
        <v>七年級</v>
      </c>
      <c r="G1912" s="14" t="str">
        <f>IFERROR(__xludf.DUMMYFUNCTION("""COMPUTED_VALUE"""),"●小禮物")</f>
        <v>●小禮物</v>
      </c>
      <c r="H1912" s="8"/>
    </row>
    <row r="1913">
      <c r="A1913" s="18"/>
      <c r="B1913" s="14">
        <f>IFERROR(__xludf.DUMMYFUNCTION("""COMPUTED_VALUE"""),1190429.0)</f>
        <v>1190429</v>
      </c>
      <c r="C1913" s="14" t="str">
        <f>IFERROR(__xludf.DUMMYFUNCTION("""COMPUTED_VALUE"""),"陳洧釤")</f>
        <v>陳洧釤</v>
      </c>
      <c r="D1913" s="16" t="str">
        <f>IFERROR(__xludf.DUMMYFUNCTION("""COMPUTED_VALUE"""),"388*****t.tc.edu.tw")</f>
        <v>388*****t.tc.edu.tw</v>
      </c>
      <c r="E1913" s="17" t="str">
        <f>IFERROR(__xludf.DUMMYFUNCTION("""COMPUTED_VALUE"""),"臺中市立龍井國民中學")</f>
        <v>臺中市立龍井國民中學</v>
      </c>
      <c r="F1913" s="14" t="str">
        <f>IFERROR(__xludf.DUMMYFUNCTION("""COMPUTED_VALUE"""),"七年級")</f>
        <v>七年級</v>
      </c>
      <c r="G1913" s="14" t="str">
        <f>IFERROR(__xludf.DUMMYFUNCTION("""COMPUTED_VALUE"""),"●小禮物")</f>
        <v>●小禮物</v>
      </c>
      <c r="H1913" s="8"/>
    </row>
    <row r="1914">
      <c r="A1914" s="18"/>
      <c r="B1914" s="14">
        <f>IFERROR(__xludf.DUMMYFUNCTION("""COMPUTED_VALUE"""),1190432.0)</f>
        <v>1190432</v>
      </c>
      <c r="C1914" s="14" t="str">
        <f>IFERROR(__xludf.DUMMYFUNCTION("""COMPUTED_VALUE"""),"韓曜駿")</f>
        <v>韓曜駿</v>
      </c>
      <c r="D1914" s="16" t="str">
        <f>IFERROR(__xludf.DUMMYFUNCTION("""COMPUTED_VALUE"""),"648*****t.tc.edu.tw")</f>
        <v>648*****t.tc.edu.tw</v>
      </c>
      <c r="E1914" s="17" t="str">
        <f>IFERROR(__xludf.DUMMYFUNCTION("""COMPUTED_VALUE"""),"臺中市立龍井國民中學")</f>
        <v>臺中市立龍井國民中學</v>
      </c>
      <c r="F1914" s="14" t="str">
        <f>IFERROR(__xludf.DUMMYFUNCTION("""COMPUTED_VALUE"""),"七年級")</f>
        <v>七年級</v>
      </c>
      <c r="G1914" s="14" t="str">
        <f>IFERROR(__xludf.DUMMYFUNCTION("""COMPUTED_VALUE"""),"●小禮物")</f>
        <v>●小禮物</v>
      </c>
      <c r="H1914" s="8"/>
    </row>
    <row r="1915">
      <c r="A1915" s="18"/>
      <c r="B1915" s="14">
        <f>IFERROR(__xludf.DUMMYFUNCTION("""COMPUTED_VALUE"""),370116.0)</f>
        <v>370116</v>
      </c>
      <c r="C1915" s="14" t="str">
        <f>IFERROR(__xludf.DUMMYFUNCTION("""COMPUTED_VALUE"""),"徐鈺媗")</f>
        <v>徐鈺媗</v>
      </c>
      <c r="D1915" s="16" t="str">
        <f>IFERROR(__xludf.DUMMYFUNCTION("""COMPUTED_VALUE"""),"508*****t.tc.edu.tw")</f>
        <v>508*****t.tc.edu.tw</v>
      </c>
      <c r="E1915" s="17" t="str">
        <f>IFERROR(__xludf.DUMMYFUNCTION("""COMPUTED_VALUE"""),"臺中市立龍井國民中學")</f>
        <v>臺中市立龍井國民中學</v>
      </c>
      <c r="F1915" s="14" t="str">
        <f>IFERROR(__xludf.DUMMYFUNCTION("""COMPUTED_VALUE"""),"七年級")</f>
        <v>七年級</v>
      </c>
      <c r="G1915" s="14" t="str">
        <f>IFERROR(__xludf.DUMMYFUNCTION("""COMPUTED_VALUE"""),"★禮券$200")</f>
        <v>★禮券$200</v>
      </c>
      <c r="H1915" s="8"/>
    </row>
    <row r="1916">
      <c r="A1916" s="18"/>
      <c r="B1916" s="14">
        <f>IFERROR(__xludf.DUMMYFUNCTION("""COMPUTED_VALUE"""),1078530.0)</f>
        <v>1078530</v>
      </c>
      <c r="C1916" s="14" t="str">
        <f>IFERROR(__xludf.DUMMYFUNCTION("""COMPUTED_VALUE"""),"王宥傑")</f>
        <v>王宥傑</v>
      </c>
      <c r="D1916" s="16" t="str">
        <f>IFERROR(__xludf.DUMMYFUNCTION("""COMPUTED_VALUE"""),"507*****t.tc.edu.tw")</f>
        <v>507*****t.tc.edu.tw</v>
      </c>
      <c r="E1916" s="17" t="str">
        <f>IFERROR(__xludf.DUMMYFUNCTION("""COMPUTED_VALUE"""),"臺中市立龍井國民中學")</f>
        <v>臺中市立龍井國民中學</v>
      </c>
      <c r="F1916" s="14" t="str">
        <f>IFERROR(__xludf.DUMMYFUNCTION("""COMPUTED_VALUE"""),"七年級")</f>
        <v>七年級</v>
      </c>
      <c r="G1916" s="14" t="str">
        <f>IFERROR(__xludf.DUMMYFUNCTION("""COMPUTED_VALUE"""),"獎狀")</f>
        <v>獎狀</v>
      </c>
      <c r="H1916" s="8"/>
    </row>
    <row r="1917">
      <c r="A1917" s="18"/>
      <c r="B1917" s="14">
        <f>IFERROR(__xludf.DUMMYFUNCTION("""COMPUTED_VALUE"""),1190428.0)</f>
        <v>1190428</v>
      </c>
      <c r="C1917" s="14" t="str">
        <f>IFERROR(__xludf.DUMMYFUNCTION("""COMPUTED_VALUE"""),"林姿伶")</f>
        <v>林姿伶</v>
      </c>
      <c r="D1917" s="16" t="str">
        <f>IFERROR(__xludf.DUMMYFUNCTION("""COMPUTED_VALUE"""),"505*****t.tc.edu.tw")</f>
        <v>505*****t.tc.edu.tw</v>
      </c>
      <c r="E1917" s="17" t="str">
        <f>IFERROR(__xludf.DUMMYFUNCTION("""COMPUTED_VALUE"""),"臺中市立龍井國民中學")</f>
        <v>臺中市立龍井國民中學</v>
      </c>
      <c r="F1917" s="14" t="str">
        <f>IFERROR(__xludf.DUMMYFUNCTION("""COMPUTED_VALUE"""),"七年級")</f>
        <v>七年級</v>
      </c>
      <c r="G1917" s="14" t="str">
        <f>IFERROR(__xludf.DUMMYFUNCTION("""COMPUTED_VALUE"""),"獎狀")</f>
        <v>獎狀</v>
      </c>
      <c r="H1917" s="8"/>
    </row>
    <row r="1918">
      <c r="A1918" s="18"/>
      <c r="B1918" s="14">
        <f>IFERROR(__xludf.DUMMYFUNCTION("""COMPUTED_VALUE"""),1079058.0)</f>
        <v>1079058</v>
      </c>
      <c r="C1918" s="14" t="str">
        <f>IFERROR(__xludf.DUMMYFUNCTION("""COMPUTED_VALUE"""),"施凱程")</f>
        <v>施凱程</v>
      </c>
      <c r="D1918" s="16" t="str">
        <f>IFERROR(__xludf.DUMMYFUNCTION("""COMPUTED_VALUE"""),"507*****t.tc.edu.tw")</f>
        <v>507*****t.tc.edu.tw</v>
      </c>
      <c r="E1918" s="17" t="str">
        <f>IFERROR(__xludf.DUMMYFUNCTION("""COMPUTED_VALUE"""),"臺中市立龍井國民中學")</f>
        <v>臺中市立龍井國民中學</v>
      </c>
      <c r="F1918" s="14" t="str">
        <f>IFERROR(__xludf.DUMMYFUNCTION("""COMPUTED_VALUE"""),"七年級")</f>
        <v>七年級</v>
      </c>
      <c r="G1918" s="14" t="str">
        <f>IFERROR(__xludf.DUMMYFUNCTION("""COMPUTED_VALUE"""),"獎狀")</f>
        <v>獎狀</v>
      </c>
      <c r="H1918" s="8"/>
    </row>
    <row r="1919">
      <c r="A1919" s="18"/>
      <c r="B1919" s="14">
        <f>IFERROR(__xludf.DUMMYFUNCTION("""COMPUTED_VALUE"""),1190431.0)</f>
        <v>1190431</v>
      </c>
      <c r="C1919" s="14" t="str">
        <f>IFERROR(__xludf.DUMMYFUNCTION("""COMPUTED_VALUE"""),"許睿栯")</f>
        <v>許睿栯</v>
      </c>
      <c r="D1919" s="16" t="str">
        <f>IFERROR(__xludf.DUMMYFUNCTION("""COMPUTED_VALUE"""),"524*****t.tc.edu.tw")</f>
        <v>524*****t.tc.edu.tw</v>
      </c>
      <c r="E1919" s="17" t="str">
        <f>IFERROR(__xludf.DUMMYFUNCTION("""COMPUTED_VALUE"""),"臺中市立龍井國民中學")</f>
        <v>臺中市立龍井國民中學</v>
      </c>
      <c r="F1919" s="14" t="str">
        <f>IFERROR(__xludf.DUMMYFUNCTION("""COMPUTED_VALUE"""),"七年級")</f>
        <v>七年級</v>
      </c>
      <c r="G1919" s="14" t="str">
        <f>IFERROR(__xludf.DUMMYFUNCTION("""COMPUTED_VALUE"""),"獎狀")</f>
        <v>獎狀</v>
      </c>
      <c r="H1919" s="8"/>
    </row>
    <row r="1920">
      <c r="A1920" s="18"/>
      <c r="B1920" s="14">
        <f>IFERROR(__xludf.DUMMYFUNCTION("""COMPUTED_VALUE"""),398858.0)</f>
        <v>398858</v>
      </c>
      <c r="C1920" s="14" t="str">
        <f>IFERROR(__xludf.DUMMYFUNCTION("""COMPUTED_VALUE"""),"陳圳逸")</f>
        <v>陳圳逸</v>
      </c>
      <c r="D1920" s="16" t="str">
        <f>IFERROR(__xludf.DUMMYFUNCTION("""COMPUTED_VALUE"""),"508*****t.tc.edu.tw")</f>
        <v>508*****t.tc.edu.tw</v>
      </c>
      <c r="E1920" s="17" t="str">
        <f>IFERROR(__xludf.DUMMYFUNCTION("""COMPUTED_VALUE"""),"臺中市立龍井國民中學")</f>
        <v>臺中市立龍井國民中學</v>
      </c>
      <c r="F1920" s="14" t="str">
        <f>IFERROR(__xludf.DUMMYFUNCTION("""COMPUTED_VALUE"""),"七年級")</f>
        <v>七年級</v>
      </c>
      <c r="G1920" s="14" t="str">
        <f>IFERROR(__xludf.DUMMYFUNCTION("""COMPUTED_VALUE"""),"獎狀")</f>
        <v>獎狀</v>
      </c>
      <c r="H1920" s="8"/>
    </row>
    <row r="1921">
      <c r="A1921" s="18"/>
      <c r="B1921" s="14">
        <f>IFERROR(__xludf.DUMMYFUNCTION("""COMPUTED_VALUE"""),1086321.0)</f>
        <v>1086321</v>
      </c>
      <c r="C1921" s="14" t="str">
        <f>IFERROR(__xludf.DUMMYFUNCTION("""COMPUTED_VALUE"""),"陳庭軒")</f>
        <v>陳庭軒</v>
      </c>
      <c r="D1921" s="16" t="str">
        <f>IFERROR(__xludf.DUMMYFUNCTION("""COMPUTED_VALUE"""),"507*****t.tc.edu.tw")</f>
        <v>507*****t.tc.edu.tw</v>
      </c>
      <c r="E1921" s="17" t="str">
        <f>IFERROR(__xludf.DUMMYFUNCTION("""COMPUTED_VALUE"""),"臺中市立龍井國民中學")</f>
        <v>臺中市立龍井國民中學</v>
      </c>
      <c r="F1921" s="14" t="str">
        <f>IFERROR(__xludf.DUMMYFUNCTION("""COMPUTED_VALUE"""),"七年級")</f>
        <v>七年級</v>
      </c>
      <c r="G1921" s="14" t="str">
        <f>IFERROR(__xludf.DUMMYFUNCTION("""COMPUTED_VALUE"""),"獎狀")</f>
        <v>獎狀</v>
      </c>
      <c r="H1921" s="8"/>
    </row>
    <row r="1922">
      <c r="A1922" s="18"/>
      <c r="B1922" s="14">
        <f>IFERROR(__xludf.DUMMYFUNCTION("""COMPUTED_VALUE"""),1079063.0)</f>
        <v>1079063</v>
      </c>
      <c r="C1922" s="14" t="str">
        <f>IFERROR(__xludf.DUMMYFUNCTION("""COMPUTED_VALUE"""),"陳韵涵")</f>
        <v>陳韵涵</v>
      </c>
      <c r="D1922" s="16" t="str">
        <f>IFERROR(__xludf.DUMMYFUNCTION("""COMPUTED_VALUE"""),"507*****t.tc.edu.tw")</f>
        <v>507*****t.tc.edu.tw</v>
      </c>
      <c r="E1922" s="17" t="str">
        <f>IFERROR(__xludf.DUMMYFUNCTION("""COMPUTED_VALUE"""),"臺中市立龍井國民中學")</f>
        <v>臺中市立龍井國民中學</v>
      </c>
      <c r="F1922" s="14" t="str">
        <f>IFERROR(__xludf.DUMMYFUNCTION("""COMPUTED_VALUE"""),"七年級")</f>
        <v>七年級</v>
      </c>
      <c r="G1922" s="14" t="str">
        <f>IFERROR(__xludf.DUMMYFUNCTION("""COMPUTED_VALUE"""),"獎狀")</f>
        <v>獎狀</v>
      </c>
      <c r="H1922" s="8"/>
    </row>
    <row r="1923">
      <c r="A1923" s="18"/>
      <c r="B1923" s="14">
        <f>IFERROR(__xludf.DUMMYFUNCTION("""COMPUTED_VALUE"""),1078891.0)</f>
        <v>1078891</v>
      </c>
      <c r="C1923" s="14" t="str">
        <f>IFERROR(__xludf.DUMMYFUNCTION("""COMPUTED_VALUE"""),"陳學浩")</f>
        <v>陳學浩</v>
      </c>
      <c r="D1923" s="16" t="str">
        <f>IFERROR(__xludf.DUMMYFUNCTION("""COMPUTED_VALUE"""),"507*****t.tc.edu.tw")</f>
        <v>507*****t.tc.edu.tw</v>
      </c>
      <c r="E1923" s="17" t="str">
        <f>IFERROR(__xludf.DUMMYFUNCTION("""COMPUTED_VALUE"""),"臺中市立龍井國民中學")</f>
        <v>臺中市立龍井國民中學</v>
      </c>
      <c r="F1923" s="14" t="str">
        <f>IFERROR(__xludf.DUMMYFUNCTION("""COMPUTED_VALUE"""),"七年級")</f>
        <v>七年級</v>
      </c>
      <c r="G1923" s="14" t="str">
        <f>IFERROR(__xludf.DUMMYFUNCTION("""COMPUTED_VALUE"""),"獎狀")</f>
        <v>獎狀</v>
      </c>
      <c r="H1923" s="8"/>
    </row>
    <row r="1924">
      <c r="A1924" s="18"/>
      <c r="B1924" s="14">
        <f>IFERROR(__xludf.DUMMYFUNCTION("""COMPUTED_VALUE"""),375464.0)</f>
        <v>375464</v>
      </c>
      <c r="C1924" s="14" t="str">
        <f>IFERROR(__xludf.DUMMYFUNCTION("""COMPUTED_VALUE"""),"童柏閔")</f>
        <v>童柏閔</v>
      </c>
      <c r="D1924" s="16" t="str">
        <f>IFERROR(__xludf.DUMMYFUNCTION("""COMPUTED_VALUE"""),"508*****t.tc.edu.tw")</f>
        <v>508*****t.tc.edu.tw</v>
      </c>
      <c r="E1924" s="17" t="str">
        <f>IFERROR(__xludf.DUMMYFUNCTION("""COMPUTED_VALUE"""),"臺中市立龍井國民中學")</f>
        <v>臺中市立龍井國民中學</v>
      </c>
      <c r="F1924" s="14" t="str">
        <f>IFERROR(__xludf.DUMMYFUNCTION("""COMPUTED_VALUE"""),"七年級")</f>
        <v>七年級</v>
      </c>
      <c r="G1924" s="14" t="str">
        <f>IFERROR(__xludf.DUMMYFUNCTION("""COMPUTED_VALUE"""),"獎狀")</f>
        <v>獎狀</v>
      </c>
      <c r="H1924" s="8"/>
    </row>
    <row r="1925">
      <c r="A1925" s="18"/>
      <c r="B1925" s="14">
        <f>IFERROR(__xludf.DUMMYFUNCTION("""COMPUTED_VALUE"""),1190430.0)</f>
        <v>1190430</v>
      </c>
      <c r="C1925" s="14" t="str">
        <f>IFERROR(__xludf.DUMMYFUNCTION("""COMPUTED_VALUE"""),"楊淯安")</f>
        <v>楊淯安</v>
      </c>
      <c r="D1925" s="16" t="str">
        <f>IFERROR(__xludf.DUMMYFUNCTION("""COMPUTED_VALUE"""),"522*****t.tc.edu.tw")</f>
        <v>522*****t.tc.edu.tw</v>
      </c>
      <c r="E1925" s="17" t="str">
        <f>IFERROR(__xludf.DUMMYFUNCTION("""COMPUTED_VALUE"""),"臺中市立龍井國民中學")</f>
        <v>臺中市立龍井國民中學</v>
      </c>
      <c r="F1925" s="14" t="str">
        <f>IFERROR(__xludf.DUMMYFUNCTION("""COMPUTED_VALUE"""),"七年級")</f>
        <v>七年級</v>
      </c>
      <c r="G1925" s="14" t="str">
        <f>IFERROR(__xludf.DUMMYFUNCTION("""COMPUTED_VALUE"""),"獎狀")</f>
        <v>獎狀</v>
      </c>
      <c r="H1925" s="8"/>
    </row>
    <row r="1926">
      <c r="A1926" s="18"/>
      <c r="B1926" s="14">
        <f>IFERROR(__xludf.DUMMYFUNCTION("""COMPUTED_VALUE"""),1079085.0)</f>
        <v>1079085</v>
      </c>
      <c r="C1926" s="14" t="str">
        <f>IFERROR(__xludf.DUMMYFUNCTION("""COMPUTED_VALUE"""),"鄭博謙")</f>
        <v>鄭博謙</v>
      </c>
      <c r="D1926" s="16" t="str">
        <f>IFERROR(__xludf.DUMMYFUNCTION("""COMPUTED_VALUE"""),"507*****t.tc.edu.tw")</f>
        <v>507*****t.tc.edu.tw</v>
      </c>
      <c r="E1926" s="17" t="str">
        <f>IFERROR(__xludf.DUMMYFUNCTION("""COMPUTED_VALUE"""),"臺中市立龍井國民中學")</f>
        <v>臺中市立龍井國民中學</v>
      </c>
      <c r="F1926" s="14" t="str">
        <f>IFERROR(__xludf.DUMMYFUNCTION("""COMPUTED_VALUE"""),"七年級")</f>
        <v>七年級</v>
      </c>
      <c r="G1926" s="14" t="str">
        <f>IFERROR(__xludf.DUMMYFUNCTION("""COMPUTED_VALUE"""),"獎狀")</f>
        <v>獎狀</v>
      </c>
      <c r="H1926" s="8"/>
    </row>
    <row r="1927">
      <c r="A1927" s="18"/>
      <c r="B1927" s="14">
        <f>IFERROR(__xludf.DUMMYFUNCTION("""COMPUTED_VALUE"""),1180991.0)</f>
        <v>1180991</v>
      </c>
      <c r="C1927" s="14" t="str">
        <f>IFERROR(__xludf.DUMMYFUNCTION("""COMPUTED_VALUE"""),"王怡善")</f>
        <v>王怡善</v>
      </c>
      <c r="D1927" s="16" t="str">
        <f>IFERROR(__xludf.DUMMYFUNCTION("""COMPUTED_VALUE"""),"422*****t.tc.edu.tw")</f>
        <v>422*****t.tc.edu.tw</v>
      </c>
      <c r="E1927" s="17" t="str">
        <f>IFERROR(__xludf.DUMMYFUNCTION("""COMPUTED_VALUE"""),"臺中市立龍井國民中學")</f>
        <v>臺中市立龍井國民中學</v>
      </c>
      <c r="F1927" s="14" t="str">
        <f>IFERROR(__xludf.DUMMYFUNCTION("""COMPUTED_VALUE"""),"八年級")</f>
        <v>八年級</v>
      </c>
      <c r="G1927" s="14" t="str">
        <f>IFERROR(__xludf.DUMMYFUNCTION("""COMPUTED_VALUE"""),"●小禮物")</f>
        <v>●小禮物</v>
      </c>
      <c r="H1927" s="8"/>
    </row>
    <row r="1928">
      <c r="A1928" s="18"/>
      <c r="B1928" s="14">
        <f>IFERROR(__xludf.DUMMYFUNCTION("""COMPUTED_VALUE"""),825280.0)</f>
        <v>825280</v>
      </c>
      <c r="C1928" s="14" t="str">
        <f>IFERROR(__xludf.DUMMYFUNCTION("""COMPUTED_VALUE"""),"吳婕琳")</f>
        <v>吳婕琳</v>
      </c>
      <c r="D1928" s="16" t="str">
        <f>IFERROR(__xludf.DUMMYFUNCTION("""COMPUTED_VALUE"""),"408*****t.tc.edu.tw")</f>
        <v>408*****t.tc.edu.tw</v>
      </c>
      <c r="E1928" s="17" t="str">
        <f>IFERROR(__xludf.DUMMYFUNCTION("""COMPUTED_VALUE"""),"臺中市立龍井國民中學")</f>
        <v>臺中市立龍井國民中學</v>
      </c>
      <c r="F1928" s="14" t="str">
        <f>IFERROR(__xludf.DUMMYFUNCTION("""COMPUTED_VALUE"""),"八年級")</f>
        <v>八年級</v>
      </c>
      <c r="G1928" s="14" t="str">
        <f>IFERROR(__xludf.DUMMYFUNCTION("""COMPUTED_VALUE"""),"●小禮物")</f>
        <v>●小禮物</v>
      </c>
      <c r="H1928" s="8"/>
    </row>
    <row r="1929">
      <c r="A1929" s="18"/>
      <c r="B1929" s="14">
        <f>IFERROR(__xludf.DUMMYFUNCTION("""COMPUTED_VALUE"""),825288.0)</f>
        <v>825288</v>
      </c>
      <c r="C1929" s="14" t="str">
        <f>IFERROR(__xludf.DUMMYFUNCTION("""COMPUTED_VALUE"""),"林宇翔")</f>
        <v>林宇翔</v>
      </c>
      <c r="D1929" s="16" t="str">
        <f>IFERROR(__xludf.DUMMYFUNCTION("""COMPUTED_VALUE"""),"408*****t.tc.edu.tw")</f>
        <v>408*****t.tc.edu.tw</v>
      </c>
      <c r="E1929" s="17" t="str">
        <f>IFERROR(__xludf.DUMMYFUNCTION("""COMPUTED_VALUE"""),"臺中市立龍井國民中學")</f>
        <v>臺中市立龍井國民中學</v>
      </c>
      <c r="F1929" s="14" t="str">
        <f>IFERROR(__xludf.DUMMYFUNCTION("""COMPUTED_VALUE"""),"八年級")</f>
        <v>八年級</v>
      </c>
      <c r="G1929" s="14" t="str">
        <f>IFERROR(__xludf.DUMMYFUNCTION("""COMPUTED_VALUE"""),"●小禮物")</f>
        <v>●小禮物</v>
      </c>
      <c r="H1929" s="8"/>
    </row>
    <row r="1930">
      <c r="A1930" s="18"/>
      <c r="B1930" s="14">
        <f>IFERROR(__xludf.DUMMYFUNCTION("""COMPUTED_VALUE"""),825281.0)</f>
        <v>825281</v>
      </c>
      <c r="C1930" s="14" t="str">
        <f>IFERROR(__xludf.DUMMYFUNCTION("""COMPUTED_VALUE"""),"林宜靚")</f>
        <v>林宜靚</v>
      </c>
      <c r="D1930" s="16" t="str">
        <f>IFERROR(__xludf.DUMMYFUNCTION("""COMPUTED_VALUE"""),"408*****t.tc.edu.tw")</f>
        <v>408*****t.tc.edu.tw</v>
      </c>
      <c r="E1930" s="17" t="str">
        <f>IFERROR(__xludf.DUMMYFUNCTION("""COMPUTED_VALUE"""),"臺中市立龍井國民中學")</f>
        <v>臺中市立龍井國民中學</v>
      </c>
      <c r="F1930" s="14" t="str">
        <f>IFERROR(__xludf.DUMMYFUNCTION("""COMPUTED_VALUE"""),"八年級")</f>
        <v>八年級</v>
      </c>
      <c r="G1930" s="14" t="str">
        <f>IFERROR(__xludf.DUMMYFUNCTION("""COMPUTED_VALUE"""),"●小禮物")</f>
        <v>●小禮物</v>
      </c>
      <c r="H1930" s="8"/>
    </row>
    <row r="1931">
      <c r="A1931" s="18"/>
      <c r="B1931" s="14">
        <f>IFERROR(__xludf.DUMMYFUNCTION("""COMPUTED_VALUE"""),825289.0)</f>
        <v>825289</v>
      </c>
      <c r="C1931" s="14" t="str">
        <f>IFERROR(__xludf.DUMMYFUNCTION("""COMPUTED_VALUE"""),"林炳宏")</f>
        <v>林炳宏</v>
      </c>
      <c r="D1931" s="16" t="str">
        <f>IFERROR(__xludf.DUMMYFUNCTION("""COMPUTED_VALUE"""),"408*****t.tc.edu.tw")</f>
        <v>408*****t.tc.edu.tw</v>
      </c>
      <c r="E1931" s="17" t="str">
        <f>IFERROR(__xludf.DUMMYFUNCTION("""COMPUTED_VALUE"""),"臺中市立龍井國民中學")</f>
        <v>臺中市立龍井國民中學</v>
      </c>
      <c r="F1931" s="14" t="str">
        <f>IFERROR(__xludf.DUMMYFUNCTION("""COMPUTED_VALUE"""),"八年級")</f>
        <v>八年級</v>
      </c>
      <c r="G1931" s="14" t="str">
        <f>IFERROR(__xludf.DUMMYFUNCTION("""COMPUTED_VALUE"""),"●小禮物")</f>
        <v>●小禮物</v>
      </c>
      <c r="H1931" s="8"/>
    </row>
    <row r="1932">
      <c r="A1932" s="18"/>
      <c r="B1932" s="14">
        <f>IFERROR(__xludf.DUMMYFUNCTION("""COMPUTED_VALUE"""),825282.0)</f>
        <v>825282</v>
      </c>
      <c r="C1932" s="14" t="str">
        <f>IFERROR(__xludf.DUMMYFUNCTION("""COMPUTED_VALUE"""),"林庭羽")</f>
        <v>林庭羽</v>
      </c>
      <c r="D1932" s="16" t="str">
        <f>IFERROR(__xludf.DUMMYFUNCTION("""COMPUTED_VALUE"""),"408*****t.tc.edu.tw")</f>
        <v>408*****t.tc.edu.tw</v>
      </c>
      <c r="E1932" s="17" t="str">
        <f>IFERROR(__xludf.DUMMYFUNCTION("""COMPUTED_VALUE"""),"臺中市立龍井國民中學")</f>
        <v>臺中市立龍井國民中學</v>
      </c>
      <c r="F1932" s="14" t="str">
        <f>IFERROR(__xludf.DUMMYFUNCTION("""COMPUTED_VALUE"""),"八年級")</f>
        <v>八年級</v>
      </c>
      <c r="G1932" s="14" t="str">
        <f>IFERROR(__xludf.DUMMYFUNCTION("""COMPUTED_VALUE"""),"●小禮物")</f>
        <v>●小禮物</v>
      </c>
      <c r="H1932" s="8"/>
    </row>
    <row r="1933">
      <c r="A1933" s="18"/>
      <c r="B1933" s="14">
        <f>IFERROR(__xludf.DUMMYFUNCTION("""COMPUTED_VALUE"""),825283.0)</f>
        <v>825283</v>
      </c>
      <c r="C1933" s="14" t="str">
        <f>IFERROR(__xludf.DUMMYFUNCTION("""COMPUTED_VALUE"""),"林御宣")</f>
        <v>林御宣</v>
      </c>
      <c r="D1933" s="16" t="str">
        <f>IFERROR(__xludf.DUMMYFUNCTION("""COMPUTED_VALUE"""),"408*****t.tc.edu.tw")</f>
        <v>408*****t.tc.edu.tw</v>
      </c>
      <c r="E1933" s="17" t="str">
        <f>IFERROR(__xludf.DUMMYFUNCTION("""COMPUTED_VALUE"""),"臺中市立龍井國民中學")</f>
        <v>臺中市立龍井國民中學</v>
      </c>
      <c r="F1933" s="14" t="str">
        <f>IFERROR(__xludf.DUMMYFUNCTION("""COMPUTED_VALUE"""),"八年級")</f>
        <v>八年級</v>
      </c>
      <c r="G1933" s="14" t="str">
        <f>IFERROR(__xludf.DUMMYFUNCTION("""COMPUTED_VALUE"""),"●小禮物")</f>
        <v>●小禮物</v>
      </c>
      <c r="H1933" s="8"/>
    </row>
    <row r="1934">
      <c r="A1934" s="18"/>
      <c r="B1934" s="14">
        <f>IFERROR(__xludf.DUMMYFUNCTION("""COMPUTED_VALUE"""),825290.0)</f>
        <v>825290</v>
      </c>
      <c r="C1934" s="14" t="str">
        <f>IFERROR(__xludf.DUMMYFUNCTION("""COMPUTED_VALUE"""),"姚堉銓")</f>
        <v>姚堉銓</v>
      </c>
      <c r="D1934" s="16" t="str">
        <f>IFERROR(__xludf.DUMMYFUNCTION("""COMPUTED_VALUE"""),"408*****t.tc.edu.tw")</f>
        <v>408*****t.tc.edu.tw</v>
      </c>
      <c r="E1934" s="17" t="str">
        <f>IFERROR(__xludf.DUMMYFUNCTION("""COMPUTED_VALUE"""),"臺中市立龍井國民中學")</f>
        <v>臺中市立龍井國民中學</v>
      </c>
      <c r="F1934" s="14" t="str">
        <f>IFERROR(__xludf.DUMMYFUNCTION("""COMPUTED_VALUE"""),"八年級")</f>
        <v>八年級</v>
      </c>
      <c r="G1934" s="14" t="str">
        <f>IFERROR(__xludf.DUMMYFUNCTION("""COMPUTED_VALUE"""),"●小禮物")</f>
        <v>●小禮物</v>
      </c>
      <c r="H1934" s="8"/>
    </row>
    <row r="1935">
      <c r="A1935" s="18"/>
      <c r="B1935" s="14">
        <f>IFERROR(__xludf.DUMMYFUNCTION("""COMPUTED_VALUE"""),825301.0)</f>
        <v>825301</v>
      </c>
      <c r="C1935" s="14" t="str">
        <f>IFERROR(__xludf.DUMMYFUNCTION("""COMPUTED_VALUE"""),"莊承勳")</f>
        <v>莊承勳</v>
      </c>
      <c r="D1935" s="16" t="str">
        <f>IFERROR(__xludf.DUMMYFUNCTION("""COMPUTED_VALUE"""),"426*****t.tc.edu.tw")</f>
        <v>426*****t.tc.edu.tw</v>
      </c>
      <c r="E1935" s="17" t="str">
        <f>IFERROR(__xludf.DUMMYFUNCTION("""COMPUTED_VALUE"""),"臺中市立龍井國民中學")</f>
        <v>臺中市立龍井國民中學</v>
      </c>
      <c r="F1935" s="14" t="str">
        <f>IFERROR(__xludf.DUMMYFUNCTION("""COMPUTED_VALUE"""),"八年級")</f>
        <v>八年級</v>
      </c>
      <c r="G1935" s="14" t="str">
        <f>IFERROR(__xludf.DUMMYFUNCTION("""COMPUTED_VALUE"""),"●小禮物")</f>
        <v>●小禮物</v>
      </c>
      <c r="H1935" s="8"/>
    </row>
    <row r="1936">
      <c r="A1936" s="18"/>
      <c r="B1936" s="14">
        <f>IFERROR(__xludf.DUMMYFUNCTION("""COMPUTED_VALUE"""),825294.0)</f>
        <v>825294</v>
      </c>
      <c r="C1936" s="14" t="str">
        <f>IFERROR(__xludf.DUMMYFUNCTION("""COMPUTED_VALUE"""),"陳世蒼")</f>
        <v>陳世蒼</v>
      </c>
      <c r="D1936" s="16" t="str">
        <f>IFERROR(__xludf.DUMMYFUNCTION("""COMPUTED_VALUE"""),"408*****t.tc.edu.tw")</f>
        <v>408*****t.tc.edu.tw</v>
      </c>
      <c r="E1936" s="17" t="str">
        <f>IFERROR(__xludf.DUMMYFUNCTION("""COMPUTED_VALUE"""),"臺中市立龍井國民中學")</f>
        <v>臺中市立龍井國民中學</v>
      </c>
      <c r="F1936" s="14" t="str">
        <f>IFERROR(__xludf.DUMMYFUNCTION("""COMPUTED_VALUE"""),"八年級")</f>
        <v>八年級</v>
      </c>
      <c r="G1936" s="14" t="str">
        <f>IFERROR(__xludf.DUMMYFUNCTION("""COMPUTED_VALUE"""),"●小禮物")</f>
        <v>●小禮物</v>
      </c>
      <c r="H1936" s="8"/>
    </row>
    <row r="1937">
      <c r="A1937" s="18"/>
      <c r="B1937" s="14">
        <f>IFERROR(__xludf.DUMMYFUNCTION("""COMPUTED_VALUE"""),825298.0)</f>
        <v>825298</v>
      </c>
      <c r="C1937" s="14" t="str">
        <f>IFERROR(__xludf.DUMMYFUNCTION("""COMPUTED_VALUE"""),"童賦祐")</f>
        <v>童賦祐</v>
      </c>
      <c r="D1937" s="16" t="str">
        <f>IFERROR(__xludf.DUMMYFUNCTION("""COMPUTED_VALUE"""),"408*****t.tc.edu.tw")</f>
        <v>408*****t.tc.edu.tw</v>
      </c>
      <c r="E1937" s="17" t="str">
        <f>IFERROR(__xludf.DUMMYFUNCTION("""COMPUTED_VALUE"""),"臺中市立龍井國民中學")</f>
        <v>臺中市立龍井國民中學</v>
      </c>
      <c r="F1937" s="14" t="str">
        <f>IFERROR(__xludf.DUMMYFUNCTION("""COMPUTED_VALUE"""),"八年級")</f>
        <v>八年級</v>
      </c>
      <c r="G1937" s="14" t="str">
        <f>IFERROR(__xludf.DUMMYFUNCTION("""COMPUTED_VALUE"""),"●小禮物")</f>
        <v>●小禮物</v>
      </c>
      <c r="H1937" s="8"/>
    </row>
    <row r="1938">
      <c r="A1938" s="18"/>
      <c r="B1938" s="14">
        <f>IFERROR(__xludf.DUMMYFUNCTION("""COMPUTED_VALUE"""),825286.0)</f>
        <v>825286</v>
      </c>
      <c r="C1938" s="14" t="str">
        <f>IFERROR(__xludf.DUMMYFUNCTION("""COMPUTED_VALUE"""),"黃子倪")</f>
        <v>黃子倪</v>
      </c>
      <c r="D1938" s="16" t="str">
        <f>IFERROR(__xludf.DUMMYFUNCTION("""COMPUTED_VALUE"""),"408*****t.tc.edu.tw")</f>
        <v>408*****t.tc.edu.tw</v>
      </c>
      <c r="E1938" s="17" t="str">
        <f>IFERROR(__xludf.DUMMYFUNCTION("""COMPUTED_VALUE"""),"臺中市立龍井國民中學")</f>
        <v>臺中市立龍井國民中學</v>
      </c>
      <c r="F1938" s="14" t="str">
        <f>IFERROR(__xludf.DUMMYFUNCTION("""COMPUTED_VALUE"""),"八年級")</f>
        <v>八年級</v>
      </c>
      <c r="G1938" s="14" t="str">
        <f>IFERROR(__xludf.DUMMYFUNCTION("""COMPUTED_VALUE"""),"●小禮物")</f>
        <v>●小禮物</v>
      </c>
      <c r="H1938" s="8"/>
    </row>
    <row r="1939">
      <c r="A1939" s="18"/>
      <c r="B1939" s="14">
        <f>IFERROR(__xludf.DUMMYFUNCTION("""COMPUTED_VALUE"""),385008.0)</f>
        <v>385008</v>
      </c>
      <c r="C1939" s="14" t="str">
        <f>IFERROR(__xludf.DUMMYFUNCTION("""COMPUTED_VALUE"""),"楊澄諺")</f>
        <v>楊澄諺</v>
      </c>
      <c r="D1939" s="16" t="str">
        <f>IFERROR(__xludf.DUMMYFUNCTION("""COMPUTED_VALUE"""),"408*****t.tc.edu.tw")</f>
        <v>408*****t.tc.edu.tw</v>
      </c>
      <c r="E1939" s="17" t="str">
        <f>IFERROR(__xludf.DUMMYFUNCTION("""COMPUTED_VALUE"""),"臺中市立龍井國民中學")</f>
        <v>臺中市立龍井國民中學</v>
      </c>
      <c r="F1939" s="14" t="str">
        <f>IFERROR(__xludf.DUMMYFUNCTION("""COMPUTED_VALUE"""),"八年級")</f>
        <v>八年級</v>
      </c>
      <c r="G1939" s="14" t="str">
        <f>IFERROR(__xludf.DUMMYFUNCTION("""COMPUTED_VALUE"""),"●小禮物")</f>
        <v>●小禮物</v>
      </c>
      <c r="H1939" s="8"/>
    </row>
    <row r="1940">
      <c r="A1940" s="18"/>
      <c r="B1940" s="14">
        <f>IFERROR(__xludf.DUMMYFUNCTION("""COMPUTED_VALUE"""),825287.0)</f>
        <v>825287</v>
      </c>
      <c r="C1940" s="14" t="str">
        <f>IFERROR(__xludf.DUMMYFUNCTION("""COMPUTED_VALUE"""),"蔡羽筑")</f>
        <v>蔡羽筑</v>
      </c>
      <c r="D1940" s="16" t="str">
        <f>IFERROR(__xludf.DUMMYFUNCTION("""COMPUTED_VALUE"""),"408*****t.tc.edu.tw")</f>
        <v>408*****t.tc.edu.tw</v>
      </c>
      <c r="E1940" s="17" t="str">
        <f>IFERROR(__xludf.DUMMYFUNCTION("""COMPUTED_VALUE"""),"臺中市立龍井國民中學")</f>
        <v>臺中市立龍井國民中學</v>
      </c>
      <c r="F1940" s="14" t="str">
        <f>IFERROR(__xludf.DUMMYFUNCTION("""COMPUTED_VALUE"""),"八年級")</f>
        <v>八年級</v>
      </c>
      <c r="G1940" s="14" t="str">
        <f>IFERROR(__xludf.DUMMYFUNCTION("""COMPUTED_VALUE"""),"●小禮物")</f>
        <v>●小禮物</v>
      </c>
      <c r="H1940" s="8"/>
    </row>
    <row r="1941">
      <c r="A1941" s="18"/>
      <c r="B1941" s="14">
        <f>IFERROR(__xludf.DUMMYFUNCTION("""COMPUTED_VALUE"""),825279.0)</f>
        <v>825279</v>
      </c>
      <c r="C1941" s="14" t="str">
        <f>IFERROR(__xludf.DUMMYFUNCTION("""COMPUTED_VALUE"""),"何敏瑄")</f>
        <v>何敏瑄</v>
      </c>
      <c r="D1941" s="16" t="str">
        <f>IFERROR(__xludf.DUMMYFUNCTION("""COMPUTED_VALUE"""),"408*****t.tc.edu.tw")</f>
        <v>408*****t.tc.edu.tw</v>
      </c>
      <c r="E1941" s="17" t="str">
        <f>IFERROR(__xludf.DUMMYFUNCTION("""COMPUTED_VALUE"""),"臺中市立龍井國民中學")</f>
        <v>臺中市立龍井國民中學</v>
      </c>
      <c r="F1941" s="14" t="str">
        <f>IFERROR(__xludf.DUMMYFUNCTION("""COMPUTED_VALUE"""),"八年級")</f>
        <v>八年級</v>
      </c>
      <c r="G1941" s="14" t="str">
        <f>IFERROR(__xludf.DUMMYFUNCTION("""COMPUTED_VALUE"""),"獎狀")</f>
        <v>獎狀</v>
      </c>
      <c r="H1941" s="8"/>
    </row>
    <row r="1942">
      <c r="A1942" s="18"/>
      <c r="B1942" s="14">
        <f>IFERROR(__xludf.DUMMYFUNCTION("""COMPUTED_VALUE"""),825299.0)</f>
        <v>825299</v>
      </c>
      <c r="C1942" s="14" t="str">
        <f>IFERROR(__xludf.DUMMYFUNCTION("""COMPUTED_VALUE"""),"何豐賓")</f>
        <v>何豐賓</v>
      </c>
      <c r="D1942" s="16" t="str">
        <f>IFERROR(__xludf.DUMMYFUNCTION("""COMPUTED_VALUE"""),"408*****t.tc.edu.tw")</f>
        <v>408*****t.tc.edu.tw</v>
      </c>
      <c r="E1942" s="17" t="str">
        <f>IFERROR(__xludf.DUMMYFUNCTION("""COMPUTED_VALUE"""),"臺中市立龍井國民中學")</f>
        <v>臺中市立龍井國民中學</v>
      </c>
      <c r="F1942" s="14" t="str">
        <f>IFERROR(__xludf.DUMMYFUNCTION("""COMPUTED_VALUE"""),"八年級")</f>
        <v>八年級</v>
      </c>
      <c r="G1942" s="14" t="str">
        <f>IFERROR(__xludf.DUMMYFUNCTION("""COMPUTED_VALUE"""),"獎狀")</f>
        <v>獎狀</v>
      </c>
      <c r="H1942" s="8"/>
    </row>
    <row r="1943">
      <c r="A1943" s="18"/>
      <c r="B1943" s="14">
        <f>IFERROR(__xludf.DUMMYFUNCTION("""COMPUTED_VALUE"""),825278.0)</f>
        <v>825278</v>
      </c>
      <c r="C1943" s="14" t="str">
        <f>IFERROR(__xludf.DUMMYFUNCTION("""COMPUTED_VALUE"""),"吳姝妍")</f>
        <v>吳姝妍</v>
      </c>
      <c r="D1943" s="16" t="str">
        <f>IFERROR(__xludf.DUMMYFUNCTION("""COMPUTED_VALUE"""),"408*****t.tc.edu.tw")</f>
        <v>408*****t.tc.edu.tw</v>
      </c>
      <c r="E1943" s="17" t="str">
        <f>IFERROR(__xludf.DUMMYFUNCTION("""COMPUTED_VALUE"""),"臺中市立龍井國民中學")</f>
        <v>臺中市立龍井國民中學</v>
      </c>
      <c r="F1943" s="14" t="str">
        <f>IFERROR(__xludf.DUMMYFUNCTION("""COMPUTED_VALUE"""),"八年級")</f>
        <v>八年級</v>
      </c>
      <c r="G1943" s="14" t="str">
        <f>IFERROR(__xludf.DUMMYFUNCTION("""COMPUTED_VALUE"""),"獎狀")</f>
        <v>獎狀</v>
      </c>
      <c r="H1943" s="8"/>
    </row>
    <row r="1944">
      <c r="A1944" s="18"/>
      <c r="B1944" s="14">
        <f>IFERROR(__xludf.DUMMYFUNCTION("""COMPUTED_VALUE"""),825291.0)</f>
        <v>825291</v>
      </c>
      <c r="C1944" s="14" t="str">
        <f>IFERROR(__xludf.DUMMYFUNCTION("""COMPUTED_VALUE"""),"柯偉恩")</f>
        <v>柯偉恩</v>
      </c>
      <c r="D1944" s="16" t="str">
        <f>IFERROR(__xludf.DUMMYFUNCTION("""COMPUTED_VALUE"""),"408*****t.tc.edu.tw")</f>
        <v>408*****t.tc.edu.tw</v>
      </c>
      <c r="E1944" s="17" t="str">
        <f>IFERROR(__xludf.DUMMYFUNCTION("""COMPUTED_VALUE"""),"臺中市立龍井國民中學")</f>
        <v>臺中市立龍井國民中學</v>
      </c>
      <c r="F1944" s="14" t="str">
        <f>IFERROR(__xludf.DUMMYFUNCTION("""COMPUTED_VALUE"""),"八年級")</f>
        <v>八年級</v>
      </c>
      <c r="G1944" s="14" t="str">
        <f>IFERROR(__xludf.DUMMYFUNCTION("""COMPUTED_VALUE"""),"獎狀")</f>
        <v>獎狀</v>
      </c>
      <c r="H1944" s="8"/>
    </row>
    <row r="1945">
      <c r="A1945" s="18"/>
      <c r="B1945" s="14">
        <f>IFERROR(__xludf.DUMMYFUNCTION("""COMPUTED_VALUE"""),825292.0)</f>
        <v>825292</v>
      </c>
      <c r="C1945" s="14" t="str">
        <f>IFERROR(__xludf.DUMMYFUNCTION("""COMPUTED_VALUE"""),"徐允宸")</f>
        <v>徐允宸</v>
      </c>
      <c r="D1945" s="16" t="str">
        <f>IFERROR(__xludf.DUMMYFUNCTION("""COMPUTED_VALUE"""),"408*****t.tc.edu.tw")</f>
        <v>408*****t.tc.edu.tw</v>
      </c>
      <c r="E1945" s="17" t="str">
        <f>IFERROR(__xludf.DUMMYFUNCTION("""COMPUTED_VALUE"""),"臺中市立龍井國民中學")</f>
        <v>臺中市立龍井國民中學</v>
      </c>
      <c r="F1945" s="14" t="str">
        <f>IFERROR(__xludf.DUMMYFUNCTION("""COMPUTED_VALUE"""),"八年級")</f>
        <v>八年級</v>
      </c>
      <c r="G1945" s="14" t="str">
        <f>IFERROR(__xludf.DUMMYFUNCTION("""COMPUTED_VALUE"""),"獎狀")</f>
        <v>獎狀</v>
      </c>
      <c r="H1945" s="8"/>
    </row>
    <row r="1946">
      <c r="A1946" s="18"/>
      <c r="B1946" s="14">
        <f>IFERROR(__xludf.DUMMYFUNCTION("""COMPUTED_VALUE"""),825284.0)</f>
        <v>825284</v>
      </c>
      <c r="C1946" s="14" t="str">
        <f>IFERROR(__xludf.DUMMYFUNCTION("""COMPUTED_VALUE"""),"張詠媛")</f>
        <v>張詠媛</v>
      </c>
      <c r="D1946" s="16" t="str">
        <f>IFERROR(__xludf.DUMMYFUNCTION("""COMPUTED_VALUE"""),"408*****t.tc.edu.tw")</f>
        <v>408*****t.tc.edu.tw</v>
      </c>
      <c r="E1946" s="17" t="str">
        <f>IFERROR(__xludf.DUMMYFUNCTION("""COMPUTED_VALUE"""),"臺中市立龍井國民中學")</f>
        <v>臺中市立龍井國民中學</v>
      </c>
      <c r="F1946" s="14" t="str">
        <f>IFERROR(__xludf.DUMMYFUNCTION("""COMPUTED_VALUE"""),"八年級")</f>
        <v>八年級</v>
      </c>
      <c r="G1946" s="14" t="str">
        <f>IFERROR(__xludf.DUMMYFUNCTION("""COMPUTED_VALUE"""),"獎狀")</f>
        <v>獎狀</v>
      </c>
      <c r="H1946" s="8"/>
    </row>
    <row r="1947">
      <c r="A1947" s="18"/>
      <c r="B1947" s="14">
        <f>IFERROR(__xludf.DUMMYFUNCTION("""COMPUTED_VALUE"""),825293.0)</f>
        <v>825293</v>
      </c>
      <c r="C1947" s="14" t="str">
        <f>IFERROR(__xludf.DUMMYFUNCTION("""COMPUTED_VALUE"""),"張瑁升")</f>
        <v>張瑁升</v>
      </c>
      <c r="D1947" s="16" t="str">
        <f>IFERROR(__xludf.DUMMYFUNCTION("""COMPUTED_VALUE"""),"424*****t.tc.edu.tw")</f>
        <v>424*****t.tc.edu.tw</v>
      </c>
      <c r="E1947" s="17" t="str">
        <f>IFERROR(__xludf.DUMMYFUNCTION("""COMPUTED_VALUE"""),"臺中市立龍井國民中學")</f>
        <v>臺中市立龍井國民中學</v>
      </c>
      <c r="F1947" s="14" t="str">
        <f>IFERROR(__xludf.DUMMYFUNCTION("""COMPUTED_VALUE"""),"八年級")</f>
        <v>八年級</v>
      </c>
      <c r="G1947" s="14" t="str">
        <f>IFERROR(__xludf.DUMMYFUNCTION("""COMPUTED_VALUE"""),"獎狀")</f>
        <v>獎狀</v>
      </c>
      <c r="H1947" s="8"/>
    </row>
    <row r="1948">
      <c r="A1948" s="18"/>
      <c r="B1948" s="14">
        <f>IFERROR(__xludf.DUMMYFUNCTION("""COMPUTED_VALUE"""),825285.0)</f>
        <v>825285</v>
      </c>
      <c r="C1948" s="14" t="str">
        <f>IFERROR(__xludf.DUMMYFUNCTION("""COMPUTED_VALUE"""),"陳沛妤")</f>
        <v>陳沛妤</v>
      </c>
      <c r="D1948" s="16" t="str">
        <f>IFERROR(__xludf.DUMMYFUNCTION("""COMPUTED_VALUE"""),"408*****t.tc.edu.tw")</f>
        <v>408*****t.tc.edu.tw</v>
      </c>
      <c r="E1948" s="17" t="str">
        <f>IFERROR(__xludf.DUMMYFUNCTION("""COMPUTED_VALUE"""),"臺中市立龍井國民中學")</f>
        <v>臺中市立龍井國民中學</v>
      </c>
      <c r="F1948" s="14" t="str">
        <f>IFERROR(__xludf.DUMMYFUNCTION("""COMPUTED_VALUE"""),"八年級")</f>
        <v>八年級</v>
      </c>
      <c r="G1948" s="14" t="str">
        <f>IFERROR(__xludf.DUMMYFUNCTION("""COMPUTED_VALUE"""),"獎狀")</f>
        <v>獎狀</v>
      </c>
      <c r="H1948" s="8"/>
    </row>
    <row r="1949">
      <c r="A1949" s="18"/>
      <c r="B1949" s="14">
        <f>IFERROR(__xludf.DUMMYFUNCTION("""COMPUTED_VALUE"""),825295.0)</f>
        <v>825295</v>
      </c>
      <c r="C1949" s="14" t="str">
        <f>IFERROR(__xludf.DUMMYFUNCTION("""COMPUTED_VALUE"""),"陳宣諭")</f>
        <v>陳宣諭</v>
      </c>
      <c r="D1949" s="16" t="str">
        <f>IFERROR(__xludf.DUMMYFUNCTION("""COMPUTED_VALUE"""),"408*****t.tc.edu.tw")</f>
        <v>408*****t.tc.edu.tw</v>
      </c>
      <c r="E1949" s="17" t="str">
        <f>IFERROR(__xludf.DUMMYFUNCTION("""COMPUTED_VALUE"""),"臺中市立龍井國民中學")</f>
        <v>臺中市立龍井國民中學</v>
      </c>
      <c r="F1949" s="14" t="str">
        <f>IFERROR(__xludf.DUMMYFUNCTION("""COMPUTED_VALUE"""),"八年級")</f>
        <v>八年級</v>
      </c>
      <c r="G1949" s="14" t="str">
        <f>IFERROR(__xludf.DUMMYFUNCTION("""COMPUTED_VALUE"""),"獎狀")</f>
        <v>獎狀</v>
      </c>
      <c r="H1949" s="8"/>
    </row>
    <row r="1950">
      <c r="A1950" s="18"/>
      <c r="B1950" s="14">
        <f>IFERROR(__xludf.DUMMYFUNCTION("""COMPUTED_VALUE"""),825296.0)</f>
        <v>825296</v>
      </c>
      <c r="C1950" s="14" t="str">
        <f>IFERROR(__xludf.DUMMYFUNCTION("""COMPUTED_VALUE"""),"陳浚毅")</f>
        <v>陳浚毅</v>
      </c>
      <c r="D1950" s="16" t="str">
        <f>IFERROR(__xludf.DUMMYFUNCTION("""COMPUTED_VALUE"""),"408*****t.tc.edu.tw")</f>
        <v>408*****t.tc.edu.tw</v>
      </c>
      <c r="E1950" s="17" t="str">
        <f>IFERROR(__xludf.DUMMYFUNCTION("""COMPUTED_VALUE"""),"臺中市立龍井國民中學")</f>
        <v>臺中市立龍井國民中學</v>
      </c>
      <c r="F1950" s="14" t="str">
        <f>IFERROR(__xludf.DUMMYFUNCTION("""COMPUTED_VALUE"""),"八年級")</f>
        <v>八年級</v>
      </c>
      <c r="G1950" s="14" t="str">
        <f>IFERROR(__xludf.DUMMYFUNCTION("""COMPUTED_VALUE"""),"獎狀")</f>
        <v>獎狀</v>
      </c>
      <c r="H1950" s="8"/>
    </row>
    <row r="1951">
      <c r="A1951" s="18"/>
      <c r="B1951" s="14">
        <f>IFERROR(__xludf.DUMMYFUNCTION("""COMPUTED_VALUE"""),825297.0)</f>
        <v>825297</v>
      </c>
      <c r="C1951" s="14" t="str">
        <f>IFERROR(__xludf.DUMMYFUNCTION("""COMPUTED_VALUE"""),"陳聖閔")</f>
        <v>陳聖閔</v>
      </c>
      <c r="D1951" s="16" t="str">
        <f>IFERROR(__xludf.DUMMYFUNCTION("""COMPUTED_VALUE"""),"408*****t.tc.edu.tw")</f>
        <v>408*****t.tc.edu.tw</v>
      </c>
      <c r="E1951" s="17" t="str">
        <f>IFERROR(__xludf.DUMMYFUNCTION("""COMPUTED_VALUE"""),"臺中市立龍井國民中學")</f>
        <v>臺中市立龍井國民中學</v>
      </c>
      <c r="F1951" s="14" t="str">
        <f>IFERROR(__xludf.DUMMYFUNCTION("""COMPUTED_VALUE"""),"八年級")</f>
        <v>八年級</v>
      </c>
      <c r="G1951" s="14" t="str">
        <f>IFERROR(__xludf.DUMMYFUNCTION("""COMPUTED_VALUE"""),"獎狀")</f>
        <v>獎狀</v>
      </c>
      <c r="H1951" s="8"/>
    </row>
    <row r="1952">
      <c r="A1952" s="18"/>
      <c r="B1952" s="14">
        <f>IFERROR(__xludf.DUMMYFUNCTION("""COMPUTED_VALUE"""),825300.0)</f>
        <v>825300</v>
      </c>
      <c r="C1952" s="14" t="str">
        <f>IFERROR(__xludf.DUMMYFUNCTION("""COMPUTED_VALUE"""),"鄭家源")</f>
        <v>鄭家源</v>
      </c>
      <c r="D1952" s="16" t="str">
        <f>IFERROR(__xludf.DUMMYFUNCTION("""COMPUTED_VALUE"""),"408*****t.tc.edu.tw")</f>
        <v>408*****t.tc.edu.tw</v>
      </c>
      <c r="E1952" s="17" t="str">
        <f>IFERROR(__xludf.DUMMYFUNCTION("""COMPUTED_VALUE"""),"臺中市立龍井國民中學")</f>
        <v>臺中市立龍井國民中學</v>
      </c>
      <c r="F1952" s="14" t="str">
        <f>IFERROR(__xludf.DUMMYFUNCTION("""COMPUTED_VALUE"""),"八年級")</f>
        <v>八年級</v>
      </c>
      <c r="G1952" s="14" t="str">
        <f>IFERROR(__xludf.DUMMYFUNCTION("""COMPUTED_VALUE"""),"獎狀")</f>
        <v>獎狀</v>
      </c>
      <c r="H1952" s="8"/>
    </row>
    <row r="1953">
      <c r="A1953" s="18"/>
      <c r="B1953" s="14">
        <f>IFERROR(__xludf.DUMMYFUNCTION("""COMPUTED_VALUE"""),431041.0)</f>
        <v>431041</v>
      </c>
      <c r="C1953" s="14" t="str">
        <f>IFERROR(__xludf.DUMMYFUNCTION("""COMPUTED_VALUE"""),"王子睿")</f>
        <v>王子睿</v>
      </c>
      <c r="D1953" s="16" t="str">
        <f>IFERROR(__xludf.DUMMYFUNCTION("""COMPUTED_VALUE"""),"408*****t.tc.edu.tw")</f>
        <v>408*****t.tc.edu.tw</v>
      </c>
      <c r="E1953" s="17" t="str">
        <f>IFERROR(__xludf.DUMMYFUNCTION("""COMPUTED_VALUE"""),"臺中市立龍井國民中學")</f>
        <v>臺中市立龍井國民中學</v>
      </c>
      <c r="F1953" s="14" t="str">
        <f>IFERROR(__xludf.DUMMYFUNCTION("""COMPUTED_VALUE"""),"八年級")</f>
        <v>八年級</v>
      </c>
      <c r="G1953" s="14" t="str">
        <f>IFERROR(__xludf.DUMMYFUNCTION("""COMPUTED_VALUE"""),"●小禮物")</f>
        <v>●小禮物</v>
      </c>
      <c r="H1953" s="8"/>
    </row>
    <row r="1954">
      <c r="A1954" s="18"/>
      <c r="B1954" s="14">
        <f>IFERROR(__xludf.DUMMYFUNCTION("""COMPUTED_VALUE"""),825302.0)</f>
        <v>825302</v>
      </c>
      <c r="C1954" s="14" t="str">
        <f>IFERROR(__xludf.DUMMYFUNCTION("""COMPUTED_VALUE"""),"王昀琇")</f>
        <v>王昀琇</v>
      </c>
      <c r="D1954" s="16" t="str">
        <f>IFERROR(__xludf.DUMMYFUNCTION("""COMPUTED_VALUE"""),"408*****t.tc.edu.tw")</f>
        <v>408*****t.tc.edu.tw</v>
      </c>
      <c r="E1954" s="17" t="str">
        <f>IFERROR(__xludf.DUMMYFUNCTION("""COMPUTED_VALUE"""),"臺中市立龍井國民中學")</f>
        <v>臺中市立龍井國民中學</v>
      </c>
      <c r="F1954" s="14" t="str">
        <f>IFERROR(__xludf.DUMMYFUNCTION("""COMPUTED_VALUE"""),"八年級")</f>
        <v>八年級</v>
      </c>
      <c r="G1954" s="14" t="str">
        <f>IFERROR(__xludf.DUMMYFUNCTION("""COMPUTED_VALUE"""),"●小禮物")</f>
        <v>●小禮物</v>
      </c>
      <c r="H1954" s="8"/>
    </row>
    <row r="1955">
      <c r="A1955" s="18"/>
      <c r="B1955" s="14">
        <f>IFERROR(__xludf.DUMMYFUNCTION("""COMPUTED_VALUE"""),385060.0)</f>
        <v>385060</v>
      </c>
      <c r="C1955" s="14" t="str">
        <f>IFERROR(__xludf.DUMMYFUNCTION("""COMPUTED_VALUE"""),"李宥緯")</f>
        <v>李宥緯</v>
      </c>
      <c r="D1955" s="16" t="str">
        <f>IFERROR(__xludf.DUMMYFUNCTION("""COMPUTED_VALUE"""),"408*****t.tc.edu.tw")</f>
        <v>408*****t.tc.edu.tw</v>
      </c>
      <c r="E1955" s="17" t="str">
        <f>IFERROR(__xludf.DUMMYFUNCTION("""COMPUTED_VALUE"""),"臺中市立龍井國民中學")</f>
        <v>臺中市立龍井國民中學</v>
      </c>
      <c r="F1955" s="14" t="str">
        <f>IFERROR(__xludf.DUMMYFUNCTION("""COMPUTED_VALUE"""),"八年級")</f>
        <v>八年級</v>
      </c>
      <c r="G1955" s="14" t="str">
        <f>IFERROR(__xludf.DUMMYFUNCTION("""COMPUTED_VALUE"""),"●小禮物")</f>
        <v>●小禮物</v>
      </c>
      <c r="H1955" s="8"/>
    </row>
    <row r="1956">
      <c r="A1956" s="18"/>
      <c r="B1956" s="14">
        <f>IFERROR(__xludf.DUMMYFUNCTION("""COMPUTED_VALUE"""),825303.0)</f>
        <v>825303</v>
      </c>
      <c r="C1956" s="14" t="str">
        <f>IFERROR(__xludf.DUMMYFUNCTION("""COMPUTED_VALUE"""),"周家琪")</f>
        <v>周家琪</v>
      </c>
      <c r="D1956" s="16" t="str">
        <f>IFERROR(__xludf.DUMMYFUNCTION("""COMPUTED_VALUE"""),"408*****t.tc.edu.tw")</f>
        <v>408*****t.tc.edu.tw</v>
      </c>
      <c r="E1956" s="17" t="str">
        <f>IFERROR(__xludf.DUMMYFUNCTION("""COMPUTED_VALUE"""),"臺中市立龍井國民中學")</f>
        <v>臺中市立龍井國民中學</v>
      </c>
      <c r="F1956" s="14" t="str">
        <f>IFERROR(__xludf.DUMMYFUNCTION("""COMPUTED_VALUE"""),"八年級")</f>
        <v>八年級</v>
      </c>
      <c r="G1956" s="14" t="str">
        <f>IFERROR(__xludf.DUMMYFUNCTION("""COMPUTED_VALUE"""),"●小禮物")</f>
        <v>●小禮物</v>
      </c>
      <c r="H1956" s="8"/>
    </row>
    <row r="1957">
      <c r="A1957" s="18"/>
      <c r="B1957" s="14">
        <f>IFERROR(__xludf.DUMMYFUNCTION("""COMPUTED_VALUE"""),825304.0)</f>
        <v>825304</v>
      </c>
      <c r="C1957" s="14" t="str">
        <f>IFERROR(__xludf.DUMMYFUNCTION("""COMPUTED_VALUE"""),"林芋緹")</f>
        <v>林芋緹</v>
      </c>
      <c r="D1957" s="16" t="str">
        <f>IFERROR(__xludf.DUMMYFUNCTION("""COMPUTED_VALUE"""),"408*****t.tc.edu.tw")</f>
        <v>408*****t.tc.edu.tw</v>
      </c>
      <c r="E1957" s="17" t="str">
        <f>IFERROR(__xludf.DUMMYFUNCTION("""COMPUTED_VALUE"""),"臺中市立龍井國民中學")</f>
        <v>臺中市立龍井國民中學</v>
      </c>
      <c r="F1957" s="14" t="str">
        <f>IFERROR(__xludf.DUMMYFUNCTION("""COMPUTED_VALUE"""),"八年級")</f>
        <v>八年級</v>
      </c>
      <c r="G1957" s="14" t="str">
        <f>IFERROR(__xludf.DUMMYFUNCTION("""COMPUTED_VALUE"""),"●小禮物")</f>
        <v>●小禮物</v>
      </c>
      <c r="H1957" s="8"/>
    </row>
    <row r="1958">
      <c r="A1958" s="18"/>
      <c r="B1958" s="14">
        <f>IFERROR(__xludf.DUMMYFUNCTION("""COMPUTED_VALUE"""),825312.0)</f>
        <v>825312</v>
      </c>
      <c r="C1958" s="14" t="str">
        <f>IFERROR(__xludf.DUMMYFUNCTION("""COMPUTED_VALUE"""),"張誠恩")</f>
        <v>張誠恩</v>
      </c>
      <c r="D1958" s="16" t="str">
        <f>IFERROR(__xludf.DUMMYFUNCTION("""COMPUTED_VALUE"""),"408*****t.tc.edu.tw")</f>
        <v>408*****t.tc.edu.tw</v>
      </c>
      <c r="E1958" s="17" t="str">
        <f>IFERROR(__xludf.DUMMYFUNCTION("""COMPUTED_VALUE"""),"臺中市立龍井國民中學")</f>
        <v>臺中市立龍井國民中學</v>
      </c>
      <c r="F1958" s="14" t="str">
        <f>IFERROR(__xludf.DUMMYFUNCTION("""COMPUTED_VALUE"""),"八年級")</f>
        <v>八年級</v>
      </c>
      <c r="G1958" s="14" t="str">
        <f>IFERROR(__xludf.DUMMYFUNCTION("""COMPUTED_VALUE"""),"●小禮物")</f>
        <v>●小禮物</v>
      </c>
      <c r="H1958" s="8"/>
    </row>
    <row r="1959">
      <c r="A1959" s="18"/>
      <c r="B1959" s="14">
        <f>IFERROR(__xludf.DUMMYFUNCTION("""COMPUTED_VALUE"""),825307.0)</f>
        <v>825307</v>
      </c>
      <c r="C1959" s="14" t="str">
        <f>IFERROR(__xludf.DUMMYFUNCTION("""COMPUTED_VALUE"""),"許芝瑜")</f>
        <v>許芝瑜</v>
      </c>
      <c r="D1959" s="16" t="str">
        <f>IFERROR(__xludf.DUMMYFUNCTION("""COMPUTED_VALUE"""),"406*****t.tc.edu.tw")</f>
        <v>406*****t.tc.edu.tw</v>
      </c>
      <c r="E1959" s="17" t="str">
        <f>IFERROR(__xludf.DUMMYFUNCTION("""COMPUTED_VALUE"""),"臺中市立龍井國民中學")</f>
        <v>臺中市立龍井國民中學</v>
      </c>
      <c r="F1959" s="14" t="str">
        <f>IFERROR(__xludf.DUMMYFUNCTION("""COMPUTED_VALUE"""),"八年級")</f>
        <v>八年級</v>
      </c>
      <c r="G1959" s="14" t="str">
        <f>IFERROR(__xludf.DUMMYFUNCTION("""COMPUTED_VALUE"""),"●小禮物")</f>
        <v>●小禮物</v>
      </c>
      <c r="H1959" s="8"/>
    </row>
    <row r="1960">
      <c r="A1960" s="18"/>
      <c r="B1960" s="14">
        <f>IFERROR(__xludf.DUMMYFUNCTION("""COMPUTED_VALUE"""),825313.0)</f>
        <v>825313</v>
      </c>
      <c r="C1960" s="14" t="str">
        <f>IFERROR(__xludf.DUMMYFUNCTION("""COMPUTED_VALUE"""),"許詠成")</f>
        <v>許詠成</v>
      </c>
      <c r="D1960" s="16" t="str">
        <f>IFERROR(__xludf.DUMMYFUNCTION("""COMPUTED_VALUE"""),"423*****t.tc.edu.tw")</f>
        <v>423*****t.tc.edu.tw</v>
      </c>
      <c r="E1960" s="17" t="str">
        <f>IFERROR(__xludf.DUMMYFUNCTION("""COMPUTED_VALUE"""),"臺中市立龍井國民中學")</f>
        <v>臺中市立龍井國民中學</v>
      </c>
      <c r="F1960" s="14" t="str">
        <f>IFERROR(__xludf.DUMMYFUNCTION("""COMPUTED_VALUE"""),"八年級")</f>
        <v>八年級</v>
      </c>
      <c r="G1960" s="14" t="str">
        <f>IFERROR(__xludf.DUMMYFUNCTION("""COMPUTED_VALUE"""),"●小禮物")</f>
        <v>●小禮物</v>
      </c>
      <c r="H1960" s="8"/>
    </row>
    <row r="1961">
      <c r="A1961" s="18"/>
      <c r="B1961" s="14">
        <f>IFERROR(__xludf.DUMMYFUNCTION("""COMPUTED_VALUE"""),825314.0)</f>
        <v>825314</v>
      </c>
      <c r="C1961" s="14" t="str">
        <f>IFERROR(__xludf.DUMMYFUNCTION("""COMPUTED_VALUE"""),"陳上鈞")</f>
        <v>陳上鈞</v>
      </c>
      <c r="D1961" s="16" t="str">
        <f>IFERROR(__xludf.DUMMYFUNCTION("""COMPUTED_VALUE"""),"408*****t.tc.edu.tw")</f>
        <v>408*****t.tc.edu.tw</v>
      </c>
      <c r="E1961" s="17" t="str">
        <f>IFERROR(__xludf.DUMMYFUNCTION("""COMPUTED_VALUE"""),"臺中市立龍井國民中學")</f>
        <v>臺中市立龍井國民中學</v>
      </c>
      <c r="F1961" s="14" t="str">
        <f>IFERROR(__xludf.DUMMYFUNCTION("""COMPUTED_VALUE"""),"八年級")</f>
        <v>八年級</v>
      </c>
      <c r="G1961" s="14" t="str">
        <f>IFERROR(__xludf.DUMMYFUNCTION("""COMPUTED_VALUE"""),"●小禮物")</f>
        <v>●小禮物</v>
      </c>
      <c r="H1961" s="8"/>
    </row>
    <row r="1962">
      <c r="A1962" s="18"/>
      <c r="B1962" s="14">
        <f>IFERROR(__xludf.DUMMYFUNCTION("""COMPUTED_VALUE"""),825308.0)</f>
        <v>825308</v>
      </c>
      <c r="C1962" s="14" t="str">
        <f>IFERROR(__xludf.DUMMYFUNCTION("""COMPUTED_VALUE"""),"陳芊蓉")</f>
        <v>陳芊蓉</v>
      </c>
      <c r="D1962" s="16" t="str">
        <f>IFERROR(__xludf.DUMMYFUNCTION("""COMPUTED_VALUE"""),"408*****t.tc.edu.tw")</f>
        <v>408*****t.tc.edu.tw</v>
      </c>
      <c r="E1962" s="17" t="str">
        <f>IFERROR(__xludf.DUMMYFUNCTION("""COMPUTED_VALUE"""),"臺中市立龍井國民中學")</f>
        <v>臺中市立龍井國民中學</v>
      </c>
      <c r="F1962" s="14" t="str">
        <f>IFERROR(__xludf.DUMMYFUNCTION("""COMPUTED_VALUE"""),"八年級")</f>
        <v>八年級</v>
      </c>
      <c r="G1962" s="14" t="str">
        <f>IFERROR(__xludf.DUMMYFUNCTION("""COMPUTED_VALUE"""),"●小禮物")</f>
        <v>●小禮物</v>
      </c>
      <c r="H1962" s="8"/>
    </row>
    <row r="1963">
      <c r="A1963" s="18"/>
      <c r="B1963" s="14">
        <f>IFERROR(__xludf.DUMMYFUNCTION("""COMPUTED_VALUE"""),825315.0)</f>
        <v>825315</v>
      </c>
      <c r="C1963" s="14" t="str">
        <f>IFERROR(__xludf.DUMMYFUNCTION("""COMPUTED_VALUE"""),"陳坤賢")</f>
        <v>陳坤賢</v>
      </c>
      <c r="D1963" s="16" t="str">
        <f>IFERROR(__xludf.DUMMYFUNCTION("""COMPUTED_VALUE"""),"408*****t.tc.edu.tw")</f>
        <v>408*****t.tc.edu.tw</v>
      </c>
      <c r="E1963" s="17" t="str">
        <f>IFERROR(__xludf.DUMMYFUNCTION("""COMPUTED_VALUE"""),"臺中市立龍井國民中學")</f>
        <v>臺中市立龍井國民中學</v>
      </c>
      <c r="F1963" s="14" t="str">
        <f>IFERROR(__xludf.DUMMYFUNCTION("""COMPUTED_VALUE"""),"八年級")</f>
        <v>八年級</v>
      </c>
      <c r="G1963" s="14" t="str">
        <f>IFERROR(__xludf.DUMMYFUNCTION("""COMPUTED_VALUE"""),"●小禮物")</f>
        <v>●小禮物</v>
      </c>
      <c r="H1963" s="8"/>
    </row>
    <row r="1964">
      <c r="A1964" s="18"/>
      <c r="B1964" s="14">
        <f>IFERROR(__xludf.DUMMYFUNCTION("""COMPUTED_VALUE"""),825318.0)</f>
        <v>825318</v>
      </c>
      <c r="C1964" s="14" t="str">
        <f>IFERROR(__xludf.DUMMYFUNCTION("""COMPUTED_VALUE"""),"黃稚醴")</f>
        <v>黃稚醴</v>
      </c>
      <c r="D1964" s="16" t="str">
        <f>IFERROR(__xludf.DUMMYFUNCTION("""COMPUTED_VALUE"""),"408*****t.tc.edu.tw")</f>
        <v>408*****t.tc.edu.tw</v>
      </c>
      <c r="E1964" s="17" t="str">
        <f>IFERROR(__xludf.DUMMYFUNCTION("""COMPUTED_VALUE"""),"臺中市立龍井國民中學")</f>
        <v>臺中市立龍井國民中學</v>
      </c>
      <c r="F1964" s="14" t="str">
        <f>IFERROR(__xludf.DUMMYFUNCTION("""COMPUTED_VALUE"""),"八年級")</f>
        <v>八年級</v>
      </c>
      <c r="G1964" s="14" t="str">
        <f>IFERROR(__xludf.DUMMYFUNCTION("""COMPUTED_VALUE"""),"●小禮物")</f>
        <v>●小禮物</v>
      </c>
      <c r="H1964" s="8"/>
    </row>
    <row r="1965">
      <c r="A1965" s="18"/>
      <c r="B1965" s="14">
        <f>IFERROR(__xludf.DUMMYFUNCTION("""COMPUTED_VALUE"""),825310.0)</f>
        <v>825310</v>
      </c>
      <c r="C1965" s="14" t="str">
        <f>IFERROR(__xludf.DUMMYFUNCTION("""COMPUTED_VALUE"""),"趙秀梅")</f>
        <v>趙秀梅</v>
      </c>
      <c r="D1965" s="16" t="str">
        <f>IFERROR(__xludf.DUMMYFUNCTION("""COMPUTED_VALUE"""),"408*****t.tc.edu.tw")</f>
        <v>408*****t.tc.edu.tw</v>
      </c>
      <c r="E1965" s="17" t="str">
        <f>IFERROR(__xludf.DUMMYFUNCTION("""COMPUTED_VALUE"""),"臺中市立龍井國民中學")</f>
        <v>臺中市立龍井國民中學</v>
      </c>
      <c r="F1965" s="14" t="str">
        <f>IFERROR(__xludf.DUMMYFUNCTION("""COMPUTED_VALUE"""),"八年級")</f>
        <v>八年級</v>
      </c>
      <c r="G1965" s="14" t="str">
        <f>IFERROR(__xludf.DUMMYFUNCTION("""COMPUTED_VALUE"""),"●小禮物")</f>
        <v>●小禮物</v>
      </c>
      <c r="H1965" s="8"/>
    </row>
    <row r="1966">
      <c r="A1966" s="18"/>
      <c r="B1966" s="14">
        <f>IFERROR(__xludf.DUMMYFUNCTION("""COMPUTED_VALUE"""),825319.0)</f>
        <v>825319</v>
      </c>
      <c r="C1966" s="14" t="str">
        <f>IFERROR(__xludf.DUMMYFUNCTION("""COMPUTED_VALUE"""),"劉冠宏")</f>
        <v>劉冠宏</v>
      </c>
      <c r="D1966" s="16" t="str">
        <f>IFERROR(__xludf.DUMMYFUNCTION("""COMPUTED_VALUE"""),"408*****t.tc.edu.tw")</f>
        <v>408*****t.tc.edu.tw</v>
      </c>
      <c r="E1966" s="17" t="str">
        <f>IFERROR(__xludf.DUMMYFUNCTION("""COMPUTED_VALUE"""),"臺中市立龍井國民中學")</f>
        <v>臺中市立龍井國民中學</v>
      </c>
      <c r="F1966" s="14" t="str">
        <f>IFERROR(__xludf.DUMMYFUNCTION("""COMPUTED_VALUE"""),"八年級")</f>
        <v>八年級</v>
      </c>
      <c r="G1966" s="14" t="str">
        <f>IFERROR(__xludf.DUMMYFUNCTION("""COMPUTED_VALUE"""),"●小禮物")</f>
        <v>●小禮物</v>
      </c>
      <c r="H1966" s="8"/>
    </row>
    <row r="1967">
      <c r="A1967" s="18"/>
      <c r="B1967" s="14">
        <f>IFERROR(__xludf.DUMMYFUNCTION("""COMPUTED_VALUE"""),942612.0)</f>
        <v>942612</v>
      </c>
      <c r="C1967" s="14" t="str">
        <f>IFERROR(__xludf.DUMMYFUNCTION("""COMPUTED_VALUE"""),"歐豈辰")</f>
        <v>歐豈辰</v>
      </c>
      <c r="D1967" s="16" t="str">
        <f>IFERROR(__xludf.DUMMYFUNCTION("""COMPUTED_VALUE"""),"104*****mail.phc.edu.tw")</f>
        <v>104*****mail.phc.edu.tw</v>
      </c>
      <c r="E1967" s="17" t="str">
        <f>IFERROR(__xludf.DUMMYFUNCTION("""COMPUTED_VALUE"""),"臺中市立龍井國民中學")</f>
        <v>臺中市立龍井國民中學</v>
      </c>
      <c r="F1967" s="14" t="str">
        <f>IFERROR(__xludf.DUMMYFUNCTION("""COMPUTED_VALUE"""),"八年級")</f>
        <v>八年級</v>
      </c>
      <c r="G1967" s="14" t="str">
        <f>IFERROR(__xludf.DUMMYFUNCTION("""COMPUTED_VALUE"""),"●小禮物")</f>
        <v>●小禮物</v>
      </c>
      <c r="H1967" s="8"/>
    </row>
    <row r="1968">
      <c r="A1968" s="18"/>
      <c r="B1968" s="14">
        <f>IFERROR(__xludf.DUMMYFUNCTION("""COMPUTED_VALUE"""),825320.0)</f>
        <v>825320</v>
      </c>
      <c r="C1968" s="14" t="str">
        <f>IFERROR(__xludf.DUMMYFUNCTION("""COMPUTED_VALUE"""),"蔡駿輝")</f>
        <v>蔡駿輝</v>
      </c>
      <c r="D1968" s="16" t="str">
        <f>IFERROR(__xludf.DUMMYFUNCTION("""COMPUTED_VALUE"""),"408*****t.tc.edu.tw")</f>
        <v>408*****t.tc.edu.tw</v>
      </c>
      <c r="E1968" s="17" t="str">
        <f>IFERROR(__xludf.DUMMYFUNCTION("""COMPUTED_VALUE"""),"臺中市立龍井國民中學")</f>
        <v>臺中市立龍井國民中學</v>
      </c>
      <c r="F1968" s="14" t="str">
        <f>IFERROR(__xludf.DUMMYFUNCTION("""COMPUTED_VALUE"""),"八年級")</f>
        <v>八年級</v>
      </c>
      <c r="G1968" s="14" t="str">
        <f>IFERROR(__xludf.DUMMYFUNCTION("""COMPUTED_VALUE"""),"●小禮物")</f>
        <v>●小禮物</v>
      </c>
      <c r="H1968" s="8"/>
    </row>
    <row r="1969">
      <c r="A1969" s="18"/>
      <c r="B1969" s="14">
        <f>IFERROR(__xludf.DUMMYFUNCTION("""COMPUTED_VALUE"""),825321.0)</f>
        <v>825321</v>
      </c>
      <c r="C1969" s="14" t="str">
        <f>IFERROR(__xludf.DUMMYFUNCTION("""COMPUTED_VALUE"""),"嚴家稘")</f>
        <v>嚴家稘</v>
      </c>
      <c r="D1969" s="16" t="str">
        <f>IFERROR(__xludf.DUMMYFUNCTION("""COMPUTED_VALUE"""),"408*****t.tc.edu.tw")</f>
        <v>408*****t.tc.edu.tw</v>
      </c>
      <c r="E1969" s="17" t="str">
        <f>IFERROR(__xludf.DUMMYFUNCTION("""COMPUTED_VALUE"""),"臺中市立龍井國民中學")</f>
        <v>臺中市立龍井國民中學</v>
      </c>
      <c r="F1969" s="14" t="str">
        <f>IFERROR(__xludf.DUMMYFUNCTION("""COMPUTED_VALUE"""),"八年級")</f>
        <v>八年級</v>
      </c>
      <c r="G1969" s="14" t="str">
        <f>IFERROR(__xludf.DUMMYFUNCTION("""COMPUTED_VALUE"""),"●小禮物")</f>
        <v>●小禮物</v>
      </c>
      <c r="H1969" s="8"/>
    </row>
    <row r="1970">
      <c r="A1970" s="18"/>
      <c r="B1970" s="14">
        <f>IFERROR(__xludf.DUMMYFUNCTION("""COMPUTED_VALUE"""),825311.0)</f>
        <v>825311</v>
      </c>
      <c r="C1970" s="14" t="str">
        <f>IFERROR(__xludf.DUMMYFUNCTION("""COMPUTED_VALUE"""),"田振翔")</f>
        <v>田振翔</v>
      </c>
      <c r="D1970" s="16" t="str">
        <f>IFERROR(__xludf.DUMMYFUNCTION("""COMPUTED_VALUE"""),"408*****t.tc.edu.tw")</f>
        <v>408*****t.tc.edu.tw</v>
      </c>
      <c r="E1970" s="17" t="str">
        <f>IFERROR(__xludf.DUMMYFUNCTION("""COMPUTED_VALUE"""),"臺中市立龍井國民中學")</f>
        <v>臺中市立龍井國民中學</v>
      </c>
      <c r="F1970" s="14" t="str">
        <f>IFERROR(__xludf.DUMMYFUNCTION("""COMPUTED_VALUE"""),"八年級")</f>
        <v>八年級</v>
      </c>
      <c r="G1970" s="14" t="str">
        <f>IFERROR(__xludf.DUMMYFUNCTION("""COMPUTED_VALUE"""),"獎狀")</f>
        <v>獎狀</v>
      </c>
      <c r="H1970" s="8"/>
    </row>
    <row r="1971">
      <c r="A1971" s="18"/>
      <c r="B1971" s="14">
        <f>IFERROR(__xludf.DUMMYFUNCTION("""COMPUTED_VALUE"""),825305.0)</f>
        <v>825305</v>
      </c>
      <c r="C1971" s="14" t="str">
        <f>IFERROR(__xludf.DUMMYFUNCTION("""COMPUTED_VALUE"""),"林采穎")</f>
        <v>林采穎</v>
      </c>
      <c r="D1971" s="16" t="str">
        <f>IFERROR(__xludf.DUMMYFUNCTION("""COMPUTED_VALUE"""),"408*****t.tc.edu.tw")</f>
        <v>408*****t.tc.edu.tw</v>
      </c>
      <c r="E1971" s="17" t="str">
        <f>IFERROR(__xludf.DUMMYFUNCTION("""COMPUTED_VALUE"""),"臺中市立龍井國民中學")</f>
        <v>臺中市立龍井國民中學</v>
      </c>
      <c r="F1971" s="14" t="str">
        <f>IFERROR(__xludf.DUMMYFUNCTION("""COMPUTED_VALUE"""),"八年級")</f>
        <v>八年級</v>
      </c>
      <c r="G1971" s="14" t="str">
        <f>IFERROR(__xludf.DUMMYFUNCTION("""COMPUTED_VALUE"""),"獎狀")</f>
        <v>獎狀</v>
      </c>
      <c r="H1971" s="8"/>
    </row>
    <row r="1972">
      <c r="A1972" s="18"/>
      <c r="B1972" s="14">
        <f>IFERROR(__xludf.DUMMYFUNCTION("""COMPUTED_VALUE"""),825306.0)</f>
        <v>825306</v>
      </c>
      <c r="C1972" s="14" t="str">
        <f>IFERROR(__xludf.DUMMYFUNCTION("""COMPUTED_VALUE"""),"馬婕禎")</f>
        <v>馬婕禎</v>
      </c>
      <c r="D1972" s="16" t="str">
        <f>IFERROR(__xludf.DUMMYFUNCTION("""COMPUTED_VALUE"""),"408*****t.tc.edu.tw")</f>
        <v>408*****t.tc.edu.tw</v>
      </c>
      <c r="E1972" s="17" t="str">
        <f>IFERROR(__xludf.DUMMYFUNCTION("""COMPUTED_VALUE"""),"臺中市立龍井國民中學")</f>
        <v>臺中市立龍井國民中學</v>
      </c>
      <c r="F1972" s="14" t="str">
        <f>IFERROR(__xludf.DUMMYFUNCTION("""COMPUTED_VALUE"""),"八年級")</f>
        <v>八年級</v>
      </c>
      <c r="G1972" s="14" t="str">
        <f>IFERROR(__xludf.DUMMYFUNCTION("""COMPUTED_VALUE"""),"獎狀")</f>
        <v>獎狀</v>
      </c>
      <c r="H1972" s="8"/>
    </row>
    <row r="1973">
      <c r="A1973" s="18"/>
      <c r="B1973" s="14">
        <f>IFERROR(__xludf.DUMMYFUNCTION("""COMPUTED_VALUE"""),825316.0)</f>
        <v>825316</v>
      </c>
      <c r="C1973" s="14" t="str">
        <f>IFERROR(__xludf.DUMMYFUNCTION("""COMPUTED_VALUE"""),"陳奕安")</f>
        <v>陳奕安</v>
      </c>
      <c r="D1973" s="16" t="str">
        <f>IFERROR(__xludf.DUMMYFUNCTION("""COMPUTED_VALUE"""),"408*****t.tc.edu.tw")</f>
        <v>408*****t.tc.edu.tw</v>
      </c>
      <c r="E1973" s="17" t="str">
        <f>IFERROR(__xludf.DUMMYFUNCTION("""COMPUTED_VALUE"""),"臺中市立龍井國民中學")</f>
        <v>臺中市立龍井國民中學</v>
      </c>
      <c r="F1973" s="14" t="str">
        <f>IFERROR(__xludf.DUMMYFUNCTION("""COMPUTED_VALUE"""),"八年級")</f>
        <v>八年級</v>
      </c>
      <c r="G1973" s="14" t="str">
        <f>IFERROR(__xludf.DUMMYFUNCTION("""COMPUTED_VALUE"""),"獎狀")</f>
        <v>獎狀</v>
      </c>
      <c r="H1973" s="8"/>
    </row>
    <row r="1974">
      <c r="A1974" s="18"/>
      <c r="B1974" s="14">
        <f>IFERROR(__xludf.DUMMYFUNCTION("""COMPUTED_VALUE"""),825317.0)</f>
        <v>825317</v>
      </c>
      <c r="C1974" s="14" t="str">
        <f>IFERROR(__xludf.DUMMYFUNCTION("""COMPUTED_VALUE"""),"陳奕勳")</f>
        <v>陳奕勳</v>
      </c>
      <c r="D1974" s="16" t="str">
        <f>IFERROR(__xludf.DUMMYFUNCTION("""COMPUTED_VALUE"""),"408*****t.tc.edu.tw")</f>
        <v>408*****t.tc.edu.tw</v>
      </c>
      <c r="E1974" s="17" t="str">
        <f>IFERROR(__xludf.DUMMYFUNCTION("""COMPUTED_VALUE"""),"臺中市立龍井國民中學")</f>
        <v>臺中市立龍井國民中學</v>
      </c>
      <c r="F1974" s="14" t="str">
        <f>IFERROR(__xludf.DUMMYFUNCTION("""COMPUTED_VALUE"""),"八年級")</f>
        <v>八年級</v>
      </c>
      <c r="G1974" s="14" t="str">
        <f>IFERROR(__xludf.DUMMYFUNCTION("""COMPUTED_VALUE"""),"獎狀")</f>
        <v>獎狀</v>
      </c>
      <c r="H1974" s="8"/>
    </row>
    <row r="1975">
      <c r="A1975" s="18"/>
      <c r="B1975" s="14">
        <f>IFERROR(__xludf.DUMMYFUNCTION("""COMPUTED_VALUE"""),385062.0)</f>
        <v>385062</v>
      </c>
      <c r="C1975" s="14" t="str">
        <f>IFERROR(__xludf.DUMMYFUNCTION("""COMPUTED_VALUE"""),"陳柏鈞")</f>
        <v>陳柏鈞</v>
      </c>
      <c r="D1975" s="16" t="str">
        <f>IFERROR(__xludf.DUMMYFUNCTION("""COMPUTED_VALUE"""),"408*****t.tc.edu.tw")</f>
        <v>408*****t.tc.edu.tw</v>
      </c>
      <c r="E1975" s="17" t="str">
        <f>IFERROR(__xludf.DUMMYFUNCTION("""COMPUTED_VALUE"""),"臺中市立龍井國民中學")</f>
        <v>臺中市立龍井國民中學</v>
      </c>
      <c r="F1975" s="14" t="str">
        <f>IFERROR(__xludf.DUMMYFUNCTION("""COMPUTED_VALUE"""),"八年級")</f>
        <v>八年級</v>
      </c>
      <c r="G1975" s="14" t="str">
        <f>IFERROR(__xludf.DUMMYFUNCTION("""COMPUTED_VALUE"""),"獎狀")</f>
        <v>獎狀</v>
      </c>
      <c r="H1975" s="8"/>
    </row>
    <row r="1976">
      <c r="A1976" s="18"/>
      <c r="B1976" s="14">
        <f>IFERROR(__xludf.DUMMYFUNCTION("""COMPUTED_VALUE"""),825309.0)</f>
        <v>825309</v>
      </c>
      <c r="C1976" s="14" t="str">
        <f>IFERROR(__xludf.DUMMYFUNCTION("""COMPUTED_VALUE"""),"黃鈺涵")</f>
        <v>黃鈺涵</v>
      </c>
      <c r="D1976" s="16" t="str">
        <f>IFERROR(__xludf.DUMMYFUNCTION("""COMPUTED_VALUE"""),"408*****t.tc.edu.tw")</f>
        <v>408*****t.tc.edu.tw</v>
      </c>
      <c r="E1976" s="17" t="str">
        <f>IFERROR(__xludf.DUMMYFUNCTION("""COMPUTED_VALUE"""),"臺中市立龍井國民中學")</f>
        <v>臺中市立龍井國民中學</v>
      </c>
      <c r="F1976" s="14" t="str">
        <f>IFERROR(__xludf.DUMMYFUNCTION("""COMPUTED_VALUE"""),"八年級")</f>
        <v>八年級</v>
      </c>
      <c r="G1976" s="14" t="str">
        <f>IFERROR(__xludf.DUMMYFUNCTION("""COMPUTED_VALUE"""),"獎狀")</f>
        <v>獎狀</v>
      </c>
      <c r="H1976" s="8"/>
    </row>
    <row r="1977">
      <c r="A1977" s="18"/>
      <c r="B1977" s="14">
        <f>IFERROR(__xludf.DUMMYFUNCTION("""COMPUTED_VALUE"""),385010.0)</f>
        <v>385010</v>
      </c>
      <c r="C1977" s="14" t="str">
        <f>IFERROR(__xludf.DUMMYFUNCTION("""COMPUTED_VALUE"""),"蔡宥新")</f>
        <v>蔡宥新</v>
      </c>
      <c r="D1977" s="16" t="str">
        <f>IFERROR(__xludf.DUMMYFUNCTION("""COMPUTED_VALUE"""),"408*****t.tc.edu.tw")</f>
        <v>408*****t.tc.edu.tw</v>
      </c>
      <c r="E1977" s="17" t="str">
        <f>IFERROR(__xludf.DUMMYFUNCTION("""COMPUTED_VALUE"""),"臺中市立龍井國民中學")</f>
        <v>臺中市立龍井國民中學</v>
      </c>
      <c r="F1977" s="14" t="str">
        <f>IFERROR(__xludf.DUMMYFUNCTION("""COMPUTED_VALUE"""),"八年級")</f>
        <v>八年級</v>
      </c>
      <c r="G1977" s="14" t="str">
        <f>IFERROR(__xludf.DUMMYFUNCTION("""COMPUTED_VALUE"""),"獎狀")</f>
        <v>獎狀</v>
      </c>
      <c r="H1977" s="8"/>
    </row>
    <row r="1978">
      <c r="A1978" s="18"/>
      <c r="B1978" s="14">
        <f>IFERROR(__xludf.DUMMYFUNCTION("""COMPUTED_VALUE"""),1180983.0)</f>
        <v>1180983</v>
      </c>
      <c r="C1978" s="14" t="str">
        <f>IFERROR(__xludf.DUMMYFUNCTION("""COMPUTED_VALUE"""),"鍾明峰")</f>
        <v>鍾明峰</v>
      </c>
      <c r="D1978" s="16" t="str">
        <f>IFERROR(__xludf.DUMMYFUNCTION("""COMPUTED_VALUE"""),"424*****t.tc.edu.tw")</f>
        <v>424*****t.tc.edu.tw</v>
      </c>
      <c r="E1978" s="17" t="str">
        <f>IFERROR(__xludf.DUMMYFUNCTION("""COMPUTED_VALUE"""),"臺中市立龍井國民中學")</f>
        <v>臺中市立龍井國民中學</v>
      </c>
      <c r="F1978" s="14" t="str">
        <f>IFERROR(__xludf.DUMMYFUNCTION("""COMPUTED_VALUE"""),"八年級")</f>
        <v>八年級</v>
      </c>
      <c r="G1978" s="14" t="str">
        <f>IFERROR(__xludf.DUMMYFUNCTION("""COMPUTED_VALUE"""),"獎狀")</f>
        <v>獎狀</v>
      </c>
      <c r="H1978" s="8"/>
    </row>
    <row r="1979">
      <c r="A1979" s="18"/>
      <c r="B1979" s="14">
        <f>IFERROR(__xludf.DUMMYFUNCTION("""COMPUTED_VALUE"""),161561.0)</f>
        <v>161561</v>
      </c>
      <c r="C1979" s="14" t="str">
        <f>IFERROR(__xludf.DUMMYFUNCTION("""COMPUTED_VALUE"""),"林芸萱")</f>
        <v>林芸萱</v>
      </c>
      <c r="D1979" s="16" t="str">
        <f>IFERROR(__xludf.DUMMYFUNCTION("""COMPUTED_VALUE"""),"jen*****ang725@gmail.com")</f>
        <v>jen*****ang725@gmail.com</v>
      </c>
      <c r="E1979" s="17" t="str">
        <f>IFERROR(__xludf.DUMMYFUNCTION("""COMPUTED_VALUE"""),"臺中市立梧棲國民中學")</f>
        <v>臺中市立梧棲國民中學</v>
      </c>
      <c r="F1979" s="14" t="str">
        <f>IFERROR(__xludf.DUMMYFUNCTION("""COMPUTED_VALUE"""),"七年級")</f>
        <v>七年級</v>
      </c>
      <c r="G1979" s="14" t="str">
        <f>IFERROR(__xludf.DUMMYFUNCTION("""COMPUTED_VALUE"""),"●小禮物")</f>
        <v>●小禮物</v>
      </c>
      <c r="H1979" s="8"/>
    </row>
    <row r="1980">
      <c r="A1980" s="18"/>
      <c r="B1980" s="14">
        <f>IFERROR(__xludf.DUMMYFUNCTION("""COMPUTED_VALUE"""),832277.0)</f>
        <v>832277</v>
      </c>
      <c r="C1980" s="14" t="str">
        <f>IFERROR(__xludf.DUMMYFUNCTION("""COMPUTED_VALUE"""),"鄭雲庭")</f>
        <v>鄭雲庭</v>
      </c>
      <c r="D1980" s="16" t="str">
        <f>IFERROR(__xludf.DUMMYFUNCTION("""COMPUTED_VALUE"""),"tc.*****1373@mail.edu.tw")</f>
        <v>tc.*****1373@mail.edu.tw</v>
      </c>
      <c r="E1980" s="17" t="str">
        <f>IFERROR(__xludf.DUMMYFUNCTION("""COMPUTED_VALUE"""),"臺中市立清水國民中學")</f>
        <v>臺中市立清水國民中學</v>
      </c>
      <c r="F1980" s="14" t="str">
        <f>IFERROR(__xludf.DUMMYFUNCTION("""COMPUTED_VALUE"""),"七年級")</f>
        <v>七年級</v>
      </c>
      <c r="G1980" s="14" t="str">
        <f>IFERROR(__xludf.DUMMYFUNCTION("""COMPUTED_VALUE"""),"●小禮物")</f>
        <v>●小禮物</v>
      </c>
      <c r="H1980" s="8"/>
    </row>
    <row r="1981">
      <c r="A1981" s="18"/>
      <c r="B1981" s="14">
        <f>IFERROR(__xludf.DUMMYFUNCTION("""COMPUTED_VALUE"""),910576.0)</f>
        <v>910576</v>
      </c>
      <c r="C1981" s="14" t="str">
        <f>IFERROR(__xludf.DUMMYFUNCTION("""COMPUTED_VALUE"""),"陳宏隽")</f>
        <v>陳宏隽</v>
      </c>
      <c r="D1981" s="16" t="str">
        <f>IFERROR(__xludf.DUMMYFUNCTION("""COMPUTED_VALUE"""),"407*****t.tc.edu.tw")</f>
        <v>407*****t.tc.edu.tw</v>
      </c>
      <c r="E1981" s="17" t="str">
        <f>IFERROR(__xludf.DUMMYFUNCTION("""COMPUTED_VALUE"""),"臺中市立大甲國民中學")</f>
        <v>臺中市立大甲國民中學</v>
      </c>
      <c r="F1981" s="14" t="str">
        <f>IFERROR(__xludf.DUMMYFUNCTION("""COMPUTED_VALUE"""),"八年級")</f>
        <v>八年級</v>
      </c>
      <c r="G1981" s="14" t="str">
        <f>IFERROR(__xludf.DUMMYFUNCTION("""COMPUTED_VALUE"""),"●小禮物")</f>
        <v>●小禮物</v>
      </c>
      <c r="H1981" s="8"/>
    </row>
    <row r="1982">
      <c r="A1982" s="18"/>
      <c r="B1982" s="14">
        <f>IFERROR(__xludf.DUMMYFUNCTION("""COMPUTED_VALUE"""),892446.0)</f>
        <v>892446</v>
      </c>
      <c r="C1982" s="14" t="str">
        <f>IFERROR(__xludf.DUMMYFUNCTION("""COMPUTED_VALUE"""),"鄧富丞")</f>
        <v>鄧富丞</v>
      </c>
      <c r="D1982" s="16" t="str">
        <f>IFERROR(__xludf.DUMMYFUNCTION("""COMPUTED_VALUE"""),"407*****t.tc.edu.tw")</f>
        <v>407*****t.tc.edu.tw</v>
      </c>
      <c r="E1982" s="17" t="str">
        <f>IFERROR(__xludf.DUMMYFUNCTION("""COMPUTED_VALUE"""),"臺中市立大甲國民中學")</f>
        <v>臺中市立大甲國民中學</v>
      </c>
      <c r="F1982" s="14" t="str">
        <f>IFERROR(__xludf.DUMMYFUNCTION("""COMPUTED_VALUE"""),"八年級")</f>
        <v>八年級</v>
      </c>
      <c r="G1982" s="14" t="str">
        <f>IFERROR(__xludf.DUMMYFUNCTION("""COMPUTED_VALUE"""),"●小禮物")</f>
        <v>●小禮物</v>
      </c>
      <c r="H1982" s="8"/>
    </row>
    <row r="1983">
      <c r="A1983" s="18"/>
      <c r="B1983" s="14">
        <f>IFERROR(__xludf.DUMMYFUNCTION("""COMPUTED_VALUE"""),869248.0)</f>
        <v>869248</v>
      </c>
      <c r="C1983" s="14" t="str">
        <f>IFERROR(__xludf.DUMMYFUNCTION("""COMPUTED_VALUE"""),"陳首君")</f>
        <v>陳首君</v>
      </c>
      <c r="D1983" s="16" t="str">
        <f>IFERROR(__xludf.DUMMYFUNCTION("""COMPUTED_VALUE"""),"emi*****n0226@chc.edu.tw")</f>
        <v>emi*****n0226@chc.edu.tw</v>
      </c>
      <c r="E1983" s="17" t="str">
        <f>IFERROR(__xludf.DUMMYFUNCTION("""COMPUTED_VALUE"""),"彰化縣立彰泰國民中學")</f>
        <v>彰化縣立彰泰國民中學</v>
      </c>
      <c r="F1983" s="14" t="str">
        <f>IFERROR(__xludf.DUMMYFUNCTION("""COMPUTED_VALUE"""),"八年級")</f>
        <v>八年級</v>
      </c>
      <c r="G1983" s="14" t="str">
        <f>IFERROR(__xludf.DUMMYFUNCTION("""COMPUTED_VALUE"""),"●小禮物")</f>
        <v>●小禮物</v>
      </c>
      <c r="H1983" s="8"/>
    </row>
    <row r="1984">
      <c r="A1984" s="18"/>
      <c r="B1984" s="14">
        <f>IFERROR(__xludf.DUMMYFUNCTION("""COMPUTED_VALUE"""),711988.0)</f>
        <v>711988</v>
      </c>
      <c r="C1984" s="14" t="str">
        <f>IFERROR(__xludf.DUMMYFUNCTION("""COMPUTED_VALUE"""),"吳炘霓")</f>
        <v>吳炘霓</v>
      </c>
      <c r="D1984" s="16" t="str">
        <f>IFERROR(__xludf.DUMMYFUNCTION("""COMPUTED_VALUE"""),"app*****4160@chc.edu.tw")</f>
        <v>app*****4160@chc.edu.tw</v>
      </c>
      <c r="E1984" s="17" t="str">
        <f>IFERROR(__xludf.DUMMYFUNCTION("""COMPUTED_VALUE"""),"彰化縣立彰化藝術高級中學附設國中部")</f>
        <v>彰化縣立彰化藝術高級中學附設國中部</v>
      </c>
      <c r="F1984" s="14" t="str">
        <f>IFERROR(__xludf.DUMMYFUNCTION("""COMPUTED_VALUE"""),"八年級")</f>
        <v>八年級</v>
      </c>
      <c r="G1984" s="14" t="str">
        <f>IFERROR(__xludf.DUMMYFUNCTION("""COMPUTED_VALUE"""),"獎狀")</f>
        <v>獎狀</v>
      </c>
      <c r="H1984" s="8"/>
    </row>
    <row r="1985">
      <c r="A1985" s="18"/>
      <c r="B1985" s="14">
        <f>IFERROR(__xludf.DUMMYFUNCTION("""COMPUTED_VALUE"""),1194915.0)</f>
        <v>1194915</v>
      </c>
      <c r="C1985" s="14" t="str">
        <f>IFERROR(__xludf.DUMMYFUNCTION("""COMPUTED_VALUE"""),"李政哲")</f>
        <v>李政哲</v>
      </c>
      <c r="D1985" s="16" t="str">
        <f>IFERROR(__xludf.DUMMYFUNCTION("""COMPUTED_VALUE"""),"111*****stu.cchs.chc.edu.tw")</f>
        <v>111*****stu.cchs.chc.edu.tw</v>
      </c>
      <c r="E1985" s="17" t="str">
        <f>IFERROR(__xludf.DUMMYFUNCTION("""COMPUTED_VALUE"""),"彰化縣私立精誠高級中學附設國中部")</f>
        <v>彰化縣私立精誠高級中學附設國中部</v>
      </c>
      <c r="F1985" s="14" t="str">
        <f>IFERROR(__xludf.DUMMYFUNCTION("""COMPUTED_VALUE"""),"七年級")</f>
        <v>七年級</v>
      </c>
      <c r="G1985" s="14" t="str">
        <f>IFERROR(__xludf.DUMMYFUNCTION("""COMPUTED_VALUE"""),"●小禮物")</f>
        <v>●小禮物</v>
      </c>
      <c r="H1985" s="8"/>
    </row>
    <row r="1986">
      <c r="A1986" s="18"/>
      <c r="B1986" s="14">
        <f>IFERROR(__xludf.DUMMYFUNCTION("""COMPUTED_VALUE"""),1194951.0)</f>
        <v>1194951</v>
      </c>
      <c r="C1986" s="14" t="str">
        <f>IFERROR(__xludf.DUMMYFUNCTION("""COMPUTED_VALUE"""),"黃芝妍")</f>
        <v>黃芝妍</v>
      </c>
      <c r="D1986" s="16" t="str">
        <f>IFERROR(__xludf.DUMMYFUNCTION("""COMPUTED_VALUE"""),"111*****stu.cchs.chc.edu.tw")</f>
        <v>111*****stu.cchs.chc.edu.tw</v>
      </c>
      <c r="E1986" s="17" t="str">
        <f>IFERROR(__xludf.DUMMYFUNCTION("""COMPUTED_VALUE"""),"彰化縣私立精誠高級中學附設國中部")</f>
        <v>彰化縣私立精誠高級中學附設國中部</v>
      </c>
      <c r="F1986" s="14" t="str">
        <f>IFERROR(__xludf.DUMMYFUNCTION("""COMPUTED_VALUE"""),"七年級")</f>
        <v>七年級</v>
      </c>
      <c r="G1986" s="14" t="str">
        <f>IFERROR(__xludf.DUMMYFUNCTION("""COMPUTED_VALUE"""),"●小禮物")</f>
        <v>●小禮物</v>
      </c>
      <c r="H1986" s="8"/>
    </row>
    <row r="1987">
      <c r="A1987" s="18"/>
      <c r="B1987" s="14">
        <f>IFERROR(__xludf.DUMMYFUNCTION("""COMPUTED_VALUE"""),1194939.0)</f>
        <v>1194939</v>
      </c>
      <c r="C1987" s="14" t="str">
        <f>IFERROR(__xludf.DUMMYFUNCTION("""COMPUTED_VALUE"""),"吳碩程")</f>
        <v>吳碩程</v>
      </c>
      <c r="D1987" s="16" t="str">
        <f>IFERROR(__xludf.DUMMYFUNCTION("""COMPUTED_VALUE"""),"111*****stu.cchs.chc.edu.tw")</f>
        <v>111*****stu.cchs.chc.edu.tw</v>
      </c>
      <c r="E1987" s="17" t="str">
        <f>IFERROR(__xludf.DUMMYFUNCTION("""COMPUTED_VALUE"""),"彰化縣私立精誠高級中學附設國中部")</f>
        <v>彰化縣私立精誠高級中學附設國中部</v>
      </c>
      <c r="F1987" s="14" t="str">
        <f>IFERROR(__xludf.DUMMYFUNCTION("""COMPUTED_VALUE"""),"七年級")</f>
        <v>七年級</v>
      </c>
      <c r="G1987" s="14" t="str">
        <f>IFERROR(__xludf.DUMMYFUNCTION("""COMPUTED_VALUE"""),"獎狀")</f>
        <v>獎狀</v>
      </c>
      <c r="H1987" s="8"/>
    </row>
    <row r="1988">
      <c r="A1988" s="18"/>
      <c r="B1988" s="14">
        <f>IFERROR(__xludf.DUMMYFUNCTION("""COMPUTED_VALUE"""),1194936.0)</f>
        <v>1194936</v>
      </c>
      <c r="C1988" s="14" t="str">
        <f>IFERROR(__xludf.DUMMYFUNCTION("""COMPUTED_VALUE"""),"莊棉琹")</f>
        <v>莊棉琹</v>
      </c>
      <c r="D1988" s="16" t="str">
        <f>IFERROR(__xludf.DUMMYFUNCTION("""COMPUTED_VALUE"""),"111*****stu.cchs.chc.edu.tw")</f>
        <v>111*****stu.cchs.chc.edu.tw</v>
      </c>
      <c r="E1988" s="17" t="str">
        <f>IFERROR(__xludf.DUMMYFUNCTION("""COMPUTED_VALUE"""),"彰化縣私立精誠高級中學附設國中部")</f>
        <v>彰化縣私立精誠高級中學附設國中部</v>
      </c>
      <c r="F1988" s="14" t="str">
        <f>IFERROR(__xludf.DUMMYFUNCTION("""COMPUTED_VALUE"""),"七年級")</f>
        <v>七年級</v>
      </c>
      <c r="G1988" s="14" t="str">
        <f>IFERROR(__xludf.DUMMYFUNCTION("""COMPUTED_VALUE"""),"獎狀")</f>
        <v>獎狀</v>
      </c>
      <c r="H1988" s="8"/>
    </row>
    <row r="1989">
      <c r="A1989" s="18"/>
      <c r="B1989" s="14">
        <f>IFERROR(__xludf.DUMMYFUNCTION("""COMPUTED_VALUE"""),1194944.0)</f>
        <v>1194944</v>
      </c>
      <c r="C1989" s="14" t="str">
        <f>IFERROR(__xludf.DUMMYFUNCTION("""COMPUTED_VALUE"""),"陳柏融")</f>
        <v>陳柏融</v>
      </c>
      <c r="D1989" s="16" t="str">
        <f>IFERROR(__xludf.DUMMYFUNCTION("""COMPUTED_VALUE"""),"111*****stu.cchs.chc.edu.tw")</f>
        <v>111*****stu.cchs.chc.edu.tw</v>
      </c>
      <c r="E1989" s="17" t="str">
        <f>IFERROR(__xludf.DUMMYFUNCTION("""COMPUTED_VALUE"""),"彰化縣私立精誠高級中學附設國中部")</f>
        <v>彰化縣私立精誠高級中學附設國中部</v>
      </c>
      <c r="F1989" s="14" t="str">
        <f>IFERROR(__xludf.DUMMYFUNCTION("""COMPUTED_VALUE"""),"七年級")</f>
        <v>七年級</v>
      </c>
      <c r="G1989" s="14" t="str">
        <f>IFERROR(__xludf.DUMMYFUNCTION("""COMPUTED_VALUE"""),"獎狀")</f>
        <v>獎狀</v>
      </c>
      <c r="H1989" s="8"/>
    </row>
    <row r="1990">
      <c r="A1990" s="18"/>
      <c r="B1990" s="14">
        <f>IFERROR(__xludf.DUMMYFUNCTION("""COMPUTED_VALUE"""),1194922.0)</f>
        <v>1194922</v>
      </c>
      <c r="C1990" s="14" t="str">
        <f>IFERROR(__xludf.DUMMYFUNCTION("""COMPUTED_VALUE"""),"陳義鈞")</f>
        <v>陳義鈞</v>
      </c>
      <c r="D1990" s="16" t="str">
        <f>IFERROR(__xludf.DUMMYFUNCTION("""COMPUTED_VALUE"""),"111*****stu.cchs.chc.edu.tw")</f>
        <v>111*****stu.cchs.chc.edu.tw</v>
      </c>
      <c r="E1990" s="17" t="str">
        <f>IFERROR(__xludf.DUMMYFUNCTION("""COMPUTED_VALUE"""),"彰化縣私立精誠高級中學附設國中部")</f>
        <v>彰化縣私立精誠高級中學附設國中部</v>
      </c>
      <c r="F1990" s="14" t="str">
        <f>IFERROR(__xludf.DUMMYFUNCTION("""COMPUTED_VALUE"""),"七年級")</f>
        <v>七年級</v>
      </c>
      <c r="G1990" s="14" t="str">
        <f>IFERROR(__xludf.DUMMYFUNCTION("""COMPUTED_VALUE"""),"獎狀")</f>
        <v>獎狀</v>
      </c>
      <c r="H1990" s="8"/>
    </row>
    <row r="1991">
      <c r="A1991" s="18"/>
      <c r="B1991" s="14">
        <f>IFERROR(__xludf.DUMMYFUNCTION("""COMPUTED_VALUE"""),1191136.0)</f>
        <v>1191136</v>
      </c>
      <c r="C1991" s="14" t="str">
        <f>IFERROR(__xludf.DUMMYFUNCTION("""COMPUTED_VALUE"""),"鄭筱璇")</f>
        <v>鄭筱璇</v>
      </c>
      <c r="D1991" s="16" t="str">
        <f>IFERROR(__xludf.DUMMYFUNCTION("""COMPUTED_VALUE"""),"111*****stu.cchs.chc.edu.tw")</f>
        <v>111*****stu.cchs.chc.edu.tw</v>
      </c>
      <c r="E1991" s="17" t="str">
        <f>IFERROR(__xludf.DUMMYFUNCTION("""COMPUTED_VALUE"""),"彰化縣私立精誠高級中學附設國中部")</f>
        <v>彰化縣私立精誠高級中學附設國中部</v>
      </c>
      <c r="F1991" s="14" t="str">
        <f>IFERROR(__xludf.DUMMYFUNCTION("""COMPUTED_VALUE"""),"七年級")</f>
        <v>七年級</v>
      </c>
      <c r="G1991" s="14" t="str">
        <f>IFERROR(__xludf.DUMMYFUNCTION("""COMPUTED_VALUE"""),"●小禮物")</f>
        <v>●小禮物</v>
      </c>
      <c r="H1991" s="8"/>
    </row>
    <row r="1992">
      <c r="A1992" s="18"/>
      <c r="B1992" s="14">
        <f>IFERROR(__xludf.DUMMYFUNCTION("""COMPUTED_VALUE"""),1191110.0)</f>
        <v>1191110</v>
      </c>
      <c r="C1992" s="14" t="str">
        <f>IFERROR(__xludf.DUMMYFUNCTION("""COMPUTED_VALUE"""),"江沂臻")</f>
        <v>江沂臻</v>
      </c>
      <c r="D1992" s="16" t="str">
        <f>IFERROR(__xludf.DUMMYFUNCTION("""COMPUTED_VALUE"""),"111*****stu.cchs.chc.edu.tw")</f>
        <v>111*****stu.cchs.chc.edu.tw</v>
      </c>
      <c r="E1992" s="17" t="str">
        <f>IFERROR(__xludf.DUMMYFUNCTION("""COMPUTED_VALUE"""),"彰化縣私立精誠高級中學附設國中部")</f>
        <v>彰化縣私立精誠高級中學附設國中部</v>
      </c>
      <c r="F1992" s="14" t="str">
        <f>IFERROR(__xludf.DUMMYFUNCTION("""COMPUTED_VALUE"""),"七年級")</f>
        <v>七年級</v>
      </c>
      <c r="G1992" s="14" t="str">
        <f>IFERROR(__xludf.DUMMYFUNCTION("""COMPUTED_VALUE"""),"獎狀")</f>
        <v>獎狀</v>
      </c>
      <c r="H1992" s="8"/>
    </row>
    <row r="1993">
      <c r="A1993" s="18"/>
      <c r="B1993" s="14">
        <f>IFERROR(__xludf.DUMMYFUNCTION("""COMPUTED_VALUE"""),1191133.0)</f>
        <v>1191133</v>
      </c>
      <c r="C1993" s="14" t="str">
        <f>IFERROR(__xludf.DUMMYFUNCTION("""COMPUTED_VALUE"""),"吳芮慈")</f>
        <v>吳芮慈</v>
      </c>
      <c r="D1993" s="16" t="str">
        <f>IFERROR(__xludf.DUMMYFUNCTION("""COMPUTED_VALUE"""),"111*****stu.cchs.chc.edu.tw")</f>
        <v>111*****stu.cchs.chc.edu.tw</v>
      </c>
      <c r="E1993" s="17" t="str">
        <f>IFERROR(__xludf.DUMMYFUNCTION("""COMPUTED_VALUE"""),"彰化縣私立精誠高級中學附設國中部")</f>
        <v>彰化縣私立精誠高級中學附設國中部</v>
      </c>
      <c r="F1993" s="14" t="str">
        <f>IFERROR(__xludf.DUMMYFUNCTION("""COMPUTED_VALUE"""),"七年級")</f>
        <v>七年級</v>
      </c>
      <c r="G1993" s="14" t="str">
        <f>IFERROR(__xludf.DUMMYFUNCTION("""COMPUTED_VALUE"""),"獎狀")</f>
        <v>獎狀</v>
      </c>
      <c r="H1993" s="8"/>
    </row>
    <row r="1994">
      <c r="A1994" s="18"/>
      <c r="B1994" s="14">
        <f>IFERROR(__xludf.DUMMYFUNCTION("""COMPUTED_VALUE"""),1193848.0)</f>
        <v>1193848</v>
      </c>
      <c r="C1994" s="14" t="str">
        <f>IFERROR(__xludf.DUMMYFUNCTION("""COMPUTED_VALUE"""),"邱建瑋")</f>
        <v>邱建瑋</v>
      </c>
      <c r="D1994" s="16" t="str">
        <f>IFERROR(__xludf.DUMMYFUNCTION("""COMPUTED_VALUE"""),"111*****stu.cchs.chc.edu.tw")</f>
        <v>111*****stu.cchs.chc.edu.tw</v>
      </c>
      <c r="E1994" s="17" t="str">
        <f>IFERROR(__xludf.DUMMYFUNCTION("""COMPUTED_VALUE"""),"彰化縣私立精誠高級中學附設國中部")</f>
        <v>彰化縣私立精誠高級中學附設國中部</v>
      </c>
      <c r="F1994" s="14" t="str">
        <f>IFERROR(__xludf.DUMMYFUNCTION("""COMPUTED_VALUE"""),"七年級")</f>
        <v>七年級</v>
      </c>
      <c r="G1994" s="14" t="str">
        <f>IFERROR(__xludf.DUMMYFUNCTION("""COMPUTED_VALUE"""),"●小禮物")</f>
        <v>●小禮物</v>
      </c>
      <c r="H1994" s="8"/>
    </row>
    <row r="1995">
      <c r="A1995" s="18"/>
      <c r="B1995" s="14">
        <f>IFERROR(__xludf.DUMMYFUNCTION("""COMPUTED_VALUE"""),1193860.0)</f>
        <v>1193860</v>
      </c>
      <c r="C1995" s="14" t="str">
        <f>IFERROR(__xludf.DUMMYFUNCTION("""COMPUTED_VALUE"""),"徐靖閎")</f>
        <v>徐靖閎</v>
      </c>
      <c r="D1995" s="16" t="str">
        <f>IFERROR(__xludf.DUMMYFUNCTION("""COMPUTED_VALUE"""),"111*****stu.cchs.chc.edu.tw")</f>
        <v>111*****stu.cchs.chc.edu.tw</v>
      </c>
      <c r="E1995" s="17" t="str">
        <f>IFERROR(__xludf.DUMMYFUNCTION("""COMPUTED_VALUE"""),"彰化縣私立精誠高級中學附設國中部")</f>
        <v>彰化縣私立精誠高級中學附設國中部</v>
      </c>
      <c r="F1995" s="14" t="str">
        <f>IFERROR(__xludf.DUMMYFUNCTION("""COMPUTED_VALUE"""),"七年級")</f>
        <v>七年級</v>
      </c>
      <c r="G1995" s="14" t="str">
        <f>IFERROR(__xludf.DUMMYFUNCTION("""COMPUTED_VALUE"""),"●小禮物")</f>
        <v>●小禮物</v>
      </c>
      <c r="H1995" s="8"/>
    </row>
    <row r="1996">
      <c r="A1996" s="18"/>
      <c r="B1996" s="14">
        <f>IFERROR(__xludf.DUMMYFUNCTION("""COMPUTED_VALUE"""),1193841.0)</f>
        <v>1193841</v>
      </c>
      <c r="C1996" s="14" t="str">
        <f>IFERROR(__xludf.DUMMYFUNCTION("""COMPUTED_VALUE"""),"陳文爾")</f>
        <v>陳文爾</v>
      </c>
      <c r="D1996" s="16" t="str">
        <f>IFERROR(__xludf.DUMMYFUNCTION("""COMPUTED_VALUE"""),"111*****stu.cchs.chc.edu.tw")</f>
        <v>111*****stu.cchs.chc.edu.tw</v>
      </c>
      <c r="E1996" s="17" t="str">
        <f>IFERROR(__xludf.DUMMYFUNCTION("""COMPUTED_VALUE"""),"彰化縣私立精誠高級中學附設國中部")</f>
        <v>彰化縣私立精誠高級中學附設國中部</v>
      </c>
      <c r="F1996" s="14" t="str">
        <f>IFERROR(__xludf.DUMMYFUNCTION("""COMPUTED_VALUE"""),"七年級")</f>
        <v>七年級</v>
      </c>
      <c r="G1996" s="14" t="str">
        <f>IFERROR(__xludf.DUMMYFUNCTION("""COMPUTED_VALUE"""),"●小禮物")</f>
        <v>●小禮物</v>
      </c>
      <c r="H1996" s="8"/>
    </row>
    <row r="1997">
      <c r="A1997" s="18"/>
      <c r="B1997" s="14">
        <f>IFERROR(__xludf.DUMMYFUNCTION("""COMPUTED_VALUE"""),1193844.0)</f>
        <v>1193844</v>
      </c>
      <c r="C1997" s="14" t="str">
        <f>IFERROR(__xludf.DUMMYFUNCTION("""COMPUTED_VALUE"""),"黄重恩")</f>
        <v>黄重恩</v>
      </c>
      <c r="D1997" s="16" t="str">
        <f>IFERROR(__xludf.DUMMYFUNCTION("""COMPUTED_VALUE"""),"111*****stu.cchs.chc.edu.tw")</f>
        <v>111*****stu.cchs.chc.edu.tw</v>
      </c>
      <c r="E1997" s="17" t="str">
        <f>IFERROR(__xludf.DUMMYFUNCTION("""COMPUTED_VALUE"""),"彰化縣私立精誠高級中學附設國中部")</f>
        <v>彰化縣私立精誠高級中學附設國中部</v>
      </c>
      <c r="F1997" s="14" t="str">
        <f>IFERROR(__xludf.DUMMYFUNCTION("""COMPUTED_VALUE"""),"七年級")</f>
        <v>七年級</v>
      </c>
      <c r="G1997" s="14" t="str">
        <f>IFERROR(__xludf.DUMMYFUNCTION("""COMPUTED_VALUE"""),"●小禮物")</f>
        <v>●小禮物</v>
      </c>
      <c r="H1997" s="8"/>
    </row>
    <row r="1998">
      <c r="A1998" s="18"/>
      <c r="B1998" s="14">
        <f>IFERROR(__xludf.DUMMYFUNCTION("""COMPUTED_VALUE"""),1193834.0)</f>
        <v>1193834</v>
      </c>
      <c r="C1998" s="14" t="str">
        <f>IFERROR(__xludf.DUMMYFUNCTION("""COMPUTED_VALUE"""),"楊昀蓁")</f>
        <v>楊昀蓁</v>
      </c>
      <c r="D1998" s="16" t="str">
        <f>IFERROR(__xludf.DUMMYFUNCTION("""COMPUTED_VALUE"""),"111*****stu.cchs.chc.edu.tw")</f>
        <v>111*****stu.cchs.chc.edu.tw</v>
      </c>
      <c r="E1998" s="17" t="str">
        <f>IFERROR(__xludf.DUMMYFUNCTION("""COMPUTED_VALUE"""),"彰化縣私立精誠高級中學附設國中部")</f>
        <v>彰化縣私立精誠高級中學附設國中部</v>
      </c>
      <c r="F1998" s="14" t="str">
        <f>IFERROR(__xludf.DUMMYFUNCTION("""COMPUTED_VALUE"""),"七年級")</f>
        <v>七年級</v>
      </c>
      <c r="G1998" s="14" t="str">
        <f>IFERROR(__xludf.DUMMYFUNCTION("""COMPUTED_VALUE"""),"●小禮物")</f>
        <v>●小禮物</v>
      </c>
      <c r="H1998" s="8"/>
    </row>
    <row r="1999">
      <c r="A1999" s="18"/>
      <c r="B1999" s="14">
        <f>IFERROR(__xludf.DUMMYFUNCTION("""COMPUTED_VALUE"""),1193853.0)</f>
        <v>1193853</v>
      </c>
      <c r="C1999" s="14" t="str">
        <f>IFERROR(__xludf.DUMMYFUNCTION("""COMPUTED_VALUE"""),"江脩亞")</f>
        <v>江脩亞</v>
      </c>
      <c r="D1999" s="16" t="str">
        <f>IFERROR(__xludf.DUMMYFUNCTION("""COMPUTED_VALUE"""),"111*****stu.cchs.chc.edu.tw")</f>
        <v>111*****stu.cchs.chc.edu.tw</v>
      </c>
      <c r="E1999" s="17" t="str">
        <f>IFERROR(__xludf.DUMMYFUNCTION("""COMPUTED_VALUE"""),"彰化縣私立精誠高級中學附設國中部")</f>
        <v>彰化縣私立精誠高級中學附設國中部</v>
      </c>
      <c r="F1999" s="14" t="str">
        <f>IFERROR(__xludf.DUMMYFUNCTION("""COMPUTED_VALUE"""),"七年級")</f>
        <v>七年級</v>
      </c>
      <c r="G1999" s="14" t="str">
        <f>IFERROR(__xludf.DUMMYFUNCTION("""COMPUTED_VALUE"""),"獎狀")</f>
        <v>獎狀</v>
      </c>
      <c r="H1999" s="8"/>
    </row>
    <row r="2000">
      <c r="A2000" s="18"/>
      <c r="B2000" s="14">
        <f>IFERROR(__xludf.DUMMYFUNCTION("""COMPUTED_VALUE"""),1193826.0)</f>
        <v>1193826</v>
      </c>
      <c r="C2000" s="14" t="str">
        <f>IFERROR(__xludf.DUMMYFUNCTION("""COMPUTED_VALUE"""),"林柏澄")</f>
        <v>林柏澄</v>
      </c>
      <c r="D2000" s="16" t="str">
        <f>IFERROR(__xludf.DUMMYFUNCTION("""COMPUTED_VALUE"""),"111*****stu.cchs.chc.edu.tw")</f>
        <v>111*****stu.cchs.chc.edu.tw</v>
      </c>
      <c r="E2000" s="17" t="str">
        <f>IFERROR(__xludf.DUMMYFUNCTION("""COMPUTED_VALUE"""),"彰化縣私立精誠高級中學附設國中部")</f>
        <v>彰化縣私立精誠高級中學附設國中部</v>
      </c>
      <c r="F2000" s="14" t="str">
        <f>IFERROR(__xludf.DUMMYFUNCTION("""COMPUTED_VALUE"""),"七年級")</f>
        <v>七年級</v>
      </c>
      <c r="G2000" s="14" t="str">
        <f>IFERROR(__xludf.DUMMYFUNCTION("""COMPUTED_VALUE"""),"獎狀")</f>
        <v>獎狀</v>
      </c>
      <c r="H2000" s="8"/>
    </row>
    <row r="2001">
      <c r="A2001" s="18"/>
      <c r="B2001" s="14">
        <f>IFERROR(__xludf.DUMMYFUNCTION("""COMPUTED_VALUE"""),1193831.0)</f>
        <v>1193831</v>
      </c>
      <c r="C2001" s="14" t="str">
        <f>IFERROR(__xludf.DUMMYFUNCTION("""COMPUTED_VALUE"""),"洪宇賢")</f>
        <v>洪宇賢</v>
      </c>
      <c r="D2001" s="16" t="str">
        <f>IFERROR(__xludf.DUMMYFUNCTION("""COMPUTED_VALUE"""),"111*****stu.cchs.chc.edu.tw")</f>
        <v>111*****stu.cchs.chc.edu.tw</v>
      </c>
      <c r="E2001" s="17" t="str">
        <f>IFERROR(__xludf.DUMMYFUNCTION("""COMPUTED_VALUE"""),"彰化縣私立精誠高級中學附設國中部")</f>
        <v>彰化縣私立精誠高級中學附設國中部</v>
      </c>
      <c r="F2001" s="14" t="str">
        <f>IFERROR(__xludf.DUMMYFUNCTION("""COMPUTED_VALUE"""),"七年級")</f>
        <v>七年級</v>
      </c>
      <c r="G2001" s="14" t="str">
        <f>IFERROR(__xludf.DUMMYFUNCTION("""COMPUTED_VALUE"""),"獎狀")</f>
        <v>獎狀</v>
      </c>
      <c r="H2001" s="8"/>
    </row>
    <row r="2002">
      <c r="A2002" s="18"/>
      <c r="B2002" s="14">
        <f>IFERROR(__xludf.DUMMYFUNCTION("""COMPUTED_VALUE"""),1193836.0)</f>
        <v>1193836</v>
      </c>
      <c r="C2002" s="14" t="str">
        <f>IFERROR(__xludf.DUMMYFUNCTION("""COMPUTED_VALUE"""),"莊叡宸")</f>
        <v>莊叡宸</v>
      </c>
      <c r="D2002" s="16" t="str">
        <f>IFERROR(__xludf.DUMMYFUNCTION("""COMPUTED_VALUE"""),"111*****stu.cchs.chc.edu.tw")</f>
        <v>111*****stu.cchs.chc.edu.tw</v>
      </c>
      <c r="E2002" s="17" t="str">
        <f>IFERROR(__xludf.DUMMYFUNCTION("""COMPUTED_VALUE"""),"彰化縣私立精誠高級中學附設國中部")</f>
        <v>彰化縣私立精誠高級中學附設國中部</v>
      </c>
      <c r="F2002" s="14" t="str">
        <f>IFERROR(__xludf.DUMMYFUNCTION("""COMPUTED_VALUE"""),"七年級")</f>
        <v>七年級</v>
      </c>
      <c r="G2002" s="14" t="str">
        <f>IFERROR(__xludf.DUMMYFUNCTION("""COMPUTED_VALUE"""),"獎狀")</f>
        <v>獎狀</v>
      </c>
      <c r="H2002" s="8"/>
    </row>
    <row r="2003">
      <c r="A2003" s="18"/>
      <c r="B2003" s="14">
        <f>IFERROR(__xludf.DUMMYFUNCTION("""COMPUTED_VALUE"""),1193856.0)</f>
        <v>1193856</v>
      </c>
      <c r="C2003" s="14" t="str">
        <f>IFERROR(__xludf.DUMMYFUNCTION("""COMPUTED_VALUE"""),"陳宥豪")</f>
        <v>陳宥豪</v>
      </c>
      <c r="D2003" s="16" t="str">
        <f>IFERROR(__xludf.DUMMYFUNCTION("""COMPUTED_VALUE"""),"111*****stu.cchs.chc.edu.tw")</f>
        <v>111*****stu.cchs.chc.edu.tw</v>
      </c>
      <c r="E2003" s="17" t="str">
        <f>IFERROR(__xludf.DUMMYFUNCTION("""COMPUTED_VALUE"""),"彰化縣私立精誠高級中學附設國中部")</f>
        <v>彰化縣私立精誠高級中學附設國中部</v>
      </c>
      <c r="F2003" s="14" t="str">
        <f>IFERROR(__xludf.DUMMYFUNCTION("""COMPUTED_VALUE"""),"七年級")</f>
        <v>七年級</v>
      </c>
      <c r="G2003" s="14" t="str">
        <f>IFERROR(__xludf.DUMMYFUNCTION("""COMPUTED_VALUE"""),"獎狀")</f>
        <v>獎狀</v>
      </c>
      <c r="H2003" s="8"/>
    </row>
    <row r="2004">
      <c r="A2004" s="18"/>
      <c r="B2004" s="14">
        <f>IFERROR(__xludf.DUMMYFUNCTION("""COMPUTED_VALUE"""),1200668.0)</f>
        <v>1200668</v>
      </c>
      <c r="C2004" s="14" t="str">
        <f>IFERROR(__xludf.DUMMYFUNCTION("""COMPUTED_VALUE"""),"陳佳忻")</f>
        <v>陳佳忻</v>
      </c>
      <c r="D2004" s="16" t="str">
        <f>IFERROR(__xludf.DUMMYFUNCTION("""COMPUTED_VALUE"""),"111*****stu.cchs.chc.edu.tw")</f>
        <v>111*****stu.cchs.chc.edu.tw</v>
      </c>
      <c r="E2004" s="17" t="str">
        <f>IFERROR(__xludf.DUMMYFUNCTION("""COMPUTED_VALUE"""),"彰化縣私立精誠高級中學附設國中部")</f>
        <v>彰化縣私立精誠高級中學附設國中部</v>
      </c>
      <c r="F2004" s="14" t="str">
        <f>IFERROR(__xludf.DUMMYFUNCTION("""COMPUTED_VALUE"""),"七年級")</f>
        <v>七年級</v>
      </c>
      <c r="G2004" s="14" t="str">
        <f>IFERROR(__xludf.DUMMYFUNCTION("""COMPUTED_VALUE"""),"●小禮物")</f>
        <v>●小禮物</v>
      </c>
      <c r="H2004" s="8"/>
    </row>
    <row r="2005">
      <c r="A2005" s="18"/>
      <c r="B2005" s="14">
        <f>IFERROR(__xludf.DUMMYFUNCTION("""COMPUTED_VALUE"""),1200650.0)</f>
        <v>1200650</v>
      </c>
      <c r="C2005" s="14" t="str">
        <f>IFERROR(__xludf.DUMMYFUNCTION("""COMPUTED_VALUE"""),"林勝崴")</f>
        <v>林勝崴</v>
      </c>
      <c r="D2005" s="16" t="str">
        <f>IFERROR(__xludf.DUMMYFUNCTION("""COMPUTED_VALUE"""),"111*****stu.cchs.chc.edu.tw")</f>
        <v>111*****stu.cchs.chc.edu.tw</v>
      </c>
      <c r="E2005" s="17" t="str">
        <f>IFERROR(__xludf.DUMMYFUNCTION("""COMPUTED_VALUE"""),"彰化縣私立精誠高級中學附設國中部")</f>
        <v>彰化縣私立精誠高級中學附設國中部</v>
      </c>
      <c r="F2005" s="14" t="str">
        <f>IFERROR(__xludf.DUMMYFUNCTION("""COMPUTED_VALUE"""),"七年級")</f>
        <v>七年級</v>
      </c>
      <c r="G2005" s="14" t="str">
        <f>IFERROR(__xludf.DUMMYFUNCTION("""COMPUTED_VALUE"""),"獎狀")</f>
        <v>獎狀</v>
      </c>
      <c r="H2005" s="8"/>
    </row>
    <row r="2006">
      <c r="A2006" s="18"/>
      <c r="B2006" s="14">
        <f>IFERROR(__xludf.DUMMYFUNCTION("""COMPUTED_VALUE"""),1191540.0)</f>
        <v>1191540</v>
      </c>
      <c r="C2006" s="14" t="str">
        <f>IFERROR(__xludf.DUMMYFUNCTION("""COMPUTED_VALUE"""),"吳侑勳")</f>
        <v>吳侑勳</v>
      </c>
      <c r="D2006" s="16" t="str">
        <f>IFERROR(__xludf.DUMMYFUNCTION("""COMPUTED_VALUE"""),"111*****stu.cchs.chc.edu.tw")</f>
        <v>111*****stu.cchs.chc.edu.tw</v>
      </c>
      <c r="E2006" s="17" t="str">
        <f>IFERROR(__xludf.DUMMYFUNCTION("""COMPUTED_VALUE"""),"彰化縣私立精誠高級中學附設國中部")</f>
        <v>彰化縣私立精誠高級中學附設國中部</v>
      </c>
      <c r="F2006" s="14" t="str">
        <f>IFERROR(__xludf.DUMMYFUNCTION("""COMPUTED_VALUE"""),"七年級")</f>
        <v>七年級</v>
      </c>
      <c r="G2006" s="14" t="str">
        <f>IFERROR(__xludf.DUMMYFUNCTION("""COMPUTED_VALUE"""),"●小禮物")</f>
        <v>●小禮物</v>
      </c>
      <c r="H2006" s="8"/>
    </row>
    <row r="2007">
      <c r="A2007" s="18"/>
      <c r="B2007" s="14">
        <f>IFERROR(__xludf.DUMMYFUNCTION("""COMPUTED_VALUE"""),1202554.0)</f>
        <v>1202554</v>
      </c>
      <c r="C2007" s="14" t="str">
        <f>IFERROR(__xludf.DUMMYFUNCTION("""COMPUTED_VALUE"""),"陳宣均")</f>
        <v>陳宣均</v>
      </c>
      <c r="D2007" s="16" t="str">
        <f>IFERROR(__xludf.DUMMYFUNCTION("""COMPUTED_VALUE"""),"111*****stu.cchs.chc.edu.tw")</f>
        <v>111*****stu.cchs.chc.edu.tw</v>
      </c>
      <c r="E2007" s="17" t="str">
        <f>IFERROR(__xludf.DUMMYFUNCTION("""COMPUTED_VALUE"""),"彰化縣私立精誠高級中學附設國中部")</f>
        <v>彰化縣私立精誠高級中學附設國中部</v>
      </c>
      <c r="F2007" s="14" t="str">
        <f>IFERROR(__xludf.DUMMYFUNCTION("""COMPUTED_VALUE"""),"七年級")</f>
        <v>七年級</v>
      </c>
      <c r="G2007" s="14" t="str">
        <f>IFERROR(__xludf.DUMMYFUNCTION("""COMPUTED_VALUE"""),"●小禮物")</f>
        <v>●小禮物</v>
      </c>
      <c r="H2007" s="8"/>
    </row>
    <row r="2008">
      <c r="A2008" s="18"/>
      <c r="B2008" s="14">
        <f>IFERROR(__xludf.DUMMYFUNCTION("""COMPUTED_VALUE"""),1217413.0)</f>
        <v>1217413</v>
      </c>
      <c r="C2008" s="14" t="str">
        <f>IFERROR(__xludf.DUMMYFUNCTION("""COMPUTED_VALUE"""),"陳意博")</f>
        <v>陳意博</v>
      </c>
      <c r="D2008" s="16" t="str">
        <f>IFERROR(__xludf.DUMMYFUNCTION("""COMPUTED_VALUE"""),"111*****stu.cchs.chc.edu.tw")</f>
        <v>111*****stu.cchs.chc.edu.tw</v>
      </c>
      <c r="E2008" s="17" t="str">
        <f>IFERROR(__xludf.DUMMYFUNCTION("""COMPUTED_VALUE"""),"彰化縣私立精誠高級中學附設國中部")</f>
        <v>彰化縣私立精誠高級中學附設國中部</v>
      </c>
      <c r="F2008" s="14" t="str">
        <f>IFERROR(__xludf.DUMMYFUNCTION("""COMPUTED_VALUE"""),"七年級")</f>
        <v>七年級</v>
      </c>
      <c r="G2008" s="14" t="str">
        <f>IFERROR(__xludf.DUMMYFUNCTION("""COMPUTED_VALUE"""),"●小禮物")</f>
        <v>●小禮物</v>
      </c>
      <c r="H2008" s="8"/>
    </row>
    <row r="2009">
      <c r="A2009" s="18"/>
      <c r="B2009" s="14">
        <f>IFERROR(__xludf.DUMMYFUNCTION("""COMPUTED_VALUE"""),1207976.0)</f>
        <v>1207976</v>
      </c>
      <c r="C2009" s="14" t="str">
        <f>IFERROR(__xludf.DUMMYFUNCTION("""COMPUTED_VALUE"""),"李玟衡")</f>
        <v>李玟衡</v>
      </c>
      <c r="D2009" s="16" t="str">
        <f>IFERROR(__xludf.DUMMYFUNCTION("""COMPUTED_VALUE"""),"111*****stu.cchs.chc.edu.tw")</f>
        <v>111*****stu.cchs.chc.edu.tw</v>
      </c>
      <c r="E2009" s="17" t="str">
        <f>IFERROR(__xludf.DUMMYFUNCTION("""COMPUTED_VALUE"""),"彰化縣私立精誠高級中學附設國中部")</f>
        <v>彰化縣私立精誠高級中學附設國中部</v>
      </c>
      <c r="F2009" s="14" t="str">
        <f>IFERROR(__xludf.DUMMYFUNCTION("""COMPUTED_VALUE"""),"七年級")</f>
        <v>七年級</v>
      </c>
      <c r="G2009" s="14" t="str">
        <f>IFERROR(__xludf.DUMMYFUNCTION("""COMPUTED_VALUE"""),"獎狀")</f>
        <v>獎狀</v>
      </c>
      <c r="H2009" s="8"/>
    </row>
    <row r="2010">
      <c r="A2010" s="18"/>
      <c r="B2010" s="14">
        <f>IFERROR(__xludf.DUMMYFUNCTION("""COMPUTED_VALUE"""),1207968.0)</f>
        <v>1207968</v>
      </c>
      <c r="C2010" s="14" t="str">
        <f>IFERROR(__xludf.DUMMYFUNCTION("""COMPUTED_VALUE"""),"許秀茹")</f>
        <v>許秀茹</v>
      </c>
      <c r="D2010" s="16" t="str">
        <f>IFERROR(__xludf.DUMMYFUNCTION("""COMPUTED_VALUE"""),"111*****stu.cchs.chc.edu.tw")</f>
        <v>111*****stu.cchs.chc.edu.tw</v>
      </c>
      <c r="E2010" s="17" t="str">
        <f>IFERROR(__xludf.DUMMYFUNCTION("""COMPUTED_VALUE"""),"彰化縣私立精誠高級中學附設國中部")</f>
        <v>彰化縣私立精誠高級中學附設國中部</v>
      </c>
      <c r="F2010" s="14" t="str">
        <f>IFERROR(__xludf.DUMMYFUNCTION("""COMPUTED_VALUE"""),"七年級")</f>
        <v>七年級</v>
      </c>
      <c r="G2010" s="14" t="str">
        <f>IFERROR(__xludf.DUMMYFUNCTION("""COMPUTED_VALUE"""),"獎狀")</f>
        <v>獎狀</v>
      </c>
      <c r="H2010" s="8"/>
    </row>
    <row r="2011">
      <c r="A2011" s="18"/>
      <c r="B2011" s="14">
        <f>IFERROR(__xludf.DUMMYFUNCTION("""COMPUTED_VALUE"""),1192581.0)</f>
        <v>1192581</v>
      </c>
      <c r="C2011" s="14" t="str">
        <f>IFERROR(__xludf.DUMMYFUNCTION("""COMPUTED_VALUE"""),"林楷絜")</f>
        <v>林楷絜</v>
      </c>
      <c r="D2011" s="16" t="str">
        <f>IFERROR(__xludf.DUMMYFUNCTION("""COMPUTED_VALUE"""),"111*****stu.cchs.chc.edu.tw")</f>
        <v>111*****stu.cchs.chc.edu.tw</v>
      </c>
      <c r="E2011" s="17" t="str">
        <f>IFERROR(__xludf.DUMMYFUNCTION("""COMPUTED_VALUE"""),"彰化縣私立精誠高級中學附設國中部")</f>
        <v>彰化縣私立精誠高級中學附設國中部</v>
      </c>
      <c r="F2011" s="14" t="str">
        <f>IFERROR(__xludf.DUMMYFUNCTION("""COMPUTED_VALUE"""),"七年級")</f>
        <v>七年級</v>
      </c>
      <c r="G2011" s="14" t="str">
        <f>IFERROR(__xludf.DUMMYFUNCTION("""COMPUTED_VALUE"""),"●小禮物")</f>
        <v>●小禮物</v>
      </c>
      <c r="H2011" s="8"/>
    </row>
    <row r="2012">
      <c r="A2012" s="18"/>
      <c r="B2012" s="14">
        <f>IFERROR(__xludf.DUMMYFUNCTION("""COMPUTED_VALUE"""),1192567.0)</f>
        <v>1192567</v>
      </c>
      <c r="C2012" s="14" t="str">
        <f>IFERROR(__xludf.DUMMYFUNCTION("""COMPUTED_VALUE"""),"姚岡憲")</f>
        <v>姚岡憲</v>
      </c>
      <c r="D2012" s="16" t="str">
        <f>IFERROR(__xludf.DUMMYFUNCTION("""COMPUTED_VALUE"""),"111*****stu.cchs.chc.edu.tw")</f>
        <v>111*****stu.cchs.chc.edu.tw</v>
      </c>
      <c r="E2012" s="17" t="str">
        <f>IFERROR(__xludf.DUMMYFUNCTION("""COMPUTED_VALUE"""),"彰化縣私立精誠高級中學附設國中部")</f>
        <v>彰化縣私立精誠高級中學附設國中部</v>
      </c>
      <c r="F2012" s="14" t="str">
        <f>IFERROR(__xludf.DUMMYFUNCTION("""COMPUTED_VALUE"""),"七年級")</f>
        <v>七年級</v>
      </c>
      <c r="G2012" s="14" t="str">
        <f>IFERROR(__xludf.DUMMYFUNCTION("""COMPUTED_VALUE"""),"●小禮物")</f>
        <v>●小禮物</v>
      </c>
      <c r="H2012" s="8"/>
    </row>
    <row r="2013">
      <c r="A2013" s="18"/>
      <c r="B2013" s="14">
        <f>IFERROR(__xludf.DUMMYFUNCTION("""COMPUTED_VALUE"""),1192572.0)</f>
        <v>1192572</v>
      </c>
      <c r="C2013" s="14" t="str">
        <f>IFERROR(__xludf.DUMMYFUNCTION("""COMPUTED_VALUE"""),"柯承霆")</f>
        <v>柯承霆</v>
      </c>
      <c r="D2013" s="16" t="str">
        <f>IFERROR(__xludf.DUMMYFUNCTION("""COMPUTED_VALUE"""),"111*****stu.cchs.chc.edu.tw")</f>
        <v>111*****stu.cchs.chc.edu.tw</v>
      </c>
      <c r="E2013" s="17" t="str">
        <f>IFERROR(__xludf.DUMMYFUNCTION("""COMPUTED_VALUE"""),"彰化縣私立精誠高級中學附設國中部")</f>
        <v>彰化縣私立精誠高級中學附設國中部</v>
      </c>
      <c r="F2013" s="14" t="str">
        <f>IFERROR(__xludf.DUMMYFUNCTION("""COMPUTED_VALUE"""),"七年級")</f>
        <v>七年級</v>
      </c>
      <c r="G2013" s="14" t="str">
        <f>IFERROR(__xludf.DUMMYFUNCTION("""COMPUTED_VALUE"""),"●小禮物")</f>
        <v>●小禮物</v>
      </c>
      <c r="H2013" s="8"/>
    </row>
    <row r="2014">
      <c r="A2014" s="18"/>
      <c r="B2014" s="14">
        <f>IFERROR(__xludf.DUMMYFUNCTION("""COMPUTED_VALUE"""),1192570.0)</f>
        <v>1192570</v>
      </c>
      <c r="C2014" s="14" t="str">
        <f>IFERROR(__xludf.DUMMYFUNCTION("""COMPUTED_VALUE"""),"陳冠宇")</f>
        <v>陳冠宇</v>
      </c>
      <c r="D2014" s="16" t="str">
        <f>IFERROR(__xludf.DUMMYFUNCTION("""COMPUTED_VALUE"""),"111*****stu.cchs.chc.edu.tw")</f>
        <v>111*****stu.cchs.chc.edu.tw</v>
      </c>
      <c r="E2014" s="17" t="str">
        <f>IFERROR(__xludf.DUMMYFUNCTION("""COMPUTED_VALUE"""),"彰化縣私立精誠高級中學附設國中部")</f>
        <v>彰化縣私立精誠高級中學附設國中部</v>
      </c>
      <c r="F2014" s="14" t="str">
        <f>IFERROR(__xludf.DUMMYFUNCTION("""COMPUTED_VALUE"""),"七年級")</f>
        <v>七年級</v>
      </c>
      <c r="G2014" s="14" t="str">
        <f>IFERROR(__xludf.DUMMYFUNCTION("""COMPUTED_VALUE"""),"●小禮物")</f>
        <v>●小禮物</v>
      </c>
      <c r="H2014" s="8"/>
    </row>
    <row r="2015">
      <c r="A2015" s="18"/>
      <c r="B2015" s="14">
        <f>IFERROR(__xludf.DUMMYFUNCTION("""COMPUTED_VALUE"""),1192574.0)</f>
        <v>1192574</v>
      </c>
      <c r="C2015" s="14" t="str">
        <f>IFERROR(__xludf.DUMMYFUNCTION("""COMPUTED_VALUE"""),"劉虹廷")</f>
        <v>劉虹廷</v>
      </c>
      <c r="D2015" s="16" t="str">
        <f>IFERROR(__xludf.DUMMYFUNCTION("""COMPUTED_VALUE"""),"111*****stu.cchs.chc.edu.tw")</f>
        <v>111*****stu.cchs.chc.edu.tw</v>
      </c>
      <c r="E2015" s="17" t="str">
        <f>IFERROR(__xludf.DUMMYFUNCTION("""COMPUTED_VALUE"""),"彰化縣私立精誠高級中學附設國中部")</f>
        <v>彰化縣私立精誠高級中學附設國中部</v>
      </c>
      <c r="F2015" s="14" t="str">
        <f>IFERROR(__xludf.DUMMYFUNCTION("""COMPUTED_VALUE"""),"七年級")</f>
        <v>七年級</v>
      </c>
      <c r="G2015" s="14" t="str">
        <f>IFERROR(__xludf.DUMMYFUNCTION("""COMPUTED_VALUE"""),"●小禮物")</f>
        <v>●小禮物</v>
      </c>
      <c r="H2015" s="8"/>
    </row>
    <row r="2016">
      <c r="A2016" s="18"/>
      <c r="B2016" s="14">
        <f>IFERROR(__xludf.DUMMYFUNCTION("""COMPUTED_VALUE"""),1192590.0)</f>
        <v>1192590</v>
      </c>
      <c r="C2016" s="14" t="str">
        <f>IFERROR(__xludf.DUMMYFUNCTION("""COMPUTED_VALUE"""),"饒秉宸")</f>
        <v>饒秉宸</v>
      </c>
      <c r="D2016" s="16" t="str">
        <f>IFERROR(__xludf.DUMMYFUNCTION("""COMPUTED_VALUE"""),"111*****stu.cchs.chc.edu.tw")</f>
        <v>111*****stu.cchs.chc.edu.tw</v>
      </c>
      <c r="E2016" s="17" t="str">
        <f>IFERROR(__xludf.DUMMYFUNCTION("""COMPUTED_VALUE"""),"彰化縣私立精誠高級中學附設國中部")</f>
        <v>彰化縣私立精誠高級中學附設國中部</v>
      </c>
      <c r="F2016" s="14" t="str">
        <f>IFERROR(__xludf.DUMMYFUNCTION("""COMPUTED_VALUE"""),"七年級")</f>
        <v>七年級</v>
      </c>
      <c r="G2016" s="14" t="str">
        <f>IFERROR(__xludf.DUMMYFUNCTION("""COMPUTED_VALUE"""),"●小禮物")</f>
        <v>●小禮物</v>
      </c>
      <c r="H2016" s="8"/>
    </row>
    <row r="2017">
      <c r="A2017" s="18"/>
      <c r="B2017" s="14">
        <f>IFERROR(__xludf.DUMMYFUNCTION("""COMPUTED_VALUE"""),1192609.0)</f>
        <v>1192609</v>
      </c>
      <c r="C2017" s="14" t="str">
        <f>IFERROR(__xludf.DUMMYFUNCTION("""COMPUTED_VALUE"""),"易嵩峻")</f>
        <v>易嵩峻</v>
      </c>
      <c r="D2017" s="16" t="str">
        <f>IFERROR(__xludf.DUMMYFUNCTION("""COMPUTED_VALUE"""),"111*****stu.cchs.chc.edu.tw")</f>
        <v>111*****stu.cchs.chc.edu.tw</v>
      </c>
      <c r="E2017" s="17" t="str">
        <f>IFERROR(__xludf.DUMMYFUNCTION("""COMPUTED_VALUE"""),"彰化縣私立精誠高級中學附設國中部")</f>
        <v>彰化縣私立精誠高級中學附設國中部</v>
      </c>
      <c r="F2017" s="14" t="str">
        <f>IFERROR(__xludf.DUMMYFUNCTION("""COMPUTED_VALUE"""),"七年級")</f>
        <v>七年級</v>
      </c>
      <c r="G2017" s="14" t="str">
        <f>IFERROR(__xludf.DUMMYFUNCTION("""COMPUTED_VALUE"""),"獎狀")</f>
        <v>獎狀</v>
      </c>
      <c r="H2017" s="8"/>
    </row>
    <row r="2018">
      <c r="A2018" s="18"/>
      <c r="B2018" s="14">
        <f>IFERROR(__xludf.DUMMYFUNCTION("""COMPUTED_VALUE"""),1192598.0)</f>
        <v>1192598</v>
      </c>
      <c r="C2018" s="14" t="str">
        <f>IFERROR(__xludf.DUMMYFUNCTION("""COMPUTED_VALUE"""),"邱宏睿")</f>
        <v>邱宏睿</v>
      </c>
      <c r="D2018" s="16" t="str">
        <f>IFERROR(__xludf.DUMMYFUNCTION("""COMPUTED_VALUE"""),"111*****stu.cchs.chc.edu.tw")</f>
        <v>111*****stu.cchs.chc.edu.tw</v>
      </c>
      <c r="E2018" s="17" t="str">
        <f>IFERROR(__xludf.DUMMYFUNCTION("""COMPUTED_VALUE"""),"彰化縣私立精誠高級中學附設國中部")</f>
        <v>彰化縣私立精誠高級中學附設國中部</v>
      </c>
      <c r="F2018" s="14" t="str">
        <f>IFERROR(__xludf.DUMMYFUNCTION("""COMPUTED_VALUE"""),"七年級")</f>
        <v>七年級</v>
      </c>
      <c r="G2018" s="14" t="str">
        <f>IFERROR(__xludf.DUMMYFUNCTION("""COMPUTED_VALUE"""),"獎狀")</f>
        <v>獎狀</v>
      </c>
      <c r="H2018" s="8"/>
    </row>
    <row r="2019">
      <c r="A2019" s="18"/>
      <c r="B2019" s="14">
        <f>IFERROR(__xludf.DUMMYFUNCTION("""COMPUTED_VALUE"""),1192602.0)</f>
        <v>1192602</v>
      </c>
      <c r="C2019" s="14" t="str">
        <f>IFERROR(__xludf.DUMMYFUNCTION("""COMPUTED_VALUE"""),"陳建愷")</f>
        <v>陳建愷</v>
      </c>
      <c r="D2019" s="16" t="str">
        <f>IFERROR(__xludf.DUMMYFUNCTION("""COMPUTED_VALUE"""),"111*****stu.cchs.chc.edu.tw")</f>
        <v>111*****stu.cchs.chc.edu.tw</v>
      </c>
      <c r="E2019" s="17" t="str">
        <f>IFERROR(__xludf.DUMMYFUNCTION("""COMPUTED_VALUE"""),"彰化縣私立精誠高級中學附設國中部")</f>
        <v>彰化縣私立精誠高級中學附設國中部</v>
      </c>
      <c r="F2019" s="14" t="str">
        <f>IFERROR(__xludf.DUMMYFUNCTION("""COMPUTED_VALUE"""),"七年級")</f>
        <v>七年級</v>
      </c>
      <c r="G2019" s="14" t="str">
        <f>IFERROR(__xludf.DUMMYFUNCTION("""COMPUTED_VALUE"""),"獎狀")</f>
        <v>獎狀</v>
      </c>
      <c r="H2019" s="8"/>
    </row>
    <row r="2020">
      <c r="A2020" s="18"/>
      <c r="B2020" s="14">
        <f>IFERROR(__xludf.DUMMYFUNCTION("""COMPUTED_VALUE"""),1192610.0)</f>
        <v>1192610</v>
      </c>
      <c r="C2020" s="14" t="str">
        <f>IFERROR(__xludf.DUMMYFUNCTION("""COMPUTED_VALUE"""),"蔡沛妤")</f>
        <v>蔡沛妤</v>
      </c>
      <c r="D2020" s="16" t="str">
        <f>IFERROR(__xludf.DUMMYFUNCTION("""COMPUTED_VALUE"""),"111*****stu.cchs.chc.edu.tw")</f>
        <v>111*****stu.cchs.chc.edu.tw</v>
      </c>
      <c r="E2020" s="17" t="str">
        <f>IFERROR(__xludf.DUMMYFUNCTION("""COMPUTED_VALUE"""),"彰化縣私立精誠高級中學附設國中部")</f>
        <v>彰化縣私立精誠高級中學附設國中部</v>
      </c>
      <c r="F2020" s="14" t="str">
        <f>IFERROR(__xludf.DUMMYFUNCTION("""COMPUTED_VALUE"""),"七年級")</f>
        <v>七年級</v>
      </c>
      <c r="G2020" s="14" t="str">
        <f>IFERROR(__xludf.DUMMYFUNCTION("""COMPUTED_VALUE"""),"獎狀")</f>
        <v>獎狀</v>
      </c>
      <c r="H2020" s="8"/>
    </row>
    <row r="2021">
      <c r="A2021" s="18"/>
      <c r="B2021" s="14">
        <f>IFERROR(__xludf.DUMMYFUNCTION("""COMPUTED_VALUE"""),1191705.0)</f>
        <v>1191705</v>
      </c>
      <c r="C2021" s="14" t="str">
        <f>IFERROR(__xludf.DUMMYFUNCTION("""COMPUTED_VALUE"""),"賴品丞")</f>
        <v>賴品丞</v>
      </c>
      <c r="D2021" s="16" t="str">
        <f>IFERROR(__xludf.DUMMYFUNCTION("""COMPUTED_VALUE"""),"111*****stu.cchs.chc.edu.tw")</f>
        <v>111*****stu.cchs.chc.edu.tw</v>
      </c>
      <c r="E2021" s="17" t="str">
        <f>IFERROR(__xludf.DUMMYFUNCTION("""COMPUTED_VALUE"""),"彰化縣私立精誠高級中學附設國中部")</f>
        <v>彰化縣私立精誠高級中學附設國中部</v>
      </c>
      <c r="F2021" s="14" t="str">
        <f>IFERROR(__xludf.DUMMYFUNCTION("""COMPUTED_VALUE"""),"七年級")</f>
        <v>七年級</v>
      </c>
      <c r="G2021" s="14" t="str">
        <f>IFERROR(__xludf.DUMMYFUNCTION("""COMPUTED_VALUE"""),"●小禮物")</f>
        <v>●小禮物</v>
      </c>
      <c r="H2021" s="8"/>
    </row>
    <row r="2022">
      <c r="A2022" s="18"/>
      <c r="B2022" s="14">
        <f>IFERROR(__xludf.DUMMYFUNCTION("""COMPUTED_VALUE"""),1183519.0)</f>
        <v>1183519</v>
      </c>
      <c r="C2022" s="14" t="str">
        <f>IFERROR(__xludf.DUMMYFUNCTION("""COMPUTED_VALUE"""),"黃郁庭")</f>
        <v>黃郁庭</v>
      </c>
      <c r="D2022" s="16" t="str">
        <f>IFERROR(__xludf.DUMMYFUNCTION("""COMPUTED_VALUE"""),"111*****stu.cchs.chc.edu.tw")</f>
        <v>111*****stu.cchs.chc.edu.tw</v>
      </c>
      <c r="E2022" s="17" t="str">
        <f>IFERROR(__xludf.DUMMYFUNCTION("""COMPUTED_VALUE"""),"彰化縣私立精誠高級中學附設國中部")</f>
        <v>彰化縣私立精誠高級中學附設國中部</v>
      </c>
      <c r="F2022" s="14" t="str">
        <f>IFERROR(__xludf.DUMMYFUNCTION("""COMPUTED_VALUE"""),"七年級")</f>
        <v>七年級</v>
      </c>
      <c r="G2022" s="14" t="str">
        <f>IFERROR(__xludf.DUMMYFUNCTION("""COMPUTED_VALUE"""),"★禮券$200")</f>
        <v>★禮券$200</v>
      </c>
      <c r="H2022" s="8"/>
    </row>
    <row r="2023">
      <c r="A2023" s="18"/>
      <c r="B2023" s="14">
        <f>IFERROR(__xludf.DUMMYFUNCTION("""COMPUTED_VALUE"""),1195418.0)</f>
        <v>1195418</v>
      </c>
      <c r="C2023" s="14" t="str">
        <f>IFERROR(__xludf.DUMMYFUNCTION("""COMPUTED_VALUE"""),"吳睿紘")</f>
        <v>吳睿紘</v>
      </c>
      <c r="D2023" s="16" t="str">
        <f>IFERROR(__xludf.DUMMYFUNCTION("""COMPUTED_VALUE"""),"111*****stu.cchs.chc.edu.tw")</f>
        <v>111*****stu.cchs.chc.edu.tw</v>
      </c>
      <c r="E2023" s="17" t="str">
        <f>IFERROR(__xludf.DUMMYFUNCTION("""COMPUTED_VALUE"""),"彰化縣私立精誠高級中學附設國中部")</f>
        <v>彰化縣私立精誠高級中學附設國中部</v>
      </c>
      <c r="F2023" s="14" t="str">
        <f>IFERROR(__xludf.DUMMYFUNCTION("""COMPUTED_VALUE"""),"七年級")</f>
        <v>七年級</v>
      </c>
      <c r="G2023" s="14" t="str">
        <f>IFERROR(__xludf.DUMMYFUNCTION("""COMPUTED_VALUE"""),"●小禮物")</f>
        <v>●小禮物</v>
      </c>
      <c r="H2023" s="8"/>
    </row>
    <row r="2024">
      <c r="A2024" s="18"/>
      <c r="B2024" s="14">
        <f>IFERROR(__xludf.DUMMYFUNCTION("""COMPUTED_VALUE"""),1195386.0)</f>
        <v>1195386</v>
      </c>
      <c r="C2024" s="14" t="str">
        <f>IFERROR(__xludf.DUMMYFUNCTION("""COMPUTED_VALUE"""),"李湘怡")</f>
        <v>李湘怡</v>
      </c>
      <c r="D2024" s="16" t="str">
        <f>IFERROR(__xludf.DUMMYFUNCTION("""COMPUTED_VALUE"""),"111*****stu.cchs.chc.edu.tw")</f>
        <v>111*****stu.cchs.chc.edu.tw</v>
      </c>
      <c r="E2024" s="17" t="str">
        <f>IFERROR(__xludf.DUMMYFUNCTION("""COMPUTED_VALUE"""),"彰化縣私立精誠高級中學附設國中部")</f>
        <v>彰化縣私立精誠高級中學附設國中部</v>
      </c>
      <c r="F2024" s="14" t="str">
        <f>IFERROR(__xludf.DUMMYFUNCTION("""COMPUTED_VALUE"""),"七年級")</f>
        <v>七年級</v>
      </c>
      <c r="G2024" s="14" t="str">
        <f>IFERROR(__xludf.DUMMYFUNCTION("""COMPUTED_VALUE"""),"●小禮物")</f>
        <v>●小禮物</v>
      </c>
      <c r="H2024" s="8"/>
    </row>
    <row r="2025">
      <c r="A2025" s="18"/>
      <c r="B2025" s="14">
        <f>IFERROR(__xludf.DUMMYFUNCTION("""COMPUTED_VALUE"""),1195392.0)</f>
        <v>1195392</v>
      </c>
      <c r="C2025" s="14" t="str">
        <f>IFERROR(__xludf.DUMMYFUNCTION("""COMPUTED_VALUE"""),"李順裕")</f>
        <v>李順裕</v>
      </c>
      <c r="D2025" s="16" t="str">
        <f>IFERROR(__xludf.DUMMYFUNCTION("""COMPUTED_VALUE"""),"111*****stu.cchs.chc.edu.tw")</f>
        <v>111*****stu.cchs.chc.edu.tw</v>
      </c>
      <c r="E2025" s="17" t="str">
        <f>IFERROR(__xludf.DUMMYFUNCTION("""COMPUTED_VALUE"""),"彰化縣私立精誠高級中學附設國中部")</f>
        <v>彰化縣私立精誠高級中學附設國中部</v>
      </c>
      <c r="F2025" s="14" t="str">
        <f>IFERROR(__xludf.DUMMYFUNCTION("""COMPUTED_VALUE"""),"七年級")</f>
        <v>七年級</v>
      </c>
      <c r="G2025" s="14" t="str">
        <f>IFERROR(__xludf.DUMMYFUNCTION("""COMPUTED_VALUE"""),"●小禮物")</f>
        <v>●小禮物</v>
      </c>
      <c r="H2025" s="8"/>
    </row>
    <row r="2026">
      <c r="A2026" s="18"/>
      <c r="B2026" s="14">
        <f>IFERROR(__xludf.DUMMYFUNCTION("""COMPUTED_VALUE"""),1195379.0)</f>
        <v>1195379</v>
      </c>
      <c r="C2026" s="14" t="str">
        <f>IFERROR(__xludf.DUMMYFUNCTION("""COMPUTED_VALUE"""),"林心瑀")</f>
        <v>林心瑀</v>
      </c>
      <c r="D2026" s="16" t="str">
        <f>IFERROR(__xludf.DUMMYFUNCTION("""COMPUTED_VALUE"""),"111*****stu.cchs.chc.edu.tw")</f>
        <v>111*****stu.cchs.chc.edu.tw</v>
      </c>
      <c r="E2026" s="17" t="str">
        <f>IFERROR(__xludf.DUMMYFUNCTION("""COMPUTED_VALUE"""),"彰化縣私立精誠高級中學附設國中部")</f>
        <v>彰化縣私立精誠高級中學附設國中部</v>
      </c>
      <c r="F2026" s="14" t="str">
        <f>IFERROR(__xludf.DUMMYFUNCTION("""COMPUTED_VALUE"""),"七年級")</f>
        <v>七年級</v>
      </c>
      <c r="G2026" s="14" t="str">
        <f>IFERROR(__xludf.DUMMYFUNCTION("""COMPUTED_VALUE"""),"●小禮物")</f>
        <v>●小禮物</v>
      </c>
      <c r="H2026" s="8"/>
    </row>
    <row r="2027">
      <c r="A2027" s="18"/>
      <c r="B2027" s="14">
        <f>IFERROR(__xludf.DUMMYFUNCTION("""COMPUTED_VALUE"""),1195432.0)</f>
        <v>1195432</v>
      </c>
      <c r="C2027" s="14" t="str">
        <f>IFERROR(__xludf.DUMMYFUNCTION("""COMPUTED_VALUE"""),"施繼勝")</f>
        <v>施繼勝</v>
      </c>
      <c r="D2027" s="16" t="str">
        <f>IFERROR(__xludf.DUMMYFUNCTION("""COMPUTED_VALUE"""),"111*****stu.cchs.chc.edu.tw")</f>
        <v>111*****stu.cchs.chc.edu.tw</v>
      </c>
      <c r="E2027" s="17" t="str">
        <f>IFERROR(__xludf.DUMMYFUNCTION("""COMPUTED_VALUE"""),"彰化縣私立精誠高級中學附設國中部")</f>
        <v>彰化縣私立精誠高級中學附設國中部</v>
      </c>
      <c r="F2027" s="14" t="str">
        <f>IFERROR(__xludf.DUMMYFUNCTION("""COMPUTED_VALUE"""),"七年級")</f>
        <v>七年級</v>
      </c>
      <c r="G2027" s="14" t="str">
        <f>IFERROR(__xludf.DUMMYFUNCTION("""COMPUTED_VALUE"""),"●小禮物")</f>
        <v>●小禮物</v>
      </c>
      <c r="H2027" s="8"/>
    </row>
    <row r="2028">
      <c r="A2028" s="18"/>
      <c r="B2028" s="14">
        <f>IFERROR(__xludf.DUMMYFUNCTION("""COMPUTED_VALUE"""),1195390.0)</f>
        <v>1195390</v>
      </c>
      <c r="C2028" s="14" t="str">
        <f>IFERROR(__xludf.DUMMYFUNCTION("""COMPUTED_VALUE"""),"翁沛羽")</f>
        <v>翁沛羽</v>
      </c>
      <c r="D2028" s="16" t="str">
        <f>IFERROR(__xludf.DUMMYFUNCTION("""COMPUTED_VALUE"""),"111*****stu.cchs.chc.edu.tw")</f>
        <v>111*****stu.cchs.chc.edu.tw</v>
      </c>
      <c r="E2028" s="17" t="str">
        <f>IFERROR(__xludf.DUMMYFUNCTION("""COMPUTED_VALUE"""),"彰化縣私立精誠高級中學附設國中部")</f>
        <v>彰化縣私立精誠高級中學附設國中部</v>
      </c>
      <c r="F2028" s="14" t="str">
        <f>IFERROR(__xludf.DUMMYFUNCTION("""COMPUTED_VALUE"""),"七年級")</f>
        <v>七年級</v>
      </c>
      <c r="G2028" s="14" t="str">
        <f>IFERROR(__xludf.DUMMYFUNCTION("""COMPUTED_VALUE"""),"●小禮物")</f>
        <v>●小禮物</v>
      </c>
      <c r="H2028" s="8"/>
    </row>
    <row r="2029">
      <c r="A2029" s="18"/>
      <c r="B2029" s="14">
        <f>IFERROR(__xludf.DUMMYFUNCTION("""COMPUTED_VALUE"""),1205356.0)</f>
        <v>1205356</v>
      </c>
      <c r="C2029" s="14" t="str">
        <f>IFERROR(__xludf.DUMMYFUNCTION("""COMPUTED_VALUE"""),"陳明謙")</f>
        <v>陳明謙</v>
      </c>
      <c r="D2029" s="16" t="str">
        <f>IFERROR(__xludf.DUMMYFUNCTION("""COMPUTED_VALUE"""),"111*****stu.cchs.chc.edu.tw")</f>
        <v>111*****stu.cchs.chc.edu.tw</v>
      </c>
      <c r="E2029" s="17" t="str">
        <f>IFERROR(__xludf.DUMMYFUNCTION("""COMPUTED_VALUE"""),"彰化縣私立精誠高級中學附設國中部")</f>
        <v>彰化縣私立精誠高級中學附設國中部</v>
      </c>
      <c r="F2029" s="14" t="str">
        <f>IFERROR(__xludf.DUMMYFUNCTION("""COMPUTED_VALUE"""),"七年級")</f>
        <v>七年級</v>
      </c>
      <c r="G2029" s="14" t="str">
        <f>IFERROR(__xludf.DUMMYFUNCTION("""COMPUTED_VALUE"""),"●小禮物")</f>
        <v>●小禮物</v>
      </c>
      <c r="H2029" s="8"/>
    </row>
    <row r="2030">
      <c r="A2030" s="18"/>
      <c r="B2030" s="14">
        <f>IFERROR(__xludf.DUMMYFUNCTION("""COMPUTED_VALUE"""),1195402.0)</f>
        <v>1195402</v>
      </c>
      <c r="C2030" s="14" t="str">
        <f>IFERROR(__xludf.DUMMYFUNCTION("""COMPUTED_VALUE"""),"楊博翰")</f>
        <v>楊博翰</v>
      </c>
      <c r="D2030" s="16" t="str">
        <f>IFERROR(__xludf.DUMMYFUNCTION("""COMPUTED_VALUE"""),"111*****stu.cchs.chc.edu.tw")</f>
        <v>111*****stu.cchs.chc.edu.tw</v>
      </c>
      <c r="E2030" s="17" t="str">
        <f>IFERROR(__xludf.DUMMYFUNCTION("""COMPUTED_VALUE"""),"彰化縣私立精誠高級中學附設國中部")</f>
        <v>彰化縣私立精誠高級中學附設國中部</v>
      </c>
      <c r="F2030" s="14" t="str">
        <f>IFERROR(__xludf.DUMMYFUNCTION("""COMPUTED_VALUE"""),"七年級")</f>
        <v>七年級</v>
      </c>
      <c r="G2030" s="14" t="str">
        <f>IFERROR(__xludf.DUMMYFUNCTION("""COMPUTED_VALUE"""),"●小禮物")</f>
        <v>●小禮物</v>
      </c>
      <c r="H2030" s="8"/>
    </row>
    <row r="2031">
      <c r="A2031" s="18"/>
      <c r="B2031" s="14">
        <f>IFERROR(__xludf.DUMMYFUNCTION("""COMPUTED_VALUE"""),1195377.0)</f>
        <v>1195377</v>
      </c>
      <c r="C2031" s="14" t="str">
        <f>IFERROR(__xludf.DUMMYFUNCTION("""COMPUTED_VALUE"""),"呂苡安")</f>
        <v>呂苡安</v>
      </c>
      <c r="D2031" s="16" t="str">
        <f>IFERROR(__xludf.DUMMYFUNCTION("""COMPUTED_VALUE"""),"111*****stu.cchs.chc.edu.tw")</f>
        <v>111*****stu.cchs.chc.edu.tw</v>
      </c>
      <c r="E2031" s="17" t="str">
        <f>IFERROR(__xludf.DUMMYFUNCTION("""COMPUTED_VALUE"""),"彰化縣私立精誠高級中學附設國中部")</f>
        <v>彰化縣私立精誠高級中學附設國中部</v>
      </c>
      <c r="F2031" s="14" t="str">
        <f>IFERROR(__xludf.DUMMYFUNCTION("""COMPUTED_VALUE"""),"七年級")</f>
        <v>七年級</v>
      </c>
      <c r="G2031" s="14" t="str">
        <f>IFERROR(__xludf.DUMMYFUNCTION("""COMPUTED_VALUE"""),"獎狀")</f>
        <v>獎狀</v>
      </c>
      <c r="H2031" s="8"/>
    </row>
    <row r="2032">
      <c r="A2032" s="18"/>
      <c r="B2032" s="14">
        <f>IFERROR(__xludf.DUMMYFUNCTION("""COMPUTED_VALUE"""),1195420.0)</f>
        <v>1195420</v>
      </c>
      <c r="C2032" s="14" t="str">
        <f>IFERROR(__xludf.DUMMYFUNCTION("""COMPUTED_VALUE"""),"陳泰澄")</f>
        <v>陳泰澄</v>
      </c>
      <c r="D2032" s="16" t="str">
        <f>IFERROR(__xludf.DUMMYFUNCTION("""COMPUTED_VALUE"""),"111*****stu.cchs.chc.edu.tw")</f>
        <v>111*****stu.cchs.chc.edu.tw</v>
      </c>
      <c r="E2032" s="17" t="str">
        <f>IFERROR(__xludf.DUMMYFUNCTION("""COMPUTED_VALUE"""),"彰化縣私立精誠高級中學附設國中部")</f>
        <v>彰化縣私立精誠高級中學附設國中部</v>
      </c>
      <c r="F2032" s="14" t="str">
        <f>IFERROR(__xludf.DUMMYFUNCTION("""COMPUTED_VALUE"""),"七年級")</f>
        <v>七年級</v>
      </c>
      <c r="G2032" s="14" t="str">
        <f>IFERROR(__xludf.DUMMYFUNCTION("""COMPUTED_VALUE"""),"獎狀")</f>
        <v>獎狀</v>
      </c>
      <c r="H2032" s="8"/>
    </row>
    <row r="2033">
      <c r="A2033" s="18"/>
      <c r="B2033" s="14">
        <f>IFERROR(__xludf.DUMMYFUNCTION("""COMPUTED_VALUE"""),1187026.0)</f>
        <v>1187026</v>
      </c>
      <c r="C2033" s="14" t="str">
        <f>IFERROR(__xludf.DUMMYFUNCTION("""COMPUTED_VALUE"""),"曾沛雅")</f>
        <v>曾沛雅</v>
      </c>
      <c r="D2033" s="16" t="str">
        <f>IFERROR(__xludf.DUMMYFUNCTION("""COMPUTED_VALUE"""),"111*****stu.cchs.chc.edu.tw")</f>
        <v>111*****stu.cchs.chc.edu.tw</v>
      </c>
      <c r="E2033" s="17" t="str">
        <f>IFERROR(__xludf.DUMMYFUNCTION("""COMPUTED_VALUE"""),"彰化縣私立精誠高級中學附設國中部")</f>
        <v>彰化縣私立精誠高級中學附設國中部</v>
      </c>
      <c r="F2033" s="14" t="str">
        <f>IFERROR(__xludf.DUMMYFUNCTION("""COMPUTED_VALUE"""),"七年級")</f>
        <v>七年級</v>
      </c>
      <c r="G2033" s="14" t="str">
        <f>IFERROR(__xludf.DUMMYFUNCTION("""COMPUTED_VALUE"""),"獎狀")</f>
        <v>獎狀</v>
      </c>
      <c r="H2033" s="8"/>
    </row>
    <row r="2034">
      <c r="A2034" s="18"/>
      <c r="B2034" s="14">
        <f>IFERROR(__xludf.DUMMYFUNCTION("""COMPUTED_VALUE"""),1195401.0)</f>
        <v>1195401</v>
      </c>
      <c r="C2034" s="14" t="str">
        <f>IFERROR(__xludf.DUMMYFUNCTION("""COMPUTED_VALUE"""),"楊尚倫")</f>
        <v>楊尚倫</v>
      </c>
      <c r="D2034" s="16" t="str">
        <f>IFERROR(__xludf.DUMMYFUNCTION("""COMPUTED_VALUE"""),"111*****stu.cchs.chc.edu.tw")</f>
        <v>111*****stu.cchs.chc.edu.tw</v>
      </c>
      <c r="E2034" s="17" t="str">
        <f>IFERROR(__xludf.DUMMYFUNCTION("""COMPUTED_VALUE"""),"彰化縣私立精誠高級中學附設國中部")</f>
        <v>彰化縣私立精誠高級中學附設國中部</v>
      </c>
      <c r="F2034" s="14" t="str">
        <f>IFERROR(__xludf.DUMMYFUNCTION("""COMPUTED_VALUE"""),"七年級")</f>
        <v>七年級</v>
      </c>
      <c r="G2034" s="14" t="str">
        <f>IFERROR(__xludf.DUMMYFUNCTION("""COMPUTED_VALUE"""),"獎狀")</f>
        <v>獎狀</v>
      </c>
      <c r="H2034" s="8"/>
    </row>
    <row r="2035">
      <c r="A2035" s="18"/>
      <c r="B2035" s="14">
        <f>IFERROR(__xludf.DUMMYFUNCTION("""COMPUTED_VALUE"""),1195395.0)</f>
        <v>1195395</v>
      </c>
      <c r="C2035" s="14" t="str">
        <f>IFERROR(__xludf.DUMMYFUNCTION("""COMPUTED_VALUE"""),"鄧震揚")</f>
        <v>鄧震揚</v>
      </c>
      <c r="D2035" s="16" t="str">
        <f>IFERROR(__xludf.DUMMYFUNCTION("""COMPUTED_VALUE"""),"111*****stu.cchs.chc.edu.tw")</f>
        <v>111*****stu.cchs.chc.edu.tw</v>
      </c>
      <c r="E2035" s="17" t="str">
        <f>IFERROR(__xludf.DUMMYFUNCTION("""COMPUTED_VALUE"""),"彰化縣私立精誠高級中學附設國中部")</f>
        <v>彰化縣私立精誠高級中學附設國中部</v>
      </c>
      <c r="F2035" s="14" t="str">
        <f>IFERROR(__xludf.DUMMYFUNCTION("""COMPUTED_VALUE"""),"七年級")</f>
        <v>七年級</v>
      </c>
      <c r="G2035" s="14" t="str">
        <f>IFERROR(__xludf.DUMMYFUNCTION("""COMPUTED_VALUE"""),"獎狀")</f>
        <v>獎狀</v>
      </c>
      <c r="H2035" s="8"/>
    </row>
    <row r="2036">
      <c r="A2036" s="18"/>
      <c r="B2036" s="14">
        <f>IFERROR(__xludf.DUMMYFUNCTION("""COMPUTED_VALUE"""),1195429.0)</f>
        <v>1195429</v>
      </c>
      <c r="C2036" s="14" t="str">
        <f>IFERROR(__xludf.DUMMYFUNCTION("""COMPUTED_VALUE"""),"謝紘宇")</f>
        <v>謝紘宇</v>
      </c>
      <c r="D2036" s="16" t="str">
        <f>IFERROR(__xludf.DUMMYFUNCTION("""COMPUTED_VALUE"""),"111*****stu.cchs.chc.edu.tw")</f>
        <v>111*****stu.cchs.chc.edu.tw</v>
      </c>
      <c r="E2036" s="17" t="str">
        <f>IFERROR(__xludf.DUMMYFUNCTION("""COMPUTED_VALUE"""),"彰化縣私立精誠高級中學附設國中部")</f>
        <v>彰化縣私立精誠高級中學附設國中部</v>
      </c>
      <c r="F2036" s="14" t="str">
        <f>IFERROR(__xludf.DUMMYFUNCTION("""COMPUTED_VALUE"""),"七年級")</f>
        <v>七年級</v>
      </c>
      <c r="G2036" s="14" t="str">
        <f>IFERROR(__xludf.DUMMYFUNCTION("""COMPUTED_VALUE"""),"獎狀")</f>
        <v>獎狀</v>
      </c>
      <c r="H2036" s="8"/>
    </row>
    <row r="2037">
      <c r="A2037" s="18"/>
      <c r="B2037" s="14">
        <f>IFERROR(__xludf.DUMMYFUNCTION("""COMPUTED_VALUE"""),1195405.0)</f>
        <v>1195405</v>
      </c>
      <c r="C2037" s="14" t="str">
        <f>IFERROR(__xludf.DUMMYFUNCTION("""COMPUTED_VALUE"""),"蘇育彰")</f>
        <v>蘇育彰</v>
      </c>
      <c r="D2037" s="16" t="str">
        <f>IFERROR(__xludf.DUMMYFUNCTION("""COMPUTED_VALUE"""),"111*****stu.cchs.chc.edu.tw")</f>
        <v>111*****stu.cchs.chc.edu.tw</v>
      </c>
      <c r="E2037" s="17" t="str">
        <f>IFERROR(__xludf.DUMMYFUNCTION("""COMPUTED_VALUE"""),"彰化縣私立精誠高級中學附設國中部")</f>
        <v>彰化縣私立精誠高級中學附設國中部</v>
      </c>
      <c r="F2037" s="14" t="str">
        <f>IFERROR(__xludf.DUMMYFUNCTION("""COMPUTED_VALUE"""),"七年級")</f>
        <v>七年級</v>
      </c>
      <c r="G2037" s="14" t="str">
        <f>IFERROR(__xludf.DUMMYFUNCTION("""COMPUTED_VALUE"""),"獎狀")</f>
        <v>獎狀</v>
      </c>
      <c r="H2037" s="8"/>
    </row>
    <row r="2038">
      <c r="A2038" s="18"/>
      <c r="B2038" s="14">
        <f>IFERROR(__xludf.DUMMYFUNCTION("""COMPUTED_VALUE"""),1195421.0)</f>
        <v>1195421</v>
      </c>
      <c r="C2038" s="14" t="str">
        <f>IFERROR(__xludf.DUMMYFUNCTION("""COMPUTED_VALUE"""),"饒秉原")</f>
        <v>饒秉原</v>
      </c>
      <c r="D2038" s="16" t="str">
        <f>IFERROR(__xludf.DUMMYFUNCTION("""COMPUTED_VALUE"""),"111*****stu.cchs.chc.edu.tw")</f>
        <v>111*****stu.cchs.chc.edu.tw</v>
      </c>
      <c r="E2038" s="17" t="str">
        <f>IFERROR(__xludf.DUMMYFUNCTION("""COMPUTED_VALUE"""),"彰化縣私立精誠高級中學附設國中部")</f>
        <v>彰化縣私立精誠高級中學附設國中部</v>
      </c>
      <c r="F2038" s="14" t="str">
        <f>IFERROR(__xludf.DUMMYFUNCTION("""COMPUTED_VALUE"""),"七年級")</f>
        <v>七年級</v>
      </c>
      <c r="G2038" s="14" t="str">
        <f>IFERROR(__xludf.DUMMYFUNCTION("""COMPUTED_VALUE"""),"獎狀")</f>
        <v>獎狀</v>
      </c>
      <c r="H2038" s="8"/>
    </row>
    <row r="2039">
      <c r="A2039" s="18"/>
      <c r="B2039" s="14">
        <f>IFERROR(__xludf.DUMMYFUNCTION("""COMPUTED_VALUE"""),1190983.0)</f>
        <v>1190983</v>
      </c>
      <c r="C2039" s="14" t="str">
        <f>IFERROR(__xludf.DUMMYFUNCTION("""COMPUTED_VALUE"""),"許誨珉")</f>
        <v>許誨珉</v>
      </c>
      <c r="D2039" s="16" t="str">
        <f>IFERROR(__xludf.DUMMYFUNCTION("""COMPUTED_VALUE"""),"111*****stu.cchs.chc.edu.tw")</f>
        <v>111*****stu.cchs.chc.edu.tw</v>
      </c>
      <c r="E2039" s="17" t="str">
        <f>IFERROR(__xludf.DUMMYFUNCTION("""COMPUTED_VALUE"""),"彰化縣私立精誠高級中學附設國中部")</f>
        <v>彰化縣私立精誠高級中學附設國中部</v>
      </c>
      <c r="F2039" s="14" t="str">
        <f>IFERROR(__xludf.DUMMYFUNCTION("""COMPUTED_VALUE"""),"七年級")</f>
        <v>七年級</v>
      </c>
      <c r="G2039" s="14" t="str">
        <f>IFERROR(__xludf.DUMMYFUNCTION("""COMPUTED_VALUE"""),"●小禮物")</f>
        <v>●小禮物</v>
      </c>
      <c r="H2039" s="8"/>
    </row>
    <row r="2040">
      <c r="A2040" s="18"/>
      <c r="B2040" s="14">
        <f>IFERROR(__xludf.DUMMYFUNCTION("""COMPUTED_VALUE"""),1190978.0)</f>
        <v>1190978</v>
      </c>
      <c r="C2040" s="14" t="str">
        <f>IFERROR(__xludf.DUMMYFUNCTION("""COMPUTED_VALUE"""),"黄冠瑜")</f>
        <v>黄冠瑜</v>
      </c>
      <c r="D2040" s="16" t="str">
        <f>IFERROR(__xludf.DUMMYFUNCTION("""COMPUTED_VALUE"""),"111*****stu.cchs.chc.edu.tw")</f>
        <v>111*****stu.cchs.chc.edu.tw</v>
      </c>
      <c r="E2040" s="17" t="str">
        <f>IFERROR(__xludf.DUMMYFUNCTION("""COMPUTED_VALUE"""),"彰化縣私立精誠高級中學附設國中部")</f>
        <v>彰化縣私立精誠高級中學附設國中部</v>
      </c>
      <c r="F2040" s="14" t="str">
        <f>IFERROR(__xludf.DUMMYFUNCTION("""COMPUTED_VALUE"""),"七年級")</f>
        <v>七年級</v>
      </c>
      <c r="G2040" s="14" t="str">
        <f>IFERROR(__xludf.DUMMYFUNCTION("""COMPUTED_VALUE"""),"●小禮物")</f>
        <v>●小禮物</v>
      </c>
      <c r="H2040" s="8"/>
    </row>
    <row r="2041">
      <c r="A2041" s="18"/>
      <c r="B2041" s="14">
        <f>IFERROR(__xludf.DUMMYFUNCTION("""COMPUTED_VALUE"""),1190991.0)</f>
        <v>1190991</v>
      </c>
      <c r="C2041" s="14" t="str">
        <f>IFERROR(__xludf.DUMMYFUNCTION("""COMPUTED_VALUE"""),"黃郁晴")</f>
        <v>黃郁晴</v>
      </c>
      <c r="D2041" s="16" t="str">
        <f>IFERROR(__xludf.DUMMYFUNCTION("""COMPUTED_VALUE"""),"111*****stu.cchs.chc.edu.tw")</f>
        <v>111*****stu.cchs.chc.edu.tw</v>
      </c>
      <c r="E2041" s="17" t="str">
        <f>IFERROR(__xludf.DUMMYFUNCTION("""COMPUTED_VALUE"""),"彰化縣私立精誠高級中學附設國中部")</f>
        <v>彰化縣私立精誠高級中學附設國中部</v>
      </c>
      <c r="F2041" s="14" t="str">
        <f>IFERROR(__xludf.DUMMYFUNCTION("""COMPUTED_VALUE"""),"七年級")</f>
        <v>七年級</v>
      </c>
      <c r="G2041" s="14" t="str">
        <f>IFERROR(__xludf.DUMMYFUNCTION("""COMPUTED_VALUE"""),"●小禮物")</f>
        <v>●小禮物</v>
      </c>
      <c r="H2041" s="8"/>
    </row>
    <row r="2042">
      <c r="A2042" s="18"/>
      <c r="B2042" s="14">
        <f>IFERROR(__xludf.DUMMYFUNCTION("""COMPUTED_VALUE"""),1191001.0)</f>
        <v>1191001</v>
      </c>
      <c r="C2042" s="14" t="str">
        <f>IFERROR(__xludf.DUMMYFUNCTION("""COMPUTED_VALUE"""),"趙千霈")</f>
        <v>趙千霈</v>
      </c>
      <c r="D2042" s="16" t="str">
        <f>IFERROR(__xludf.DUMMYFUNCTION("""COMPUTED_VALUE"""),"111*****stu.cchs.chc.edu.tw")</f>
        <v>111*****stu.cchs.chc.edu.tw</v>
      </c>
      <c r="E2042" s="17" t="str">
        <f>IFERROR(__xludf.DUMMYFUNCTION("""COMPUTED_VALUE"""),"彰化縣私立精誠高級中學附設國中部")</f>
        <v>彰化縣私立精誠高級中學附設國中部</v>
      </c>
      <c r="F2042" s="14" t="str">
        <f>IFERROR(__xludf.DUMMYFUNCTION("""COMPUTED_VALUE"""),"七年級")</f>
        <v>七年級</v>
      </c>
      <c r="G2042" s="14" t="str">
        <f>IFERROR(__xludf.DUMMYFUNCTION("""COMPUTED_VALUE"""),"●小禮物")</f>
        <v>●小禮物</v>
      </c>
      <c r="H2042" s="8"/>
    </row>
    <row r="2043">
      <c r="A2043" s="18"/>
      <c r="B2043" s="14">
        <f>IFERROR(__xludf.DUMMYFUNCTION("""COMPUTED_VALUE"""),1190981.0)</f>
        <v>1190981</v>
      </c>
      <c r="C2043" s="14" t="str">
        <f>IFERROR(__xludf.DUMMYFUNCTION("""COMPUTED_VALUE"""),"趙梓淞")</f>
        <v>趙梓淞</v>
      </c>
      <c r="D2043" s="16" t="str">
        <f>IFERROR(__xludf.DUMMYFUNCTION("""COMPUTED_VALUE"""),"111*****stu.cchs.chc.edu.tw")</f>
        <v>111*****stu.cchs.chc.edu.tw</v>
      </c>
      <c r="E2043" s="17" t="str">
        <f>IFERROR(__xludf.DUMMYFUNCTION("""COMPUTED_VALUE"""),"彰化縣私立精誠高級中學附設國中部")</f>
        <v>彰化縣私立精誠高級中學附設國中部</v>
      </c>
      <c r="F2043" s="14" t="str">
        <f>IFERROR(__xludf.DUMMYFUNCTION("""COMPUTED_VALUE"""),"七年級")</f>
        <v>七年級</v>
      </c>
      <c r="G2043" s="14" t="str">
        <f>IFERROR(__xludf.DUMMYFUNCTION("""COMPUTED_VALUE"""),"●小禮物")</f>
        <v>●小禮物</v>
      </c>
      <c r="H2043" s="8"/>
    </row>
    <row r="2044">
      <c r="A2044" s="18"/>
      <c r="B2044" s="14">
        <f>IFERROR(__xludf.DUMMYFUNCTION("""COMPUTED_VALUE"""),1190988.0)</f>
        <v>1190988</v>
      </c>
      <c r="C2044" s="14" t="str">
        <f>IFERROR(__xludf.DUMMYFUNCTION("""COMPUTED_VALUE"""),"劉軒辰")</f>
        <v>劉軒辰</v>
      </c>
      <c r="D2044" s="16" t="str">
        <f>IFERROR(__xludf.DUMMYFUNCTION("""COMPUTED_VALUE"""),"111*****stu.cchs.chc.edu.tw")</f>
        <v>111*****stu.cchs.chc.edu.tw</v>
      </c>
      <c r="E2044" s="17" t="str">
        <f>IFERROR(__xludf.DUMMYFUNCTION("""COMPUTED_VALUE"""),"彰化縣私立精誠高級中學附設國中部")</f>
        <v>彰化縣私立精誠高級中學附設國中部</v>
      </c>
      <c r="F2044" s="14" t="str">
        <f>IFERROR(__xludf.DUMMYFUNCTION("""COMPUTED_VALUE"""),"七年級")</f>
        <v>七年級</v>
      </c>
      <c r="G2044" s="14" t="str">
        <f>IFERROR(__xludf.DUMMYFUNCTION("""COMPUTED_VALUE"""),"●小禮物")</f>
        <v>●小禮物</v>
      </c>
      <c r="H2044" s="8"/>
    </row>
    <row r="2045">
      <c r="A2045" s="18"/>
      <c r="B2045" s="14">
        <f>IFERROR(__xludf.DUMMYFUNCTION("""COMPUTED_VALUE"""),1190992.0)</f>
        <v>1190992</v>
      </c>
      <c r="C2045" s="14" t="str">
        <f>IFERROR(__xludf.DUMMYFUNCTION("""COMPUTED_VALUE"""),"賴奕瑞")</f>
        <v>賴奕瑞</v>
      </c>
      <c r="D2045" s="16" t="str">
        <f>IFERROR(__xludf.DUMMYFUNCTION("""COMPUTED_VALUE"""),"111*****stu.cchs.chc.edu.tw")</f>
        <v>111*****stu.cchs.chc.edu.tw</v>
      </c>
      <c r="E2045" s="17" t="str">
        <f>IFERROR(__xludf.DUMMYFUNCTION("""COMPUTED_VALUE"""),"彰化縣私立精誠高級中學附設國中部")</f>
        <v>彰化縣私立精誠高級中學附設國中部</v>
      </c>
      <c r="F2045" s="14" t="str">
        <f>IFERROR(__xludf.DUMMYFUNCTION("""COMPUTED_VALUE"""),"七年級")</f>
        <v>七年級</v>
      </c>
      <c r="G2045" s="14" t="str">
        <f>IFERROR(__xludf.DUMMYFUNCTION("""COMPUTED_VALUE"""),"★禮券$200")</f>
        <v>★禮券$200</v>
      </c>
      <c r="H2045" s="8"/>
    </row>
    <row r="2046">
      <c r="A2046" s="18"/>
      <c r="B2046" s="14">
        <f>IFERROR(__xludf.DUMMYFUNCTION("""COMPUTED_VALUE"""),1190965.0)</f>
        <v>1190965</v>
      </c>
      <c r="C2046" s="14" t="str">
        <f>IFERROR(__xludf.DUMMYFUNCTION("""COMPUTED_VALUE"""),"古芳齊")</f>
        <v>古芳齊</v>
      </c>
      <c r="D2046" s="16" t="str">
        <f>IFERROR(__xludf.DUMMYFUNCTION("""COMPUTED_VALUE"""),"111*****stu.cchs.chc.edu.tw")</f>
        <v>111*****stu.cchs.chc.edu.tw</v>
      </c>
      <c r="E2046" s="17" t="str">
        <f>IFERROR(__xludf.DUMMYFUNCTION("""COMPUTED_VALUE"""),"彰化縣私立精誠高級中學附設國中部")</f>
        <v>彰化縣私立精誠高級中學附設國中部</v>
      </c>
      <c r="F2046" s="14" t="str">
        <f>IFERROR(__xludf.DUMMYFUNCTION("""COMPUTED_VALUE"""),"七年級")</f>
        <v>七年級</v>
      </c>
      <c r="G2046" s="14" t="str">
        <f>IFERROR(__xludf.DUMMYFUNCTION("""COMPUTED_VALUE"""),"獎狀")</f>
        <v>獎狀</v>
      </c>
      <c r="H2046" s="8"/>
    </row>
    <row r="2047">
      <c r="A2047" s="18"/>
      <c r="B2047" s="14">
        <f>IFERROR(__xludf.DUMMYFUNCTION("""COMPUTED_VALUE"""),1190982.0)</f>
        <v>1190982</v>
      </c>
      <c r="C2047" s="14" t="str">
        <f>IFERROR(__xludf.DUMMYFUNCTION("""COMPUTED_VALUE"""),"李定羽")</f>
        <v>李定羽</v>
      </c>
      <c r="D2047" s="16" t="str">
        <f>IFERROR(__xludf.DUMMYFUNCTION("""COMPUTED_VALUE"""),"111*****stu.cchs.chc.edu.tw")</f>
        <v>111*****stu.cchs.chc.edu.tw</v>
      </c>
      <c r="E2047" s="17" t="str">
        <f>IFERROR(__xludf.DUMMYFUNCTION("""COMPUTED_VALUE"""),"彰化縣私立精誠高級中學附設國中部")</f>
        <v>彰化縣私立精誠高級中學附設國中部</v>
      </c>
      <c r="F2047" s="14" t="str">
        <f>IFERROR(__xludf.DUMMYFUNCTION("""COMPUTED_VALUE"""),"七年級")</f>
        <v>七年級</v>
      </c>
      <c r="G2047" s="14" t="str">
        <f>IFERROR(__xludf.DUMMYFUNCTION("""COMPUTED_VALUE"""),"獎狀")</f>
        <v>獎狀</v>
      </c>
      <c r="H2047" s="8"/>
    </row>
    <row r="2048">
      <c r="A2048" s="18"/>
      <c r="B2048" s="14">
        <f>IFERROR(__xludf.DUMMYFUNCTION("""COMPUTED_VALUE"""),1190980.0)</f>
        <v>1190980</v>
      </c>
      <c r="C2048" s="14" t="str">
        <f>IFERROR(__xludf.DUMMYFUNCTION("""COMPUTED_VALUE"""),"李俊諭")</f>
        <v>李俊諭</v>
      </c>
      <c r="D2048" s="16" t="str">
        <f>IFERROR(__xludf.DUMMYFUNCTION("""COMPUTED_VALUE"""),"111*****stu.cchs.chc.edu.tw")</f>
        <v>111*****stu.cchs.chc.edu.tw</v>
      </c>
      <c r="E2048" s="17" t="str">
        <f>IFERROR(__xludf.DUMMYFUNCTION("""COMPUTED_VALUE"""),"彰化縣私立精誠高級中學附設國中部")</f>
        <v>彰化縣私立精誠高級中學附設國中部</v>
      </c>
      <c r="F2048" s="14" t="str">
        <f>IFERROR(__xludf.DUMMYFUNCTION("""COMPUTED_VALUE"""),"七年級")</f>
        <v>七年級</v>
      </c>
      <c r="G2048" s="14" t="str">
        <f>IFERROR(__xludf.DUMMYFUNCTION("""COMPUTED_VALUE"""),"獎狀")</f>
        <v>獎狀</v>
      </c>
      <c r="H2048" s="8"/>
    </row>
    <row r="2049">
      <c r="A2049" s="18"/>
      <c r="B2049" s="14">
        <f>IFERROR(__xludf.DUMMYFUNCTION("""COMPUTED_VALUE"""),1190963.0)</f>
        <v>1190963</v>
      </c>
      <c r="C2049" s="14" t="str">
        <f>IFERROR(__xludf.DUMMYFUNCTION("""COMPUTED_VALUE"""),"周冠霖")</f>
        <v>周冠霖</v>
      </c>
      <c r="D2049" s="16" t="str">
        <f>IFERROR(__xludf.DUMMYFUNCTION("""COMPUTED_VALUE"""),"111*****stu.cchs.chc.edu.tw")</f>
        <v>111*****stu.cchs.chc.edu.tw</v>
      </c>
      <c r="E2049" s="17" t="str">
        <f>IFERROR(__xludf.DUMMYFUNCTION("""COMPUTED_VALUE"""),"彰化縣私立精誠高級中學附設國中部")</f>
        <v>彰化縣私立精誠高級中學附設國中部</v>
      </c>
      <c r="F2049" s="14" t="str">
        <f>IFERROR(__xludf.DUMMYFUNCTION("""COMPUTED_VALUE"""),"七年級")</f>
        <v>七年級</v>
      </c>
      <c r="G2049" s="14" t="str">
        <f>IFERROR(__xludf.DUMMYFUNCTION("""COMPUTED_VALUE"""),"獎狀")</f>
        <v>獎狀</v>
      </c>
      <c r="H2049" s="8"/>
    </row>
    <row r="2050">
      <c r="A2050" s="18"/>
      <c r="B2050" s="14">
        <f>IFERROR(__xludf.DUMMYFUNCTION("""COMPUTED_VALUE"""),1190956.0)</f>
        <v>1190956</v>
      </c>
      <c r="C2050" s="14" t="str">
        <f>IFERROR(__xludf.DUMMYFUNCTION("""COMPUTED_VALUE"""),"林柏儒")</f>
        <v>林柏儒</v>
      </c>
      <c r="D2050" s="16" t="str">
        <f>IFERROR(__xludf.DUMMYFUNCTION("""COMPUTED_VALUE"""),"111*****stu.cchs.chc.edu.tw")</f>
        <v>111*****stu.cchs.chc.edu.tw</v>
      </c>
      <c r="E2050" s="17" t="str">
        <f>IFERROR(__xludf.DUMMYFUNCTION("""COMPUTED_VALUE"""),"彰化縣私立精誠高級中學附設國中部")</f>
        <v>彰化縣私立精誠高級中學附設國中部</v>
      </c>
      <c r="F2050" s="14" t="str">
        <f>IFERROR(__xludf.DUMMYFUNCTION("""COMPUTED_VALUE"""),"七年級")</f>
        <v>七年級</v>
      </c>
      <c r="G2050" s="14" t="str">
        <f>IFERROR(__xludf.DUMMYFUNCTION("""COMPUTED_VALUE"""),"獎狀")</f>
        <v>獎狀</v>
      </c>
      <c r="H2050" s="8"/>
    </row>
    <row r="2051">
      <c r="A2051" s="18"/>
      <c r="B2051" s="14">
        <f>IFERROR(__xludf.DUMMYFUNCTION("""COMPUTED_VALUE"""),1190961.0)</f>
        <v>1190961</v>
      </c>
      <c r="C2051" s="14" t="str">
        <f>IFERROR(__xludf.DUMMYFUNCTION("""COMPUTED_VALUE"""),"倪習源")</f>
        <v>倪習源</v>
      </c>
      <c r="D2051" s="16" t="str">
        <f>IFERROR(__xludf.DUMMYFUNCTION("""COMPUTED_VALUE"""),"111*****stu.cchs.chc.edu.tw")</f>
        <v>111*****stu.cchs.chc.edu.tw</v>
      </c>
      <c r="E2051" s="17" t="str">
        <f>IFERROR(__xludf.DUMMYFUNCTION("""COMPUTED_VALUE"""),"彰化縣私立精誠高級中學附設國中部")</f>
        <v>彰化縣私立精誠高級中學附設國中部</v>
      </c>
      <c r="F2051" s="14" t="str">
        <f>IFERROR(__xludf.DUMMYFUNCTION("""COMPUTED_VALUE"""),"七年級")</f>
        <v>七年級</v>
      </c>
      <c r="G2051" s="14" t="str">
        <f>IFERROR(__xludf.DUMMYFUNCTION("""COMPUTED_VALUE"""),"獎狀")</f>
        <v>獎狀</v>
      </c>
      <c r="H2051" s="8"/>
    </row>
    <row r="2052">
      <c r="A2052" s="18"/>
      <c r="B2052" s="14">
        <f>IFERROR(__xludf.DUMMYFUNCTION("""COMPUTED_VALUE"""),1190986.0)</f>
        <v>1190986</v>
      </c>
      <c r="C2052" s="14" t="str">
        <f>IFERROR(__xludf.DUMMYFUNCTION("""COMPUTED_VALUE"""),"孫浚維")</f>
        <v>孫浚維</v>
      </c>
      <c r="D2052" s="16" t="str">
        <f>IFERROR(__xludf.DUMMYFUNCTION("""COMPUTED_VALUE"""),"111*****stu.cchs.chc.edu.tw")</f>
        <v>111*****stu.cchs.chc.edu.tw</v>
      </c>
      <c r="E2052" s="17" t="str">
        <f>IFERROR(__xludf.DUMMYFUNCTION("""COMPUTED_VALUE"""),"彰化縣私立精誠高級中學附設國中部")</f>
        <v>彰化縣私立精誠高級中學附設國中部</v>
      </c>
      <c r="F2052" s="14" t="str">
        <f>IFERROR(__xludf.DUMMYFUNCTION("""COMPUTED_VALUE"""),"七年級")</f>
        <v>七年級</v>
      </c>
      <c r="G2052" s="14" t="str">
        <f>IFERROR(__xludf.DUMMYFUNCTION("""COMPUTED_VALUE"""),"獎狀")</f>
        <v>獎狀</v>
      </c>
      <c r="H2052" s="8"/>
    </row>
    <row r="2053">
      <c r="A2053" s="18"/>
      <c r="B2053" s="14">
        <f>IFERROR(__xludf.DUMMYFUNCTION("""COMPUTED_VALUE"""),1190960.0)</f>
        <v>1190960</v>
      </c>
      <c r="C2053" s="14" t="str">
        <f>IFERROR(__xludf.DUMMYFUNCTION("""COMPUTED_VALUE"""),"陳冠廷")</f>
        <v>陳冠廷</v>
      </c>
      <c r="D2053" s="16" t="str">
        <f>IFERROR(__xludf.DUMMYFUNCTION("""COMPUTED_VALUE"""),"111*****stu.cchs.chc.edu.tw")</f>
        <v>111*****stu.cchs.chc.edu.tw</v>
      </c>
      <c r="E2053" s="17" t="str">
        <f>IFERROR(__xludf.DUMMYFUNCTION("""COMPUTED_VALUE"""),"彰化縣私立精誠高級中學附設國中部")</f>
        <v>彰化縣私立精誠高級中學附設國中部</v>
      </c>
      <c r="F2053" s="14" t="str">
        <f>IFERROR(__xludf.DUMMYFUNCTION("""COMPUTED_VALUE"""),"七年級")</f>
        <v>七年級</v>
      </c>
      <c r="G2053" s="14" t="str">
        <f>IFERROR(__xludf.DUMMYFUNCTION("""COMPUTED_VALUE"""),"獎狀")</f>
        <v>獎狀</v>
      </c>
      <c r="H2053" s="8"/>
    </row>
    <row r="2054">
      <c r="A2054" s="18"/>
      <c r="B2054" s="14">
        <f>IFERROR(__xludf.DUMMYFUNCTION("""COMPUTED_VALUE"""),1190955.0)</f>
        <v>1190955</v>
      </c>
      <c r="C2054" s="14" t="str">
        <f>IFERROR(__xludf.DUMMYFUNCTION("""COMPUTED_VALUE"""),"陳楷鈞")</f>
        <v>陳楷鈞</v>
      </c>
      <c r="D2054" s="16" t="str">
        <f>IFERROR(__xludf.DUMMYFUNCTION("""COMPUTED_VALUE"""),"111*****stu.cchs.chc.edu.tw")</f>
        <v>111*****stu.cchs.chc.edu.tw</v>
      </c>
      <c r="E2054" s="17" t="str">
        <f>IFERROR(__xludf.DUMMYFUNCTION("""COMPUTED_VALUE"""),"彰化縣私立精誠高級中學附設國中部")</f>
        <v>彰化縣私立精誠高級中學附設國中部</v>
      </c>
      <c r="F2054" s="14" t="str">
        <f>IFERROR(__xludf.DUMMYFUNCTION("""COMPUTED_VALUE"""),"七年級")</f>
        <v>七年級</v>
      </c>
      <c r="G2054" s="14" t="str">
        <f>IFERROR(__xludf.DUMMYFUNCTION("""COMPUTED_VALUE"""),"獎狀")</f>
        <v>獎狀</v>
      </c>
      <c r="H2054" s="8"/>
    </row>
    <row r="2055">
      <c r="A2055" s="18"/>
      <c r="B2055" s="14">
        <f>IFERROR(__xludf.DUMMYFUNCTION("""COMPUTED_VALUE"""),1190957.0)</f>
        <v>1190957</v>
      </c>
      <c r="C2055" s="14" t="str">
        <f>IFERROR(__xludf.DUMMYFUNCTION("""COMPUTED_VALUE"""),"蕭睦穎")</f>
        <v>蕭睦穎</v>
      </c>
      <c r="D2055" s="16" t="str">
        <f>IFERROR(__xludf.DUMMYFUNCTION("""COMPUTED_VALUE"""),"111*****stu.cchs.chc.edu.tw")</f>
        <v>111*****stu.cchs.chc.edu.tw</v>
      </c>
      <c r="E2055" s="17" t="str">
        <f>IFERROR(__xludf.DUMMYFUNCTION("""COMPUTED_VALUE"""),"彰化縣私立精誠高級中學附設國中部")</f>
        <v>彰化縣私立精誠高級中學附設國中部</v>
      </c>
      <c r="F2055" s="14" t="str">
        <f>IFERROR(__xludf.DUMMYFUNCTION("""COMPUTED_VALUE"""),"七年級")</f>
        <v>七年級</v>
      </c>
      <c r="G2055" s="14" t="str">
        <f>IFERROR(__xludf.DUMMYFUNCTION("""COMPUTED_VALUE"""),"獎狀")</f>
        <v>獎狀</v>
      </c>
      <c r="H2055" s="8"/>
    </row>
    <row r="2056">
      <c r="A2056" s="18"/>
      <c r="B2056" s="14">
        <f>IFERROR(__xludf.DUMMYFUNCTION("""COMPUTED_VALUE"""),1195576.0)</f>
        <v>1195576</v>
      </c>
      <c r="C2056" s="14" t="str">
        <f>IFERROR(__xludf.DUMMYFUNCTION("""COMPUTED_VALUE"""),"周秉鋐")</f>
        <v>周秉鋐</v>
      </c>
      <c r="D2056" s="16" t="str">
        <f>IFERROR(__xludf.DUMMYFUNCTION("""COMPUTED_VALUE"""),"111*****stu.cchs.chc.edu.tw")</f>
        <v>111*****stu.cchs.chc.edu.tw</v>
      </c>
      <c r="E2056" s="17" t="str">
        <f>IFERROR(__xludf.DUMMYFUNCTION("""COMPUTED_VALUE"""),"彰化縣私立精誠高級中學附設國中部")</f>
        <v>彰化縣私立精誠高級中學附設國中部</v>
      </c>
      <c r="F2056" s="14" t="str">
        <f>IFERROR(__xludf.DUMMYFUNCTION("""COMPUTED_VALUE"""),"七年級")</f>
        <v>七年級</v>
      </c>
      <c r="G2056" s="14" t="str">
        <f>IFERROR(__xludf.DUMMYFUNCTION("""COMPUTED_VALUE"""),"●小禮物")</f>
        <v>●小禮物</v>
      </c>
      <c r="H2056" s="8"/>
    </row>
    <row r="2057">
      <c r="A2057" s="18"/>
      <c r="B2057" s="14">
        <f>IFERROR(__xludf.DUMMYFUNCTION("""COMPUTED_VALUE"""),1195580.0)</f>
        <v>1195580</v>
      </c>
      <c r="C2057" s="14" t="str">
        <f>IFERROR(__xludf.DUMMYFUNCTION("""COMPUTED_VALUE"""),"陳凱渝")</f>
        <v>陳凱渝</v>
      </c>
      <c r="D2057" s="16" t="str">
        <f>IFERROR(__xludf.DUMMYFUNCTION("""COMPUTED_VALUE"""),"111*****stu.cchs.chc.edu.tw")</f>
        <v>111*****stu.cchs.chc.edu.tw</v>
      </c>
      <c r="E2057" s="17" t="str">
        <f>IFERROR(__xludf.DUMMYFUNCTION("""COMPUTED_VALUE"""),"彰化縣私立精誠高級中學附設國中部")</f>
        <v>彰化縣私立精誠高級中學附設國中部</v>
      </c>
      <c r="F2057" s="14" t="str">
        <f>IFERROR(__xludf.DUMMYFUNCTION("""COMPUTED_VALUE"""),"七年級")</f>
        <v>七年級</v>
      </c>
      <c r="G2057" s="14" t="str">
        <f>IFERROR(__xludf.DUMMYFUNCTION("""COMPUTED_VALUE"""),"●小禮物")</f>
        <v>●小禮物</v>
      </c>
      <c r="H2057" s="8"/>
    </row>
    <row r="2058">
      <c r="A2058" s="18"/>
      <c r="B2058" s="14">
        <f>IFERROR(__xludf.DUMMYFUNCTION("""COMPUTED_VALUE"""),1195579.0)</f>
        <v>1195579</v>
      </c>
      <c r="C2058" s="14" t="str">
        <f>IFERROR(__xludf.DUMMYFUNCTION("""COMPUTED_VALUE"""),"葉耀之")</f>
        <v>葉耀之</v>
      </c>
      <c r="D2058" s="16" t="str">
        <f>IFERROR(__xludf.DUMMYFUNCTION("""COMPUTED_VALUE"""),"111*****stu.cchs.chc.edu.tw")</f>
        <v>111*****stu.cchs.chc.edu.tw</v>
      </c>
      <c r="E2058" s="17" t="str">
        <f>IFERROR(__xludf.DUMMYFUNCTION("""COMPUTED_VALUE"""),"彰化縣私立精誠高級中學附設國中部")</f>
        <v>彰化縣私立精誠高級中學附設國中部</v>
      </c>
      <c r="F2058" s="14" t="str">
        <f>IFERROR(__xludf.DUMMYFUNCTION("""COMPUTED_VALUE"""),"七年級")</f>
        <v>七年級</v>
      </c>
      <c r="G2058" s="14" t="str">
        <f>IFERROR(__xludf.DUMMYFUNCTION("""COMPUTED_VALUE"""),"●小禮物")</f>
        <v>●小禮物</v>
      </c>
      <c r="H2058" s="8"/>
    </row>
    <row r="2059">
      <c r="A2059" s="18"/>
      <c r="B2059" s="14">
        <f>IFERROR(__xludf.DUMMYFUNCTION("""COMPUTED_VALUE"""),1195590.0)</f>
        <v>1195590</v>
      </c>
      <c r="C2059" s="14" t="str">
        <f>IFERROR(__xludf.DUMMYFUNCTION("""COMPUTED_VALUE"""),"郭芯瑀")</f>
        <v>郭芯瑀</v>
      </c>
      <c r="D2059" s="16" t="str">
        <f>IFERROR(__xludf.DUMMYFUNCTION("""COMPUTED_VALUE"""),"111*****stu.cchs.chc.edu.tw")</f>
        <v>111*****stu.cchs.chc.edu.tw</v>
      </c>
      <c r="E2059" s="17" t="str">
        <f>IFERROR(__xludf.DUMMYFUNCTION("""COMPUTED_VALUE"""),"彰化縣私立精誠高級中學附設國中部")</f>
        <v>彰化縣私立精誠高級中學附設國中部</v>
      </c>
      <c r="F2059" s="14" t="str">
        <f>IFERROR(__xludf.DUMMYFUNCTION("""COMPUTED_VALUE"""),"七年級")</f>
        <v>七年級</v>
      </c>
      <c r="G2059" s="14" t="str">
        <f>IFERROR(__xludf.DUMMYFUNCTION("""COMPUTED_VALUE"""),"獎狀")</f>
        <v>獎狀</v>
      </c>
      <c r="H2059" s="8"/>
    </row>
    <row r="2060">
      <c r="A2060" s="18"/>
      <c r="B2060" s="14">
        <f>IFERROR(__xludf.DUMMYFUNCTION("""COMPUTED_VALUE"""),1195606.0)</f>
        <v>1195606</v>
      </c>
      <c r="C2060" s="14" t="str">
        <f>IFERROR(__xludf.DUMMYFUNCTION("""COMPUTED_VALUE"""),"謝采容")</f>
        <v>謝采容</v>
      </c>
      <c r="D2060" s="16" t="str">
        <f>IFERROR(__xludf.DUMMYFUNCTION("""COMPUTED_VALUE"""),"111*****stu.cchs.chc.edu.tw")</f>
        <v>111*****stu.cchs.chc.edu.tw</v>
      </c>
      <c r="E2060" s="17" t="str">
        <f>IFERROR(__xludf.DUMMYFUNCTION("""COMPUTED_VALUE"""),"彰化縣私立精誠高級中學附設國中部")</f>
        <v>彰化縣私立精誠高級中學附設國中部</v>
      </c>
      <c r="F2060" s="14" t="str">
        <f>IFERROR(__xludf.DUMMYFUNCTION("""COMPUTED_VALUE"""),"七年級")</f>
        <v>七年級</v>
      </c>
      <c r="G2060" s="14" t="str">
        <f>IFERROR(__xludf.DUMMYFUNCTION("""COMPUTED_VALUE"""),"獎狀")</f>
        <v>獎狀</v>
      </c>
      <c r="H2060" s="8"/>
    </row>
    <row r="2061">
      <c r="A2061" s="18"/>
      <c r="B2061" s="14">
        <f>IFERROR(__xludf.DUMMYFUNCTION("""COMPUTED_VALUE"""),1201026.0)</f>
        <v>1201026</v>
      </c>
      <c r="C2061" s="14" t="str">
        <f>IFERROR(__xludf.DUMMYFUNCTION("""COMPUTED_VALUE"""),"李懿儒")</f>
        <v>李懿儒</v>
      </c>
      <c r="D2061" s="16" t="str">
        <f>IFERROR(__xludf.DUMMYFUNCTION("""COMPUTED_VALUE"""),"111*****stu.cchs.chc.edu.tw")</f>
        <v>111*****stu.cchs.chc.edu.tw</v>
      </c>
      <c r="E2061" s="17" t="str">
        <f>IFERROR(__xludf.DUMMYFUNCTION("""COMPUTED_VALUE"""),"彰化縣私立精誠高級中學附設國中部")</f>
        <v>彰化縣私立精誠高級中學附設國中部</v>
      </c>
      <c r="F2061" s="14" t="str">
        <f>IFERROR(__xludf.DUMMYFUNCTION("""COMPUTED_VALUE"""),"七年級")</f>
        <v>七年級</v>
      </c>
      <c r="G2061" s="14" t="str">
        <f>IFERROR(__xludf.DUMMYFUNCTION("""COMPUTED_VALUE"""),"●小禮物")</f>
        <v>●小禮物</v>
      </c>
      <c r="H2061" s="8"/>
    </row>
    <row r="2062">
      <c r="A2062" s="18"/>
      <c r="B2062" s="14">
        <f>IFERROR(__xludf.DUMMYFUNCTION("""COMPUTED_VALUE"""),1201049.0)</f>
        <v>1201049</v>
      </c>
      <c r="C2062" s="14" t="str">
        <f>IFERROR(__xludf.DUMMYFUNCTION("""COMPUTED_VALUE"""),"柯婧慈")</f>
        <v>柯婧慈</v>
      </c>
      <c r="D2062" s="16" t="str">
        <f>IFERROR(__xludf.DUMMYFUNCTION("""COMPUTED_VALUE"""),"111*****stu.cchs.chc.edu.tw")</f>
        <v>111*****stu.cchs.chc.edu.tw</v>
      </c>
      <c r="E2062" s="17" t="str">
        <f>IFERROR(__xludf.DUMMYFUNCTION("""COMPUTED_VALUE"""),"彰化縣私立精誠高級中學附設國中部")</f>
        <v>彰化縣私立精誠高級中學附設國中部</v>
      </c>
      <c r="F2062" s="14" t="str">
        <f>IFERROR(__xludf.DUMMYFUNCTION("""COMPUTED_VALUE"""),"七年級")</f>
        <v>七年級</v>
      </c>
      <c r="G2062" s="14" t="str">
        <f>IFERROR(__xludf.DUMMYFUNCTION("""COMPUTED_VALUE"""),"●小禮物")</f>
        <v>●小禮物</v>
      </c>
      <c r="H2062" s="8"/>
    </row>
    <row r="2063">
      <c r="A2063" s="18"/>
      <c r="B2063" s="14">
        <f>IFERROR(__xludf.DUMMYFUNCTION("""COMPUTED_VALUE"""),1201028.0)</f>
        <v>1201028</v>
      </c>
      <c r="C2063" s="14" t="str">
        <f>IFERROR(__xludf.DUMMYFUNCTION("""COMPUTED_VALUE"""),"張承喻")</f>
        <v>張承喻</v>
      </c>
      <c r="D2063" s="16" t="str">
        <f>IFERROR(__xludf.DUMMYFUNCTION("""COMPUTED_VALUE"""),"111*****stu.cchs.chc.edu.tw")</f>
        <v>111*****stu.cchs.chc.edu.tw</v>
      </c>
      <c r="E2063" s="17" t="str">
        <f>IFERROR(__xludf.DUMMYFUNCTION("""COMPUTED_VALUE"""),"彰化縣私立精誠高級中學附設國中部")</f>
        <v>彰化縣私立精誠高級中學附設國中部</v>
      </c>
      <c r="F2063" s="14" t="str">
        <f>IFERROR(__xludf.DUMMYFUNCTION("""COMPUTED_VALUE"""),"七年級")</f>
        <v>七年級</v>
      </c>
      <c r="G2063" s="14" t="str">
        <f>IFERROR(__xludf.DUMMYFUNCTION("""COMPUTED_VALUE"""),"●小禮物")</f>
        <v>●小禮物</v>
      </c>
      <c r="H2063" s="8"/>
    </row>
    <row r="2064">
      <c r="A2064" s="18"/>
      <c r="B2064" s="14">
        <f>IFERROR(__xludf.DUMMYFUNCTION("""COMPUTED_VALUE"""),1201053.0)</f>
        <v>1201053</v>
      </c>
      <c r="C2064" s="14" t="str">
        <f>IFERROR(__xludf.DUMMYFUNCTION("""COMPUTED_VALUE"""),"楊峻豪")</f>
        <v>楊峻豪</v>
      </c>
      <c r="D2064" s="16" t="str">
        <f>IFERROR(__xludf.DUMMYFUNCTION("""COMPUTED_VALUE"""),"111*****stu.cchs.chc.edu.tw")</f>
        <v>111*****stu.cchs.chc.edu.tw</v>
      </c>
      <c r="E2064" s="17" t="str">
        <f>IFERROR(__xludf.DUMMYFUNCTION("""COMPUTED_VALUE"""),"彰化縣私立精誠高級中學附設國中部")</f>
        <v>彰化縣私立精誠高級中學附設國中部</v>
      </c>
      <c r="F2064" s="14" t="str">
        <f>IFERROR(__xludf.DUMMYFUNCTION("""COMPUTED_VALUE"""),"七年級")</f>
        <v>七年級</v>
      </c>
      <c r="G2064" s="14" t="str">
        <f>IFERROR(__xludf.DUMMYFUNCTION("""COMPUTED_VALUE"""),"●小禮物")</f>
        <v>●小禮物</v>
      </c>
      <c r="H2064" s="8"/>
    </row>
    <row r="2065">
      <c r="A2065" s="18"/>
      <c r="B2065" s="14">
        <f>IFERROR(__xludf.DUMMYFUNCTION("""COMPUTED_VALUE"""),1201046.0)</f>
        <v>1201046</v>
      </c>
      <c r="C2065" s="14" t="str">
        <f>IFERROR(__xludf.DUMMYFUNCTION("""COMPUTED_VALUE"""),"蔡佳宏")</f>
        <v>蔡佳宏</v>
      </c>
      <c r="D2065" s="16" t="str">
        <f>IFERROR(__xludf.DUMMYFUNCTION("""COMPUTED_VALUE"""),"111*****stu.cchs.chc.edu.tw")</f>
        <v>111*****stu.cchs.chc.edu.tw</v>
      </c>
      <c r="E2065" s="17" t="str">
        <f>IFERROR(__xludf.DUMMYFUNCTION("""COMPUTED_VALUE"""),"彰化縣私立精誠高級中學附設國中部")</f>
        <v>彰化縣私立精誠高級中學附設國中部</v>
      </c>
      <c r="F2065" s="14" t="str">
        <f>IFERROR(__xludf.DUMMYFUNCTION("""COMPUTED_VALUE"""),"七年級")</f>
        <v>七年級</v>
      </c>
      <c r="G2065" s="14" t="str">
        <f>IFERROR(__xludf.DUMMYFUNCTION("""COMPUTED_VALUE"""),"●小禮物")</f>
        <v>●小禮物</v>
      </c>
      <c r="H2065" s="8"/>
    </row>
    <row r="2066">
      <c r="A2066" s="18"/>
      <c r="B2066" s="14">
        <f>IFERROR(__xludf.DUMMYFUNCTION("""COMPUTED_VALUE"""),1201039.0)</f>
        <v>1201039</v>
      </c>
      <c r="C2066" s="14" t="str">
        <f>IFERROR(__xludf.DUMMYFUNCTION("""COMPUTED_VALUE"""),"蔡竣安")</f>
        <v>蔡竣安</v>
      </c>
      <c r="D2066" s="16" t="str">
        <f>IFERROR(__xludf.DUMMYFUNCTION("""COMPUTED_VALUE"""),"111*****stu.cchs.chc.edu.tw")</f>
        <v>111*****stu.cchs.chc.edu.tw</v>
      </c>
      <c r="E2066" s="17" t="str">
        <f>IFERROR(__xludf.DUMMYFUNCTION("""COMPUTED_VALUE"""),"彰化縣私立精誠高級中學附設國中部")</f>
        <v>彰化縣私立精誠高級中學附設國中部</v>
      </c>
      <c r="F2066" s="14" t="str">
        <f>IFERROR(__xludf.DUMMYFUNCTION("""COMPUTED_VALUE"""),"七年級")</f>
        <v>七年級</v>
      </c>
      <c r="G2066" s="14" t="str">
        <f>IFERROR(__xludf.DUMMYFUNCTION("""COMPUTED_VALUE"""),"●小禮物")</f>
        <v>●小禮物</v>
      </c>
      <c r="H2066" s="8"/>
    </row>
    <row r="2067">
      <c r="A2067" s="18"/>
      <c r="B2067" s="14">
        <f>IFERROR(__xludf.DUMMYFUNCTION("""COMPUTED_VALUE"""),1201044.0)</f>
        <v>1201044</v>
      </c>
      <c r="C2067" s="14" t="str">
        <f>IFERROR(__xludf.DUMMYFUNCTION("""COMPUTED_VALUE"""),"蘇漢宸")</f>
        <v>蘇漢宸</v>
      </c>
      <c r="D2067" s="16" t="str">
        <f>IFERROR(__xludf.DUMMYFUNCTION("""COMPUTED_VALUE"""),"111*****stu.cchs.chc.edu.tw")</f>
        <v>111*****stu.cchs.chc.edu.tw</v>
      </c>
      <c r="E2067" s="17" t="str">
        <f>IFERROR(__xludf.DUMMYFUNCTION("""COMPUTED_VALUE"""),"彰化縣私立精誠高級中學附設國中部")</f>
        <v>彰化縣私立精誠高級中學附設國中部</v>
      </c>
      <c r="F2067" s="14" t="str">
        <f>IFERROR(__xludf.DUMMYFUNCTION("""COMPUTED_VALUE"""),"七年級")</f>
        <v>七年級</v>
      </c>
      <c r="G2067" s="14" t="str">
        <f>IFERROR(__xludf.DUMMYFUNCTION("""COMPUTED_VALUE"""),"●小禮物")</f>
        <v>●小禮物</v>
      </c>
      <c r="H2067" s="8"/>
    </row>
    <row r="2068">
      <c r="A2068" s="18"/>
      <c r="B2068" s="14">
        <f>IFERROR(__xludf.DUMMYFUNCTION("""COMPUTED_VALUE"""),1210433.0)</f>
        <v>1210433</v>
      </c>
      <c r="C2068" s="14" t="str">
        <f>IFERROR(__xludf.DUMMYFUNCTION("""COMPUTED_VALUE"""),"莊淇筑")</f>
        <v>莊淇筑</v>
      </c>
      <c r="D2068" s="16" t="str">
        <f>IFERROR(__xludf.DUMMYFUNCTION("""COMPUTED_VALUE"""),"111*****stu.cchs.chc.edu.tw")</f>
        <v>111*****stu.cchs.chc.edu.tw</v>
      </c>
      <c r="E2068" s="17" t="str">
        <f>IFERROR(__xludf.DUMMYFUNCTION("""COMPUTED_VALUE"""),"彰化縣私立精誠高級中學附設國中部")</f>
        <v>彰化縣私立精誠高級中學附設國中部</v>
      </c>
      <c r="F2068" s="14" t="str">
        <f>IFERROR(__xludf.DUMMYFUNCTION("""COMPUTED_VALUE"""),"七年級")</f>
        <v>七年級</v>
      </c>
      <c r="G2068" s="14" t="str">
        <f>IFERROR(__xludf.DUMMYFUNCTION("""COMPUTED_VALUE"""),"獎狀")</f>
        <v>獎狀</v>
      </c>
      <c r="H2068" s="8"/>
    </row>
    <row r="2069">
      <c r="A2069" s="18"/>
      <c r="B2069" s="14">
        <f>IFERROR(__xludf.DUMMYFUNCTION("""COMPUTED_VALUE"""),1201067.0)</f>
        <v>1201067</v>
      </c>
      <c r="C2069" s="14" t="str">
        <f>IFERROR(__xludf.DUMMYFUNCTION("""COMPUTED_VALUE"""),"劉詠晴")</f>
        <v>劉詠晴</v>
      </c>
      <c r="D2069" s="16" t="str">
        <f>IFERROR(__xludf.DUMMYFUNCTION("""COMPUTED_VALUE"""),"111*****stu.cchs.chc.edu.tw")</f>
        <v>111*****stu.cchs.chc.edu.tw</v>
      </c>
      <c r="E2069" s="17" t="str">
        <f>IFERROR(__xludf.DUMMYFUNCTION("""COMPUTED_VALUE"""),"彰化縣私立精誠高級中學附設國中部")</f>
        <v>彰化縣私立精誠高級中學附設國中部</v>
      </c>
      <c r="F2069" s="14" t="str">
        <f>IFERROR(__xludf.DUMMYFUNCTION("""COMPUTED_VALUE"""),"七年級")</f>
        <v>七年級</v>
      </c>
      <c r="G2069" s="14" t="str">
        <f>IFERROR(__xludf.DUMMYFUNCTION("""COMPUTED_VALUE"""),"獎狀")</f>
        <v>獎狀</v>
      </c>
      <c r="H2069" s="8"/>
    </row>
    <row r="2070">
      <c r="A2070" s="18"/>
      <c r="B2070" s="14">
        <f>IFERROR(__xludf.DUMMYFUNCTION("""COMPUTED_VALUE"""),1201055.0)</f>
        <v>1201055</v>
      </c>
      <c r="C2070" s="14" t="str">
        <f>IFERROR(__xludf.DUMMYFUNCTION("""COMPUTED_VALUE"""),"賴偉誌")</f>
        <v>賴偉誌</v>
      </c>
      <c r="D2070" s="16" t="str">
        <f>IFERROR(__xludf.DUMMYFUNCTION("""COMPUTED_VALUE"""),"111*****stu.cchs.chc.edu.tw")</f>
        <v>111*****stu.cchs.chc.edu.tw</v>
      </c>
      <c r="E2070" s="17" t="str">
        <f>IFERROR(__xludf.DUMMYFUNCTION("""COMPUTED_VALUE"""),"彰化縣私立精誠高級中學附設國中部")</f>
        <v>彰化縣私立精誠高級中學附設國中部</v>
      </c>
      <c r="F2070" s="14" t="str">
        <f>IFERROR(__xludf.DUMMYFUNCTION("""COMPUTED_VALUE"""),"七年級")</f>
        <v>七年級</v>
      </c>
      <c r="G2070" s="14" t="str">
        <f>IFERROR(__xludf.DUMMYFUNCTION("""COMPUTED_VALUE"""),"獎狀")</f>
        <v>獎狀</v>
      </c>
      <c r="H2070" s="8"/>
    </row>
    <row r="2071">
      <c r="A2071" s="18"/>
      <c r="B2071" s="14">
        <f>IFERROR(__xludf.DUMMYFUNCTION("""COMPUTED_VALUE"""),765433.0)</f>
        <v>765433</v>
      </c>
      <c r="C2071" s="14" t="str">
        <f>IFERROR(__xludf.DUMMYFUNCTION("""COMPUTED_VALUE"""),"蘇楷云")</f>
        <v>蘇楷云</v>
      </c>
      <c r="D2071" s="16" t="str">
        <f>IFERROR(__xludf.DUMMYFUNCTION("""COMPUTED_VALUE"""),"022*****u.cchs.chc.edu.tw")</f>
        <v>022*****u.cchs.chc.edu.tw</v>
      </c>
      <c r="E2071" s="17" t="str">
        <f>IFERROR(__xludf.DUMMYFUNCTION("""COMPUTED_VALUE"""),"彰化縣私立精誠高級中學附設國中部")</f>
        <v>彰化縣私立精誠高級中學附設國中部</v>
      </c>
      <c r="F2071" s="14" t="str">
        <f>IFERROR(__xludf.DUMMYFUNCTION("""COMPUTED_VALUE"""),"八年級")</f>
        <v>八年級</v>
      </c>
      <c r="G2071" s="14" t="str">
        <f>IFERROR(__xludf.DUMMYFUNCTION("""COMPUTED_VALUE"""),"●小禮物")</f>
        <v>●小禮物</v>
      </c>
      <c r="H2071" s="8"/>
    </row>
    <row r="2072">
      <c r="A2072" s="18"/>
      <c r="B2072" s="14">
        <f>IFERROR(__xludf.DUMMYFUNCTION("""COMPUTED_VALUE"""),822580.0)</f>
        <v>822580</v>
      </c>
      <c r="C2072" s="14" t="str">
        <f>IFERROR(__xludf.DUMMYFUNCTION("""COMPUTED_VALUE"""),"黃靖妍")</f>
        <v>黃靖妍</v>
      </c>
      <c r="D2072" s="16" t="str">
        <f>IFERROR(__xludf.DUMMYFUNCTION("""COMPUTED_VALUE"""),"liz*****1107@chc.edu.tw")</f>
        <v>liz*****1107@chc.edu.tw</v>
      </c>
      <c r="E2072" s="17" t="str">
        <f>IFERROR(__xludf.DUMMYFUNCTION("""COMPUTED_VALUE"""),"彰化縣立陽明國民中學")</f>
        <v>彰化縣立陽明國民中學</v>
      </c>
      <c r="F2072" s="14" t="str">
        <f>IFERROR(__xludf.DUMMYFUNCTION("""COMPUTED_VALUE"""),"八年級")</f>
        <v>八年級</v>
      </c>
      <c r="G2072" s="14" t="str">
        <f>IFERROR(__xludf.DUMMYFUNCTION("""COMPUTED_VALUE"""),"●小禮物")</f>
        <v>●小禮物</v>
      </c>
      <c r="H2072" s="8"/>
    </row>
    <row r="2073">
      <c r="A2073" s="18"/>
      <c r="B2073" s="14">
        <f>IFERROR(__xludf.DUMMYFUNCTION("""COMPUTED_VALUE"""),822568.0)</f>
        <v>822568</v>
      </c>
      <c r="C2073" s="14" t="str">
        <f>IFERROR(__xludf.DUMMYFUNCTION("""COMPUTED_VALUE"""),"蔡語謙")</f>
        <v>蔡語謙</v>
      </c>
      <c r="D2073" s="16" t="str">
        <f>IFERROR(__xludf.DUMMYFUNCTION("""COMPUTED_VALUE"""),"ab4*****chc.edu.tw")</f>
        <v>ab4*****chc.edu.tw</v>
      </c>
      <c r="E2073" s="17" t="str">
        <f>IFERROR(__xludf.DUMMYFUNCTION("""COMPUTED_VALUE"""),"彰化縣立陽明國民中學")</f>
        <v>彰化縣立陽明國民中學</v>
      </c>
      <c r="F2073" s="14" t="str">
        <f>IFERROR(__xludf.DUMMYFUNCTION("""COMPUTED_VALUE"""),"八年級")</f>
        <v>八年級</v>
      </c>
      <c r="G2073" s="14" t="str">
        <f>IFERROR(__xludf.DUMMYFUNCTION("""COMPUTED_VALUE"""),"●小禮物")</f>
        <v>●小禮物</v>
      </c>
      <c r="H2073" s="8"/>
    </row>
    <row r="2074">
      <c r="A2074" s="18"/>
      <c r="B2074" s="14">
        <f>IFERROR(__xludf.DUMMYFUNCTION("""COMPUTED_VALUE"""),822599.0)</f>
        <v>822599</v>
      </c>
      <c r="C2074" s="14" t="str">
        <f>IFERROR(__xludf.DUMMYFUNCTION("""COMPUTED_VALUE"""),"馮宥榛")</f>
        <v>馮宥榛</v>
      </c>
      <c r="D2074" s="16" t="str">
        <f>IFERROR(__xludf.DUMMYFUNCTION("""COMPUTED_VALUE"""),"cse*****43@chc.edu.tw")</f>
        <v>cse*****43@chc.edu.tw</v>
      </c>
      <c r="E2074" s="17" t="str">
        <f>IFERROR(__xludf.DUMMYFUNCTION("""COMPUTED_VALUE"""),"彰化縣立陽明國民中學")</f>
        <v>彰化縣立陽明國民中學</v>
      </c>
      <c r="F2074" s="14" t="str">
        <f>IFERROR(__xludf.DUMMYFUNCTION("""COMPUTED_VALUE"""),"八年級")</f>
        <v>八年級</v>
      </c>
      <c r="G2074" s="14" t="str">
        <f>IFERROR(__xludf.DUMMYFUNCTION("""COMPUTED_VALUE"""),"獎狀")</f>
        <v>獎狀</v>
      </c>
      <c r="H2074" s="8"/>
    </row>
    <row r="2075">
      <c r="A2075" s="18"/>
      <c r="B2075" s="14">
        <f>IFERROR(__xludf.DUMMYFUNCTION("""COMPUTED_VALUE"""),964730.0)</f>
        <v>964730</v>
      </c>
      <c r="C2075" s="14" t="str">
        <f>IFERROR(__xludf.DUMMYFUNCTION("""COMPUTED_VALUE"""),"張至濬")</f>
        <v>張至濬</v>
      </c>
      <c r="D2075" s="16" t="str">
        <f>IFERROR(__xludf.DUMMYFUNCTION("""COMPUTED_VALUE"""),"jim*****0@mail.edu.tw")</f>
        <v>jim*****0@mail.edu.tw</v>
      </c>
      <c r="E2075" s="17" t="str">
        <f>IFERROR(__xludf.DUMMYFUNCTION("""COMPUTED_VALUE"""),"彰化縣立秀水國民中學")</f>
        <v>彰化縣立秀水國民中學</v>
      </c>
      <c r="F2075" s="14" t="str">
        <f>IFERROR(__xludf.DUMMYFUNCTION("""COMPUTED_VALUE"""),"七年級")</f>
        <v>七年級</v>
      </c>
      <c r="G2075" s="14" t="str">
        <f>IFERROR(__xludf.DUMMYFUNCTION("""COMPUTED_VALUE"""),"●小禮物")</f>
        <v>●小禮物</v>
      </c>
      <c r="H2075" s="8"/>
    </row>
    <row r="2076">
      <c r="A2076" s="18"/>
      <c r="B2076" s="14">
        <f>IFERROR(__xludf.DUMMYFUNCTION("""COMPUTED_VALUE"""),914709.0)</f>
        <v>914709</v>
      </c>
      <c r="C2076" s="14" t="str">
        <f>IFERROR(__xludf.DUMMYFUNCTION("""COMPUTED_VALUE"""),"姚宇諺")</f>
        <v>姚宇諺</v>
      </c>
      <c r="D2076" s="16" t="str">
        <f>IFERROR(__xludf.DUMMYFUNCTION("""COMPUTED_VALUE"""),"110*****jis.chc.edu.tw")</f>
        <v>110*****jis.chc.edu.tw</v>
      </c>
      <c r="E2076" s="17" t="str">
        <f>IFERROR(__xludf.DUMMYFUNCTION("""COMPUTED_VALUE"""),"彰化縣立鹿江國際中小學國中部")</f>
        <v>彰化縣立鹿江國際中小學國中部</v>
      </c>
      <c r="F2076" s="14" t="str">
        <f>IFERROR(__xludf.DUMMYFUNCTION("""COMPUTED_VALUE"""),"八年級")</f>
        <v>八年級</v>
      </c>
      <c r="G2076" s="14" t="str">
        <f>IFERROR(__xludf.DUMMYFUNCTION("""COMPUTED_VALUE"""),"獎狀")</f>
        <v>獎狀</v>
      </c>
      <c r="H2076" s="8"/>
    </row>
    <row r="2077">
      <c r="A2077" s="18"/>
      <c r="B2077" s="14">
        <f>IFERROR(__xludf.DUMMYFUNCTION("""COMPUTED_VALUE"""),1039735.0)</f>
        <v>1039735</v>
      </c>
      <c r="C2077" s="14" t="str">
        <f>IFERROR(__xludf.DUMMYFUNCTION("""COMPUTED_VALUE"""),"陳攸慈")</f>
        <v>陳攸慈</v>
      </c>
      <c r="D2077" s="16" t="str">
        <f>IFERROR(__xludf.DUMMYFUNCTION("""COMPUTED_VALUE"""),"hle*****2@mail.edu.tw")</f>
        <v>hle*****2@mail.edu.tw</v>
      </c>
      <c r="E2077" s="17" t="str">
        <f>IFERROR(__xludf.DUMMYFUNCTION("""COMPUTED_VALUE"""),"彰化縣立鹿江國際中小學國中部")</f>
        <v>彰化縣立鹿江國際中小學國中部</v>
      </c>
      <c r="F2077" s="14" t="str">
        <f>IFERROR(__xludf.DUMMYFUNCTION("""COMPUTED_VALUE"""),"九年級")</f>
        <v>九年級</v>
      </c>
      <c r="G2077" s="14" t="str">
        <f>IFERROR(__xludf.DUMMYFUNCTION("""COMPUTED_VALUE"""),"★禮券$200")</f>
        <v>★禮券$200</v>
      </c>
      <c r="H2077" s="8"/>
    </row>
    <row r="2078">
      <c r="A2078" s="18"/>
      <c r="B2078" s="14">
        <f>IFERROR(__xludf.DUMMYFUNCTION("""COMPUTED_VALUE"""),719485.0)</f>
        <v>719485</v>
      </c>
      <c r="C2078" s="14" t="str">
        <f>IFERROR(__xludf.DUMMYFUNCTION("""COMPUTED_VALUE"""),"許育睿")</f>
        <v>許育睿</v>
      </c>
      <c r="D2078" s="16" t="str">
        <f>IFERROR(__xludf.DUMMYFUNCTION("""COMPUTED_VALUE"""),"109*****jis.chc.edu.tw")</f>
        <v>109*****jis.chc.edu.tw</v>
      </c>
      <c r="E2078" s="17" t="str">
        <f>IFERROR(__xludf.DUMMYFUNCTION("""COMPUTED_VALUE"""),"彰化縣立鹿江國際中小學國中部")</f>
        <v>彰化縣立鹿江國際中小學國中部</v>
      </c>
      <c r="F2078" s="14" t="str">
        <f>IFERROR(__xludf.DUMMYFUNCTION("""COMPUTED_VALUE"""),"九年級")</f>
        <v>九年級</v>
      </c>
      <c r="G2078" s="14" t="str">
        <f>IFERROR(__xludf.DUMMYFUNCTION("""COMPUTED_VALUE"""),"獎狀")</f>
        <v>獎狀</v>
      </c>
      <c r="H2078" s="8"/>
    </row>
    <row r="2079">
      <c r="A2079" s="18"/>
      <c r="B2079" s="14">
        <f>IFERROR(__xludf.DUMMYFUNCTION("""COMPUTED_VALUE"""),333667.0)</f>
        <v>333667</v>
      </c>
      <c r="C2079" s="14" t="str">
        <f>IFERROR(__xludf.DUMMYFUNCTION("""COMPUTED_VALUE"""),"粘蕎驛")</f>
        <v>粘蕎驛</v>
      </c>
      <c r="D2079" s="16" t="str">
        <f>IFERROR(__xludf.DUMMYFUNCTION("""COMPUTED_VALUE"""),"gye*****16@chc.edu.tw")</f>
        <v>gye*****16@chc.edu.tw</v>
      </c>
      <c r="E2079" s="17" t="str">
        <f>IFERROR(__xludf.DUMMYFUNCTION("""COMPUTED_VALUE"""),"彰化縣立福興國民中學")</f>
        <v>彰化縣立福興國民中學</v>
      </c>
      <c r="F2079" s="14" t="str">
        <f>IFERROR(__xludf.DUMMYFUNCTION("""COMPUTED_VALUE"""),"七年級")</f>
        <v>七年級</v>
      </c>
      <c r="G2079" s="14" t="str">
        <f>IFERROR(__xludf.DUMMYFUNCTION("""COMPUTED_VALUE"""),"獎狀")</f>
        <v>獎狀</v>
      </c>
      <c r="H2079" s="8"/>
    </row>
    <row r="2080">
      <c r="A2080" s="18"/>
      <c r="B2080" s="14">
        <f>IFERROR(__xludf.DUMMYFUNCTION("""COMPUTED_VALUE"""),304460.0)</f>
        <v>304460</v>
      </c>
      <c r="C2080" s="14" t="str">
        <f>IFERROR(__xludf.DUMMYFUNCTION("""COMPUTED_VALUE"""),"粘瑋哲")</f>
        <v>粘瑋哲</v>
      </c>
      <c r="D2080" s="16" t="str">
        <f>IFERROR(__xludf.DUMMYFUNCTION("""COMPUTED_VALUE"""),"gye*****12@chc.edu.tw")</f>
        <v>gye*****12@chc.edu.tw</v>
      </c>
      <c r="E2080" s="17" t="str">
        <f>IFERROR(__xludf.DUMMYFUNCTION("""COMPUTED_VALUE"""),"彰化縣立福興國民中學")</f>
        <v>彰化縣立福興國民中學</v>
      </c>
      <c r="F2080" s="14" t="str">
        <f>IFERROR(__xludf.DUMMYFUNCTION("""COMPUTED_VALUE"""),"九年級")</f>
        <v>九年級</v>
      </c>
      <c r="G2080" s="14" t="str">
        <f>IFERROR(__xludf.DUMMYFUNCTION("""COMPUTED_VALUE"""),"獎狀")</f>
        <v>獎狀</v>
      </c>
      <c r="H2080" s="8"/>
    </row>
    <row r="2081">
      <c r="A2081" s="18"/>
      <c r="B2081" s="14">
        <f>IFERROR(__xludf.DUMMYFUNCTION("""COMPUTED_VALUE"""),441759.0)</f>
        <v>441759</v>
      </c>
      <c r="C2081" s="14" t="str">
        <f>IFERROR(__xludf.DUMMYFUNCTION("""COMPUTED_VALUE"""),"鄭楊子恩")</f>
        <v>鄭楊子恩</v>
      </c>
      <c r="D2081" s="16" t="str">
        <f>IFERROR(__xludf.DUMMYFUNCTION("""COMPUTED_VALUE"""),"aar*****ron@gmail.com")</f>
        <v>aar*****ron@gmail.com</v>
      </c>
      <c r="E2081" s="17" t="str">
        <f>IFERROR(__xludf.DUMMYFUNCTION("""COMPUTED_VALUE"""),"彰化縣立福興國民中學")</f>
        <v>彰化縣立福興國民中學</v>
      </c>
      <c r="F2081" s="14" t="str">
        <f>IFERROR(__xludf.DUMMYFUNCTION("""COMPUTED_VALUE"""),"九年級")</f>
        <v>九年級</v>
      </c>
      <c r="G2081" s="14" t="str">
        <f>IFERROR(__xludf.DUMMYFUNCTION("""COMPUTED_VALUE"""),"獎狀")</f>
        <v>獎狀</v>
      </c>
      <c r="H2081" s="8"/>
    </row>
    <row r="2082">
      <c r="A2082" s="18"/>
      <c r="B2082" s="14">
        <f>IFERROR(__xludf.DUMMYFUNCTION("""COMPUTED_VALUE"""),1180216.0)</f>
        <v>1180216</v>
      </c>
      <c r="C2082" s="14" t="str">
        <f>IFERROR(__xludf.DUMMYFUNCTION("""COMPUTED_VALUE"""),"温子謙")</f>
        <v>温子謙</v>
      </c>
      <c r="D2082" s="16" t="str">
        <f>IFERROR(__xludf.DUMMYFUNCTION("""COMPUTED_VALUE"""),"ann*****5@yahoo.com.tw")</f>
        <v>ann*****5@yahoo.com.tw</v>
      </c>
      <c r="E2082" s="17" t="str">
        <f>IFERROR(__xludf.DUMMYFUNCTION("""COMPUTED_VALUE"""),"彰化縣立鹿港國民中學")</f>
        <v>彰化縣立鹿港國民中學</v>
      </c>
      <c r="F2082" s="14" t="str">
        <f>IFERROR(__xludf.DUMMYFUNCTION("""COMPUTED_VALUE"""),"七年級")</f>
        <v>七年級</v>
      </c>
      <c r="G2082" s="14" t="str">
        <f>IFERROR(__xludf.DUMMYFUNCTION("""COMPUTED_VALUE"""),"●小禮物")</f>
        <v>●小禮物</v>
      </c>
      <c r="H2082" s="8"/>
    </row>
    <row r="2083">
      <c r="A2083" s="18"/>
      <c r="B2083" s="14">
        <f>IFERROR(__xludf.DUMMYFUNCTION("""COMPUTED_VALUE"""),753676.0)</f>
        <v>753676</v>
      </c>
      <c r="C2083" s="14" t="str">
        <f>IFERROR(__xludf.DUMMYFUNCTION("""COMPUTED_VALUE"""),"黃耀陞")</f>
        <v>黃耀陞</v>
      </c>
      <c r="D2083" s="16" t="str">
        <f>IFERROR(__xludf.DUMMYFUNCTION("""COMPUTED_VALUE"""),"wke*****31@mail.edu.tw")</f>
        <v>wke*****31@mail.edu.tw</v>
      </c>
      <c r="E2083" s="17" t="str">
        <f>IFERROR(__xludf.DUMMYFUNCTION("""COMPUTED_VALUE"""),"彰化縣立鹿港國民中學")</f>
        <v>彰化縣立鹿港國民中學</v>
      </c>
      <c r="F2083" s="14" t="str">
        <f>IFERROR(__xludf.DUMMYFUNCTION("""COMPUTED_VALUE"""),"九年級")</f>
        <v>九年級</v>
      </c>
      <c r="G2083" s="14" t="str">
        <f>IFERROR(__xludf.DUMMYFUNCTION("""COMPUTED_VALUE"""),"獎狀")</f>
        <v>獎狀</v>
      </c>
      <c r="H2083" s="8"/>
    </row>
    <row r="2084">
      <c r="A2084" s="18"/>
      <c r="B2084" s="14">
        <f>IFERROR(__xludf.DUMMYFUNCTION("""COMPUTED_VALUE"""),541521.0)</f>
        <v>541521</v>
      </c>
      <c r="C2084" s="14" t="str">
        <f>IFERROR(__xludf.DUMMYFUNCTION("""COMPUTED_VALUE"""),"陳彥勳")</f>
        <v>陳彥勳</v>
      </c>
      <c r="D2084" s="16" t="str">
        <f>IFERROR(__xludf.DUMMYFUNCTION("""COMPUTED_VALUE"""),"chc*****28@mail.edu.tw")</f>
        <v>chc*****28@mail.edu.tw</v>
      </c>
      <c r="E2084" s="17" t="str">
        <f>IFERROR(__xludf.DUMMYFUNCTION("""COMPUTED_VALUE"""),"彰化縣立鹿港國民中學")</f>
        <v>彰化縣立鹿港國民中學</v>
      </c>
      <c r="F2084" s="14" t="str">
        <f>IFERROR(__xludf.DUMMYFUNCTION("""COMPUTED_VALUE"""),"九年級")</f>
        <v>九年級</v>
      </c>
      <c r="G2084" s="14" t="str">
        <f>IFERROR(__xludf.DUMMYFUNCTION("""COMPUTED_VALUE"""),"獎狀")</f>
        <v>獎狀</v>
      </c>
      <c r="H2084" s="8"/>
    </row>
    <row r="2085">
      <c r="A2085" s="18"/>
      <c r="B2085" s="14">
        <f>IFERROR(__xludf.DUMMYFUNCTION("""COMPUTED_VALUE"""),246732.0)</f>
        <v>246732</v>
      </c>
      <c r="C2085" s="14" t="str">
        <f>IFERROR(__xludf.DUMMYFUNCTION("""COMPUTED_VALUE"""),"周孟錚")</f>
        <v>周孟錚</v>
      </c>
      <c r="D2085" s="16" t="str">
        <f>IFERROR(__xludf.DUMMYFUNCTION("""COMPUTED_VALUE"""),"sgp*****1@mail.edu.tw")</f>
        <v>sgp*****1@mail.edu.tw</v>
      </c>
      <c r="E2085" s="17" t="str">
        <f>IFERROR(__xludf.DUMMYFUNCTION("""COMPUTED_VALUE"""),"彰化縣立伸港國民中學")</f>
        <v>彰化縣立伸港國民中學</v>
      </c>
      <c r="F2085" s="14" t="str">
        <f>IFERROR(__xludf.DUMMYFUNCTION("""COMPUTED_VALUE"""),"七年級")</f>
        <v>七年級</v>
      </c>
      <c r="G2085" s="14" t="str">
        <f>IFERROR(__xludf.DUMMYFUNCTION("""COMPUTED_VALUE"""),"●小禮物")</f>
        <v>●小禮物</v>
      </c>
      <c r="H2085" s="8"/>
    </row>
    <row r="2086">
      <c r="A2086" s="18"/>
      <c r="B2086" s="14">
        <f>IFERROR(__xludf.DUMMYFUNCTION("""COMPUTED_VALUE"""),861172.0)</f>
        <v>861172</v>
      </c>
      <c r="C2086" s="14" t="str">
        <f>IFERROR(__xludf.DUMMYFUNCTION("""COMPUTED_VALUE"""),"李思邑")</f>
        <v>李思邑</v>
      </c>
      <c r="D2086" s="16" t="str">
        <f>IFERROR(__xludf.DUMMYFUNCTION("""COMPUTED_VALUE"""),"hm0*****mail.edu.tw")</f>
        <v>hm0*****mail.edu.tw</v>
      </c>
      <c r="E2086" s="17" t="str">
        <f>IFERROR(__xludf.DUMMYFUNCTION("""COMPUTED_VALUE"""),"彰化縣立伸港國民中學")</f>
        <v>彰化縣立伸港國民中學</v>
      </c>
      <c r="F2086" s="14" t="str">
        <f>IFERROR(__xludf.DUMMYFUNCTION("""COMPUTED_VALUE"""),"九年級")</f>
        <v>九年級</v>
      </c>
      <c r="G2086" s="14" t="str">
        <f>IFERROR(__xludf.DUMMYFUNCTION("""COMPUTED_VALUE"""),"獎狀")</f>
        <v>獎狀</v>
      </c>
      <c r="H2086" s="8"/>
    </row>
    <row r="2087">
      <c r="A2087" s="18"/>
      <c r="B2087" s="14">
        <f>IFERROR(__xludf.DUMMYFUNCTION("""COMPUTED_VALUE"""),887178.0)</f>
        <v>887178</v>
      </c>
      <c r="C2087" s="14" t="str">
        <f>IFERROR(__xludf.DUMMYFUNCTION("""COMPUTED_VALUE"""),"黃玟達")</f>
        <v>黃玟達</v>
      </c>
      <c r="D2087" s="16" t="str">
        <f>IFERROR(__xludf.DUMMYFUNCTION("""COMPUTED_VALUE"""),"stu*****mail.edu.tw")</f>
        <v>stu*****mail.edu.tw</v>
      </c>
      <c r="E2087" s="17" t="str">
        <f>IFERROR(__xludf.DUMMYFUNCTION("""COMPUTED_VALUE"""),"彰化縣立伸港國民中學")</f>
        <v>彰化縣立伸港國民中學</v>
      </c>
      <c r="F2087" s="14" t="str">
        <f>IFERROR(__xludf.DUMMYFUNCTION("""COMPUTED_VALUE"""),"九年級")</f>
        <v>九年級</v>
      </c>
      <c r="G2087" s="14" t="str">
        <f>IFERROR(__xludf.DUMMYFUNCTION("""COMPUTED_VALUE"""),"獎狀")</f>
        <v>獎狀</v>
      </c>
      <c r="H2087" s="8"/>
    </row>
    <row r="2088">
      <c r="A2088" s="18"/>
      <c r="B2088" s="14">
        <f>IFERROR(__xludf.DUMMYFUNCTION("""COMPUTED_VALUE"""),869813.0)</f>
        <v>869813</v>
      </c>
      <c r="C2088" s="14" t="str">
        <f>IFERROR(__xludf.DUMMYFUNCTION("""COMPUTED_VALUE"""),"柯季珊")</f>
        <v>柯季珊</v>
      </c>
      <c r="D2088" s="16" t="str">
        <f>IFERROR(__xludf.DUMMYFUNCTION("""COMPUTED_VALUE"""),"stu*****mail.edu.tw")</f>
        <v>stu*****mail.edu.tw</v>
      </c>
      <c r="E2088" s="17" t="str">
        <f>IFERROR(__xludf.DUMMYFUNCTION("""COMPUTED_VALUE"""),"彰化縣立伸港國民中學")</f>
        <v>彰化縣立伸港國民中學</v>
      </c>
      <c r="F2088" s="14" t="str">
        <f>IFERROR(__xludf.DUMMYFUNCTION("""COMPUTED_VALUE"""),"九年級")</f>
        <v>九年級</v>
      </c>
      <c r="G2088" s="14" t="str">
        <f>IFERROR(__xludf.DUMMYFUNCTION("""COMPUTED_VALUE"""),"●小禮物")</f>
        <v>●小禮物</v>
      </c>
      <c r="H2088" s="8"/>
    </row>
    <row r="2089">
      <c r="A2089" s="18"/>
      <c r="B2089" s="14">
        <f>IFERROR(__xludf.DUMMYFUNCTION("""COMPUTED_VALUE"""),869821.0)</f>
        <v>869821</v>
      </c>
      <c r="C2089" s="14" t="str">
        <f>IFERROR(__xludf.DUMMYFUNCTION("""COMPUTED_VALUE"""),"洪健勝")</f>
        <v>洪健勝</v>
      </c>
      <c r="D2089" s="16" t="str">
        <f>IFERROR(__xludf.DUMMYFUNCTION("""COMPUTED_VALUE"""),"stu*****@mail.edu.tw")</f>
        <v>stu*****@mail.edu.tw</v>
      </c>
      <c r="E2089" s="17" t="str">
        <f>IFERROR(__xludf.DUMMYFUNCTION("""COMPUTED_VALUE"""),"彰化縣立伸港國民中學")</f>
        <v>彰化縣立伸港國民中學</v>
      </c>
      <c r="F2089" s="14" t="str">
        <f>IFERROR(__xludf.DUMMYFUNCTION("""COMPUTED_VALUE"""),"九年級")</f>
        <v>九年級</v>
      </c>
      <c r="G2089" s="14" t="str">
        <f>IFERROR(__xludf.DUMMYFUNCTION("""COMPUTED_VALUE"""),"★禮券$500")</f>
        <v>★禮券$500</v>
      </c>
      <c r="H2089" s="8"/>
    </row>
    <row r="2090">
      <c r="A2090" s="18"/>
      <c r="B2090" s="14">
        <f>IFERROR(__xludf.DUMMYFUNCTION("""COMPUTED_VALUE"""),869811.0)</f>
        <v>869811</v>
      </c>
      <c r="C2090" s="14" t="str">
        <f>IFERROR(__xludf.DUMMYFUNCTION("""COMPUTED_VALUE"""),"柯文霖")</f>
        <v>柯文霖</v>
      </c>
      <c r="D2090" s="16" t="str">
        <f>IFERROR(__xludf.DUMMYFUNCTION("""COMPUTED_VALUE"""),"stu*****mail.edu.tw")</f>
        <v>stu*****mail.edu.tw</v>
      </c>
      <c r="E2090" s="17" t="str">
        <f>IFERROR(__xludf.DUMMYFUNCTION("""COMPUTED_VALUE"""),"彰化縣立伸港國民中學")</f>
        <v>彰化縣立伸港國民中學</v>
      </c>
      <c r="F2090" s="14" t="str">
        <f>IFERROR(__xludf.DUMMYFUNCTION("""COMPUTED_VALUE"""),"九年級")</f>
        <v>九年級</v>
      </c>
      <c r="G2090" s="14" t="str">
        <f>IFERROR(__xludf.DUMMYFUNCTION("""COMPUTED_VALUE"""),"獎狀")</f>
        <v>獎狀</v>
      </c>
      <c r="H2090" s="8"/>
    </row>
    <row r="2091">
      <c r="A2091" s="18"/>
      <c r="B2091" s="14">
        <f>IFERROR(__xludf.DUMMYFUNCTION("""COMPUTED_VALUE"""),81534.0)</f>
        <v>81534</v>
      </c>
      <c r="C2091" s="14" t="str">
        <f>IFERROR(__xludf.DUMMYFUNCTION("""COMPUTED_VALUE"""),"黃宥晴")</f>
        <v>黃宥晴</v>
      </c>
      <c r="D2091" s="16" t="str">
        <f>IFERROR(__xludf.DUMMYFUNCTION("""COMPUTED_VALUE"""),"sgp*****49@mail.edu.tw")</f>
        <v>sgp*****49@mail.edu.tw</v>
      </c>
      <c r="E2091" s="17" t="str">
        <f>IFERROR(__xludf.DUMMYFUNCTION("""COMPUTED_VALUE"""),"彰化縣立伸港國民中學")</f>
        <v>彰化縣立伸港國民中學</v>
      </c>
      <c r="F2091" s="14" t="str">
        <f>IFERROR(__xludf.DUMMYFUNCTION("""COMPUTED_VALUE"""),"九年級")</f>
        <v>九年級</v>
      </c>
      <c r="G2091" s="14" t="str">
        <f>IFERROR(__xludf.DUMMYFUNCTION("""COMPUTED_VALUE"""),"獎狀")</f>
        <v>獎狀</v>
      </c>
      <c r="H2091" s="8"/>
    </row>
    <row r="2092">
      <c r="A2092" s="18"/>
      <c r="B2092" s="14">
        <f>IFERROR(__xludf.DUMMYFUNCTION("""COMPUTED_VALUE"""),81545.0)</f>
        <v>81545</v>
      </c>
      <c r="C2092" s="14" t="str">
        <f>IFERROR(__xludf.DUMMYFUNCTION("""COMPUTED_VALUE"""),"李彥蓉")</f>
        <v>李彥蓉</v>
      </c>
      <c r="D2092" s="16" t="str">
        <f>IFERROR(__xludf.DUMMYFUNCTION("""COMPUTED_VALUE"""),"sgp*****23@mail.edu.tw")</f>
        <v>sgp*****23@mail.edu.tw</v>
      </c>
      <c r="E2092" s="17" t="str">
        <f>IFERROR(__xludf.DUMMYFUNCTION("""COMPUTED_VALUE"""),"彰化縣立伸港國民中學")</f>
        <v>彰化縣立伸港國民中學</v>
      </c>
      <c r="F2092" s="14" t="str">
        <f>IFERROR(__xludf.DUMMYFUNCTION("""COMPUTED_VALUE"""),"九年級")</f>
        <v>九年級</v>
      </c>
      <c r="G2092" s="14" t="str">
        <f>IFERROR(__xludf.DUMMYFUNCTION("""COMPUTED_VALUE"""),"●小禮物")</f>
        <v>●小禮物</v>
      </c>
      <c r="H2092" s="8"/>
    </row>
    <row r="2093">
      <c r="A2093" s="18"/>
      <c r="B2093" s="14">
        <f>IFERROR(__xludf.DUMMYFUNCTION("""COMPUTED_VALUE"""),907103.0)</f>
        <v>907103</v>
      </c>
      <c r="C2093" s="14" t="str">
        <f>IFERROR(__xludf.DUMMYFUNCTION("""COMPUTED_VALUE"""),"姚竣逸")</f>
        <v>姚竣逸</v>
      </c>
      <c r="D2093" s="16" t="str">
        <f>IFERROR(__xludf.DUMMYFUNCTION("""COMPUTED_VALUE"""),"k09*****517@mail.edu.tw")</f>
        <v>k09*****517@mail.edu.tw</v>
      </c>
      <c r="E2093" s="17" t="str">
        <f>IFERROR(__xludf.DUMMYFUNCTION("""COMPUTED_VALUE"""),"彰化縣立伸港國民中學")</f>
        <v>彰化縣立伸港國民中學</v>
      </c>
      <c r="F2093" s="14" t="str">
        <f>IFERROR(__xludf.DUMMYFUNCTION("""COMPUTED_VALUE"""),"九年級")</f>
        <v>九年級</v>
      </c>
      <c r="G2093" s="14" t="str">
        <f>IFERROR(__xludf.DUMMYFUNCTION("""COMPUTED_VALUE"""),"●小禮物")</f>
        <v>●小禮物</v>
      </c>
      <c r="H2093" s="8"/>
    </row>
    <row r="2094">
      <c r="A2094" s="18"/>
      <c r="B2094" s="14">
        <f>IFERROR(__xludf.DUMMYFUNCTION("""COMPUTED_VALUE"""),347032.0)</f>
        <v>347032</v>
      </c>
      <c r="C2094" s="14" t="str">
        <f>IFERROR(__xludf.DUMMYFUNCTION("""COMPUTED_VALUE"""),"陳宥蓁")</f>
        <v>陳宥蓁</v>
      </c>
      <c r="D2094" s="16" t="str">
        <f>IFERROR(__xludf.DUMMYFUNCTION("""COMPUTED_VALUE"""),"sgp*****8@mail.edu.tw")</f>
        <v>sgp*****8@mail.edu.tw</v>
      </c>
      <c r="E2094" s="17" t="str">
        <f>IFERROR(__xludf.DUMMYFUNCTION("""COMPUTED_VALUE"""),"彰化縣立伸港國民中學")</f>
        <v>彰化縣立伸港國民中學</v>
      </c>
      <c r="F2094" s="14" t="str">
        <f>IFERROR(__xludf.DUMMYFUNCTION("""COMPUTED_VALUE"""),"九年級")</f>
        <v>九年級</v>
      </c>
      <c r="G2094" s="14" t="str">
        <f>IFERROR(__xludf.DUMMYFUNCTION("""COMPUTED_VALUE"""),"●小禮物")</f>
        <v>●小禮物</v>
      </c>
      <c r="H2094" s="8"/>
    </row>
    <row r="2095">
      <c r="A2095" s="18"/>
      <c r="B2095" s="14">
        <f>IFERROR(__xludf.DUMMYFUNCTION("""COMPUTED_VALUE"""),348448.0)</f>
        <v>348448</v>
      </c>
      <c r="C2095" s="14" t="str">
        <f>IFERROR(__xludf.DUMMYFUNCTION("""COMPUTED_VALUE"""),"曾宣蓉")</f>
        <v>曾宣蓉</v>
      </c>
      <c r="D2095" s="16" t="str">
        <f>IFERROR(__xludf.DUMMYFUNCTION("""COMPUTED_VALUE"""),"sre*****0@mail.edu.tw")</f>
        <v>sre*****0@mail.edu.tw</v>
      </c>
      <c r="E2095" s="17" t="str">
        <f>IFERROR(__xludf.DUMMYFUNCTION("""COMPUTED_VALUE"""),"彰化縣立伸港國民中學")</f>
        <v>彰化縣立伸港國民中學</v>
      </c>
      <c r="F2095" s="14" t="str">
        <f>IFERROR(__xludf.DUMMYFUNCTION("""COMPUTED_VALUE"""),"九年級")</f>
        <v>九年級</v>
      </c>
      <c r="G2095" s="14" t="str">
        <f>IFERROR(__xludf.DUMMYFUNCTION("""COMPUTED_VALUE"""),"●小禮物")</f>
        <v>●小禮物</v>
      </c>
      <c r="H2095" s="8"/>
    </row>
    <row r="2096">
      <c r="A2096" s="18"/>
      <c r="B2096" s="14">
        <f>IFERROR(__xludf.DUMMYFUNCTION("""COMPUTED_VALUE"""),907106.0)</f>
        <v>907106</v>
      </c>
      <c r="C2096" s="14" t="str">
        <f>IFERROR(__xludf.DUMMYFUNCTION("""COMPUTED_VALUE"""),"張妤溱")</f>
        <v>張妤溱</v>
      </c>
      <c r="D2096" s="16" t="str">
        <f>IFERROR(__xludf.DUMMYFUNCTION("""COMPUTED_VALUE"""),"jju*****ail.edu.tw")</f>
        <v>jju*****ail.edu.tw</v>
      </c>
      <c r="E2096" s="17" t="str">
        <f>IFERROR(__xludf.DUMMYFUNCTION("""COMPUTED_VALUE"""),"彰化縣立伸港國民中學")</f>
        <v>彰化縣立伸港國民中學</v>
      </c>
      <c r="F2096" s="14" t="str">
        <f>IFERROR(__xludf.DUMMYFUNCTION("""COMPUTED_VALUE"""),"九年級")</f>
        <v>九年級</v>
      </c>
      <c r="G2096" s="14" t="str">
        <f>IFERROR(__xludf.DUMMYFUNCTION("""COMPUTED_VALUE"""),"獎狀")</f>
        <v>獎狀</v>
      </c>
      <c r="H2096" s="8"/>
    </row>
    <row r="2097">
      <c r="A2097" s="18"/>
      <c r="B2097" s="14">
        <f>IFERROR(__xludf.DUMMYFUNCTION("""COMPUTED_VALUE"""),347891.0)</f>
        <v>347891</v>
      </c>
      <c r="C2097" s="14" t="str">
        <f>IFERROR(__xludf.DUMMYFUNCTION("""COMPUTED_VALUE"""),"周𣴆岑")</f>
        <v>周𣴆岑</v>
      </c>
      <c r="D2097" s="16" t="str">
        <f>IFERROR(__xludf.DUMMYFUNCTION("""COMPUTED_VALUE"""),"sgp*****5@mail.edu.tw")</f>
        <v>sgp*****5@mail.edu.tw</v>
      </c>
      <c r="E2097" s="17" t="str">
        <f>IFERROR(__xludf.DUMMYFUNCTION("""COMPUTED_VALUE"""),"彰化縣立伸港國民中學")</f>
        <v>彰化縣立伸港國民中學</v>
      </c>
      <c r="F2097" s="14" t="str">
        <f>IFERROR(__xludf.DUMMYFUNCTION("""COMPUTED_VALUE"""),"九年級")</f>
        <v>九年級</v>
      </c>
      <c r="G2097" s="14" t="str">
        <f>IFERROR(__xludf.DUMMYFUNCTION("""COMPUTED_VALUE"""),"●小禮物")</f>
        <v>●小禮物</v>
      </c>
      <c r="H2097" s="8"/>
    </row>
    <row r="2098">
      <c r="A2098" s="18"/>
      <c r="B2098" s="14">
        <f>IFERROR(__xludf.DUMMYFUNCTION("""COMPUTED_VALUE"""),887171.0)</f>
        <v>887171</v>
      </c>
      <c r="C2098" s="14" t="str">
        <f>IFERROR(__xludf.DUMMYFUNCTION("""COMPUTED_VALUE"""),"林定甫")</f>
        <v>林定甫</v>
      </c>
      <c r="D2098" s="16" t="str">
        <f>IFERROR(__xludf.DUMMYFUNCTION("""COMPUTED_VALUE"""),"stu*****mail.edu.tw")</f>
        <v>stu*****mail.edu.tw</v>
      </c>
      <c r="E2098" s="17" t="str">
        <f>IFERROR(__xludf.DUMMYFUNCTION("""COMPUTED_VALUE"""),"彰化縣立伸港國民中學")</f>
        <v>彰化縣立伸港國民中學</v>
      </c>
      <c r="F2098" s="14" t="str">
        <f>IFERROR(__xludf.DUMMYFUNCTION("""COMPUTED_VALUE"""),"九年級")</f>
        <v>九年級</v>
      </c>
      <c r="G2098" s="14" t="str">
        <f>IFERROR(__xludf.DUMMYFUNCTION("""COMPUTED_VALUE"""),"●小禮物")</f>
        <v>●小禮物</v>
      </c>
      <c r="H2098" s="8"/>
    </row>
    <row r="2099">
      <c r="A2099" s="18"/>
      <c r="B2099" s="14">
        <f>IFERROR(__xludf.DUMMYFUNCTION("""COMPUTED_VALUE"""),81535.0)</f>
        <v>81535</v>
      </c>
      <c r="C2099" s="14" t="str">
        <f>IFERROR(__xludf.DUMMYFUNCTION("""COMPUTED_VALUE"""),"洪晴玟")</f>
        <v>洪晴玟</v>
      </c>
      <c r="D2099" s="16" t="str">
        <f>IFERROR(__xludf.DUMMYFUNCTION("""COMPUTED_VALUE"""),"sgp*****11@mail.edu.tw")</f>
        <v>sgp*****11@mail.edu.tw</v>
      </c>
      <c r="E2099" s="17" t="str">
        <f>IFERROR(__xludf.DUMMYFUNCTION("""COMPUTED_VALUE"""),"彰化縣立伸港國民中學")</f>
        <v>彰化縣立伸港國民中學</v>
      </c>
      <c r="F2099" s="14" t="str">
        <f>IFERROR(__xludf.DUMMYFUNCTION("""COMPUTED_VALUE"""),"九年級")</f>
        <v>九年級</v>
      </c>
      <c r="G2099" s="14" t="str">
        <f>IFERROR(__xludf.DUMMYFUNCTION("""COMPUTED_VALUE"""),"●小禮物")</f>
        <v>●小禮物</v>
      </c>
      <c r="H2099" s="8"/>
    </row>
    <row r="2100">
      <c r="A2100" s="18"/>
      <c r="B2100" s="14">
        <f>IFERROR(__xludf.DUMMYFUNCTION("""COMPUTED_VALUE"""),883181.0)</f>
        <v>883181</v>
      </c>
      <c r="C2100" s="14" t="str">
        <f>IFERROR(__xludf.DUMMYFUNCTION("""COMPUTED_VALUE"""),"畢志豪")</f>
        <v>畢志豪</v>
      </c>
      <c r="D2100" s="16" t="str">
        <f>IFERROR(__xludf.DUMMYFUNCTION("""COMPUTED_VALUE"""),"sgp*****4@mail.edu.tw")</f>
        <v>sgp*****4@mail.edu.tw</v>
      </c>
      <c r="E2100" s="17" t="str">
        <f>IFERROR(__xludf.DUMMYFUNCTION("""COMPUTED_VALUE"""),"彰化縣立伸港國民中學")</f>
        <v>彰化縣立伸港國民中學</v>
      </c>
      <c r="F2100" s="14" t="str">
        <f>IFERROR(__xludf.DUMMYFUNCTION("""COMPUTED_VALUE"""),"九年級")</f>
        <v>九年級</v>
      </c>
      <c r="G2100" s="14" t="str">
        <f>IFERROR(__xludf.DUMMYFUNCTION("""COMPUTED_VALUE"""),"●小禮物")</f>
        <v>●小禮物</v>
      </c>
      <c r="H2100" s="8"/>
    </row>
    <row r="2101">
      <c r="A2101" s="18"/>
      <c r="B2101" s="14">
        <f>IFERROR(__xludf.DUMMYFUNCTION("""COMPUTED_VALUE"""),322621.0)</f>
        <v>322621</v>
      </c>
      <c r="C2101" s="14" t="str">
        <f>IFERROR(__xludf.DUMMYFUNCTION("""COMPUTED_VALUE"""),"楊思妤")</f>
        <v>楊思妤</v>
      </c>
      <c r="D2101" s="16" t="str">
        <f>IFERROR(__xludf.DUMMYFUNCTION("""COMPUTED_VALUE"""),"dfe*****00@mail.edu.tw")</f>
        <v>dfe*****00@mail.edu.tw</v>
      </c>
      <c r="E2101" s="17" t="str">
        <f>IFERROR(__xludf.DUMMYFUNCTION("""COMPUTED_VALUE"""),"彰化縣立伸港國民中學")</f>
        <v>彰化縣立伸港國民中學</v>
      </c>
      <c r="F2101" s="14" t="str">
        <f>IFERROR(__xludf.DUMMYFUNCTION("""COMPUTED_VALUE"""),"九年級")</f>
        <v>九年級</v>
      </c>
      <c r="G2101" s="14" t="str">
        <f>IFERROR(__xludf.DUMMYFUNCTION("""COMPUTED_VALUE"""),"●小禮物")</f>
        <v>●小禮物</v>
      </c>
      <c r="H2101" s="8"/>
    </row>
    <row r="2102">
      <c r="A2102" s="18"/>
      <c r="B2102" s="14">
        <f>IFERROR(__xludf.DUMMYFUNCTION("""COMPUTED_VALUE"""),345715.0)</f>
        <v>345715</v>
      </c>
      <c r="C2102" s="14" t="str">
        <f>IFERROR(__xludf.DUMMYFUNCTION("""COMPUTED_VALUE"""),"林欣陵")</f>
        <v>林欣陵</v>
      </c>
      <c r="D2102" s="16" t="str">
        <f>IFERROR(__xludf.DUMMYFUNCTION("""COMPUTED_VALUE"""),"sgp*****6@mail.edu.tw")</f>
        <v>sgp*****6@mail.edu.tw</v>
      </c>
      <c r="E2102" s="17" t="str">
        <f>IFERROR(__xludf.DUMMYFUNCTION("""COMPUTED_VALUE"""),"彰化縣立伸港國民中學")</f>
        <v>彰化縣立伸港國民中學</v>
      </c>
      <c r="F2102" s="14" t="str">
        <f>IFERROR(__xludf.DUMMYFUNCTION("""COMPUTED_VALUE"""),"九年級")</f>
        <v>九年級</v>
      </c>
      <c r="G2102" s="14" t="str">
        <f>IFERROR(__xludf.DUMMYFUNCTION("""COMPUTED_VALUE"""),"獎狀")</f>
        <v>獎狀</v>
      </c>
      <c r="H2102" s="8"/>
    </row>
    <row r="2103">
      <c r="A2103" s="18"/>
      <c r="B2103" s="14">
        <f>IFERROR(__xludf.DUMMYFUNCTION("""COMPUTED_VALUE"""),861178.0)</f>
        <v>861178</v>
      </c>
      <c r="C2103" s="14" t="str">
        <f>IFERROR(__xludf.DUMMYFUNCTION("""COMPUTED_VALUE"""),"洪慶元")</f>
        <v>洪慶元</v>
      </c>
      <c r="D2103" s="16" t="str">
        <f>IFERROR(__xludf.DUMMYFUNCTION("""COMPUTED_VALUE"""),"stu*****mail.edu.tw")</f>
        <v>stu*****mail.edu.tw</v>
      </c>
      <c r="E2103" s="17" t="str">
        <f>IFERROR(__xludf.DUMMYFUNCTION("""COMPUTED_VALUE"""),"彰化縣立伸港國民中學")</f>
        <v>彰化縣立伸港國民中學</v>
      </c>
      <c r="F2103" s="14" t="str">
        <f>IFERROR(__xludf.DUMMYFUNCTION("""COMPUTED_VALUE"""),"九年級")</f>
        <v>九年級</v>
      </c>
      <c r="G2103" s="14" t="str">
        <f>IFERROR(__xludf.DUMMYFUNCTION("""COMPUTED_VALUE"""),"獎狀")</f>
        <v>獎狀</v>
      </c>
      <c r="H2103" s="8"/>
    </row>
    <row r="2104">
      <c r="A2104" s="18"/>
      <c r="B2104" s="14">
        <f>IFERROR(__xludf.DUMMYFUNCTION("""COMPUTED_VALUE"""),81519.0)</f>
        <v>81519</v>
      </c>
      <c r="C2104" s="14" t="str">
        <f>IFERROR(__xludf.DUMMYFUNCTION("""COMPUTED_VALUE"""),"許舒羿")</f>
        <v>許舒羿</v>
      </c>
      <c r="D2104" s="16" t="str">
        <f>IFERROR(__xludf.DUMMYFUNCTION("""COMPUTED_VALUE"""),"sgp*****07@mail.edu.tw")</f>
        <v>sgp*****07@mail.edu.tw</v>
      </c>
      <c r="E2104" s="17" t="str">
        <f>IFERROR(__xludf.DUMMYFUNCTION("""COMPUTED_VALUE"""),"彰化縣立伸港國民中學")</f>
        <v>彰化縣立伸港國民中學</v>
      </c>
      <c r="F2104" s="14" t="str">
        <f>IFERROR(__xludf.DUMMYFUNCTION("""COMPUTED_VALUE"""),"九年級")</f>
        <v>九年級</v>
      </c>
      <c r="G2104" s="14" t="str">
        <f>IFERROR(__xludf.DUMMYFUNCTION("""COMPUTED_VALUE"""),"獎狀")</f>
        <v>獎狀</v>
      </c>
      <c r="H2104" s="8"/>
    </row>
    <row r="2105">
      <c r="A2105" s="18"/>
      <c r="B2105" s="14">
        <f>IFERROR(__xludf.DUMMYFUNCTION("""COMPUTED_VALUE"""),887173.0)</f>
        <v>887173</v>
      </c>
      <c r="C2105" s="14" t="str">
        <f>IFERROR(__xludf.DUMMYFUNCTION("""COMPUTED_VALUE"""),"蘭佳蓉")</f>
        <v>蘭佳蓉</v>
      </c>
      <c r="D2105" s="16" t="str">
        <f>IFERROR(__xludf.DUMMYFUNCTION("""COMPUTED_VALUE"""),"kel*****4@mail.edu.tw")</f>
        <v>kel*****4@mail.edu.tw</v>
      </c>
      <c r="E2105" s="17" t="str">
        <f>IFERROR(__xludf.DUMMYFUNCTION("""COMPUTED_VALUE"""),"彰化縣立伸港國民中學")</f>
        <v>彰化縣立伸港國民中學</v>
      </c>
      <c r="F2105" s="14" t="str">
        <f>IFERROR(__xludf.DUMMYFUNCTION("""COMPUTED_VALUE"""),"九年級")</f>
        <v>九年級</v>
      </c>
      <c r="G2105" s="14" t="str">
        <f>IFERROR(__xludf.DUMMYFUNCTION("""COMPUTED_VALUE"""),"獎狀")</f>
        <v>獎狀</v>
      </c>
      <c r="H2105" s="8"/>
    </row>
    <row r="2106">
      <c r="A2106" s="18"/>
      <c r="B2106" s="14">
        <f>IFERROR(__xludf.DUMMYFUNCTION("""COMPUTED_VALUE"""),334403.0)</f>
        <v>334403</v>
      </c>
      <c r="C2106" s="14" t="str">
        <f>IFERROR(__xludf.DUMMYFUNCTION("""COMPUTED_VALUE"""),"李雨恩")</f>
        <v>李雨恩</v>
      </c>
      <c r="D2106" s="16" t="str">
        <f>IFERROR(__xludf.DUMMYFUNCTION("""COMPUTED_VALUE"""),"sre*****3@mail.edu.tw")</f>
        <v>sre*****3@mail.edu.tw</v>
      </c>
      <c r="E2106" s="17" t="str">
        <f>IFERROR(__xludf.DUMMYFUNCTION("""COMPUTED_VALUE"""),"彰化縣立伸港國民中學")</f>
        <v>彰化縣立伸港國民中學</v>
      </c>
      <c r="F2106" s="14" t="str">
        <f>IFERROR(__xludf.DUMMYFUNCTION("""COMPUTED_VALUE"""),"九年級")</f>
        <v>九年級</v>
      </c>
      <c r="G2106" s="14" t="str">
        <f>IFERROR(__xludf.DUMMYFUNCTION("""COMPUTED_VALUE"""),"●小禮物")</f>
        <v>●小禮物</v>
      </c>
      <c r="H2106" s="8"/>
    </row>
    <row r="2107">
      <c r="A2107" s="18"/>
      <c r="B2107" s="14">
        <f>IFERROR(__xludf.DUMMYFUNCTION("""COMPUTED_VALUE"""),344688.0)</f>
        <v>344688</v>
      </c>
      <c r="C2107" s="14" t="str">
        <f>IFERROR(__xludf.DUMMYFUNCTION("""COMPUTED_VALUE"""),"李瑋茹")</f>
        <v>李瑋茹</v>
      </c>
      <c r="D2107" s="16" t="str">
        <f>IFERROR(__xludf.DUMMYFUNCTION("""COMPUTED_VALUE"""),"sgp*****4@mail.edu.tw")</f>
        <v>sgp*****4@mail.edu.tw</v>
      </c>
      <c r="E2107" s="17" t="str">
        <f>IFERROR(__xludf.DUMMYFUNCTION("""COMPUTED_VALUE"""),"彰化縣立伸港國民中學")</f>
        <v>彰化縣立伸港國民中學</v>
      </c>
      <c r="F2107" s="14" t="str">
        <f>IFERROR(__xludf.DUMMYFUNCTION("""COMPUTED_VALUE"""),"九年級")</f>
        <v>九年級</v>
      </c>
      <c r="G2107" s="14" t="str">
        <f>IFERROR(__xludf.DUMMYFUNCTION("""COMPUTED_VALUE"""),"●小禮物")</f>
        <v>●小禮物</v>
      </c>
      <c r="H2107" s="8"/>
    </row>
    <row r="2108">
      <c r="A2108" s="18"/>
      <c r="B2108" s="14">
        <f>IFERROR(__xludf.DUMMYFUNCTION("""COMPUTED_VALUE"""),1054005.0)</f>
        <v>1054005</v>
      </c>
      <c r="C2108" s="14" t="str">
        <f>IFERROR(__xludf.DUMMYFUNCTION("""COMPUTED_VALUE"""),"周玟諠")</f>
        <v>周玟諠</v>
      </c>
      <c r="D2108" s="16" t="str">
        <f>IFERROR(__xludf.DUMMYFUNCTION("""COMPUTED_VALUE"""),"stu*****mail.edu.tw")</f>
        <v>stu*****mail.edu.tw</v>
      </c>
      <c r="E2108" s="17" t="str">
        <f>IFERROR(__xludf.DUMMYFUNCTION("""COMPUTED_VALUE"""),"彰化縣立伸港國民中學")</f>
        <v>彰化縣立伸港國民中學</v>
      </c>
      <c r="F2108" s="14" t="str">
        <f>IFERROR(__xludf.DUMMYFUNCTION("""COMPUTED_VALUE"""),"九年級")</f>
        <v>九年級</v>
      </c>
      <c r="G2108" s="14" t="str">
        <f>IFERROR(__xludf.DUMMYFUNCTION("""COMPUTED_VALUE"""),"●小禮物")</f>
        <v>●小禮物</v>
      </c>
      <c r="H2108" s="8"/>
    </row>
    <row r="2109">
      <c r="A2109" s="18"/>
      <c r="B2109" s="14">
        <f>IFERROR(__xludf.DUMMYFUNCTION("""COMPUTED_VALUE"""),961456.0)</f>
        <v>961456</v>
      </c>
      <c r="C2109" s="14" t="str">
        <f>IFERROR(__xludf.DUMMYFUNCTION("""COMPUTED_VALUE"""),"姚禹安")</f>
        <v>姚禹安</v>
      </c>
      <c r="D2109" s="16" t="str">
        <f>IFERROR(__xludf.DUMMYFUNCTION("""COMPUTED_VALUE"""),"chc*****7@mail.edu.tw")</f>
        <v>chc*****7@mail.edu.tw</v>
      </c>
      <c r="E2109" s="17" t="str">
        <f>IFERROR(__xludf.DUMMYFUNCTION("""COMPUTED_VALUE"""),"彰化縣立伸港國民中學")</f>
        <v>彰化縣立伸港國民中學</v>
      </c>
      <c r="F2109" s="14" t="str">
        <f>IFERROR(__xludf.DUMMYFUNCTION("""COMPUTED_VALUE"""),"九年級")</f>
        <v>九年級</v>
      </c>
      <c r="G2109" s="14" t="str">
        <f>IFERROR(__xludf.DUMMYFUNCTION("""COMPUTED_VALUE"""),"●小禮物")</f>
        <v>●小禮物</v>
      </c>
      <c r="H2109" s="8"/>
    </row>
    <row r="2110">
      <c r="A2110" s="18"/>
      <c r="B2110" s="14">
        <f>IFERROR(__xludf.DUMMYFUNCTION("""COMPUTED_VALUE"""),1053928.0)</f>
        <v>1053928</v>
      </c>
      <c r="C2110" s="14" t="str">
        <f>IFERROR(__xludf.DUMMYFUNCTION("""COMPUTED_VALUE"""),"張程凱")</f>
        <v>張程凱</v>
      </c>
      <c r="D2110" s="16" t="str">
        <f>IFERROR(__xludf.DUMMYFUNCTION("""COMPUTED_VALUE"""),"ton*****@mail.edu.tw")</f>
        <v>ton*****@mail.edu.tw</v>
      </c>
      <c r="E2110" s="17" t="str">
        <f>IFERROR(__xludf.DUMMYFUNCTION("""COMPUTED_VALUE"""),"彰化縣立伸港國民中學")</f>
        <v>彰化縣立伸港國民中學</v>
      </c>
      <c r="F2110" s="14" t="str">
        <f>IFERROR(__xludf.DUMMYFUNCTION("""COMPUTED_VALUE"""),"九年級")</f>
        <v>九年級</v>
      </c>
      <c r="G2110" s="14" t="str">
        <f>IFERROR(__xludf.DUMMYFUNCTION("""COMPUTED_VALUE"""),"●小禮物")</f>
        <v>●小禮物</v>
      </c>
      <c r="H2110" s="8"/>
    </row>
    <row r="2111">
      <c r="A2111" s="18"/>
      <c r="B2111" s="14">
        <f>IFERROR(__xludf.DUMMYFUNCTION("""COMPUTED_VALUE"""),861182.0)</f>
        <v>861182</v>
      </c>
      <c r="C2111" s="14" t="str">
        <f>IFERROR(__xludf.DUMMYFUNCTION("""COMPUTED_VALUE"""),"徐子晴")</f>
        <v>徐子晴</v>
      </c>
      <c r="D2111" s="16" t="str">
        <f>IFERROR(__xludf.DUMMYFUNCTION("""COMPUTED_VALUE"""),"stu*****mail.edu.tw")</f>
        <v>stu*****mail.edu.tw</v>
      </c>
      <c r="E2111" s="17" t="str">
        <f>IFERROR(__xludf.DUMMYFUNCTION("""COMPUTED_VALUE"""),"彰化縣立伸港國民中學")</f>
        <v>彰化縣立伸港國民中學</v>
      </c>
      <c r="F2111" s="14" t="str">
        <f>IFERROR(__xludf.DUMMYFUNCTION("""COMPUTED_VALUE"""),"九年級")</f>
        <v>九年級</v>
      </c>
      <c r="G2111" s="14" t="str">
        <f>IFERROR(__xludf.DUMMYFUNCTION("""COMPUTED_VALUE"""),"★禮券$200")</f>
        <v>★禮券$200</v>
      </c>
      <c r="H2111" s="8"/>
    </row>
    <row r="2112">
      <c r="A2112" s="18"/>
      <c r="B2112" s="14">
        <f>IFERROR(__xludf.DUMMYFUNCTION("""COMPUTED_VALUE"""),1053923.0)</f>
        <v>1053923</v>
      </c>
      <c r="C2112" s="14" t="str">
        <f>IFERROR(__xludf.DUMMYFUNCTION("""COMPUTED_VALUE"""),"洪以樂")</f>
        <v>洪以樂</v>
      </c>
      <c r="D2112" s="16" t="str">
        <f>IFERROR(__xludf.DUMMYFUNCTION("""COMPUTED_VALUE"""),"tui*****ail.edu.tw")</f>
        <v>tui*****ail.edu.tw</v>
      </c>
      <c r="E2112" s="17" t="str">
        <f>IFERROR(__xludf.DUMMYFUNCTION("""COMPUTED_VALUE"""),"彰化縣立伸港國民中學")</f>
        <v>彰化縣立伸港國民中學</v>
      </c>
      <c r="F2112" s="14" t="str">
        <f>IFERROR(__xludf.DUMMYFUNCTION("""COMPUTED_VALUE"""),"九年級")</f>
        <v>九年級</v>
      </c>
      <c r="G2112" s="14" t="str">
        <f>IFERROR(__xludf.DUMMYFUNCTION("""COMPUTED_VALUE"""),"★禮券$500")</f>
        <v>★禮券$500</v>
      </c>
      <c r="H2112" s="8"/>
    </row>
    <row r="2113">
      <c r="A2113" s="18"/>
      <c r="B2113" s="14">
        <f>IFERROR(__xludf.DUMMYFUNCTION("""COMPUTED_VALUE"""),357278.0)</f>
        <v>357278</v>
      </c>
      <c r="C2113" s="14" t="str">
        <f>IFERROR(__xludf.DUMMYFUNCTION("""COMPUTED_VALUE"""),"王柔辰")</f>
        <v>王柔辰</v>
      </c>
      <c r="D2113" s="16" t="str">
        <f>IFERROR(__xludf.DUMMYFUNCTION("""COMPUTED_VALUE"""),"sgp*****2@mail.edu.tw")</f>
        <v>sgp*****2@mail.edu.tw</v>
      </c>
      <c r="E2113" s="17" t="str">
        <f>IFERROR(__xludf.DUMMYFUNCTION("""COMPUTED_VALUE"""),"彰化縣立伸港國民中學")</f>
        <v>彰化縣立伸港國民中學</v>
      </c>
      <c r="F2113" s="14" t="str">
        <f>IFERROR(__xludf.DUMMYFUNCTION("""COMPUTED_VALUE"""),"九年級")</f>
        <v>九年級</v>
      </c>
      <c r="G2113" s="14" t="str">
        <f>IFERROR(__xludf.DUMMYFUNCTION("""COMPUTED_VALUE"""),"獎狀")</f>
        <v>獎狀</v>
      </c>
      <c r="H2113" s="8"/>
    </row>
    <row r="2114">
      <c r="A2114" s="18"/>
      <c r="B2114" s="14">
        <f>IFERROR(__xludf.DUMMYFUNCTION("""COMPUTED_VALUE"""),347031.0)</f>
        <v>347031</v>
      </c>
      <c r="C2114" s="14" t="str">
        <f>IFERROR(__xludf.DUMMYFUNCTION("""COMPUTED_VALUE"""),"周昀瑢")</f>
        <v>周昀瑢</v>
      </c>
      <c r="D2114" s="16" t="str">
        <f>IFERROR(__xludf.DUMMYFUNCTION("""COMPUTED_VALUE"""),"sgp*****6@mail.edu.tw")</f>
        <v>sgp*****6@mail.edu.tw</v>
      </c>
      <c r="E2114" s="17" t="str">
        <f>IFERROR(__xludf.DUMMYFUNCTION("""COMPUTED_VALUE"""),"彰化縣立伸港國民中學")</f>
        <v>彰化縣立伸港國民中學</v>
      </c>
      <c r="F2114" s="14" t="str">
        <f>IFERROR(__xludf.DUMMYFUNCTION("""COMPUTED_VALUE"""),"九年級")</f>
        <v>九年級</v>
      </c>
      <c r="G2114" s="14" t="str">
        <f>IFERROR(__xludf.DUMMYFUNCTION("""COMPUTED_VALUE"""),"獎狀")</f>
        <v>獎狀</v>
      </c>
      <c r="H2114" s="8"/>
    </row>
    <row r="2115">
      <c r="A2115" s="18"/>
      <c r="B2115" s="14">
        <f>IFERROR(__xludf.DUMMYFUNCTION("""COMPUTED_VALUE"""),1053986.0)</f>
        <v>1053986</v>
      </c>
      <c r="C2115" s="14" t="str">
        <f>IFERROR(__xludf.DUMMYFUNCTION("""COMPUTED_VALUE"""),"姚育嘉")</f>
        <v>姚育嘉</v>
      </c>
      <c r="D2115" s="16" t="str">
        <f>IFERROR(__xludf.DUMMYFUNCTION("""COMPUTED_VALUE"""),"aaa*****mail.edu.tw")</f>
        <v>aaa*****mail.edu.tw</v>
      </c>
      <c r="E2115" s="17" t="str">
        <f>IFERROR(__xludf.DUMMYFUNCTION("""COMPUTED_VALUE"""),"彰化縣立伸港國民中學")</f>
        <v>彰化縣立伸港國民中學</v>
      </c>
      <c r="F2115" s="14" t="str">
        <f>IFERROR(__xludf.DUMMYFUNCTION("""COMPUTED_VALUE"""),"九年級")</f>
        <v>九年級</v>
      </c>
      <c r="G2115" s="14" t="str">
        <f>IFERROR(__xludf.DUMMYFUNCTION("""COMPUTED_VALUE"""),"獎狀")</f>
        <v>獎狀</v>
      </c>
      <c r="H2115" s="8"/>
    </row>
    <row r="2116">
      <c r="A2116" s="18"/>
      <c r="B2116" s="14">
        <f>IFERROR(__xludf.DUMMYFUNCTION("""COMPUTED_VALUE"""),869815.0)</f>
        <v>869815</v>
      </c>
      <c r="C2116" s="14" t="str">
        <f>IFERROR(__xludf.DUMMYFUNCTION("""COMPUTED_VALUE"""),"張展瑋")</f>
        <v>張展瑋</v>
      </c>
      <c r="D2116" s="16" t="str">
        <f>IFERROR(__xludf.DUMMYFUNCTION("""COMPUTED_VALUE"""),"stu*****mail.edu.tw")</f>
        <v>stu*****mail.edu.tw</v>
      </c>
      <c r="E2116" s="17" t="str">
        <f>IFERROR(__xludf.DUMMYFUNCTION("""COMPUTED_VALUE"""),"彰化縣立伸港國民中學")</f>
        <v>彰化縣立伸港國民中學</v>
      </c>
      <c r="F2116" s="14" t="str">
        <f>IFERROR(__xludf.DUMMYFUNCTION("""COMPUTED_VALUE"""),"九年級")</f>
        <v>九年級</v>
      </c>
      <c r="G2116" s="14" t="str">
        <f>IFERROR(__xludf.DUMMYFUNCTION("""COMPUTED_VALUE"""),"獎狀")</f>
        <v>獎狀</v>
      </c>
      <c r="H2116" s="8"/>
    </row>
    <row r="2117">
      <c r="A2117" s="18"/>
      <c r="B2117" s="14">
        <f>IFERROR(__xludf.DUMMYFUNCTION("""COMPUTED_VALUE"""),334550.0)</f>
        <v>334550</v>
      </c>
      <c r="C2117" s="14" t="str">
        <f>IFERROR(__xludf.DUMMYFUNCTION("""COMPUTED_VALUE"""),"曾鈺媃")</f>
        <v>曾鈺媃</v>
      </c>
      <c r="D2117" s="16" t="str">
        <f>IFERROR(__xludf.DUMMYFUNCTION("""COMPUTED_VALUE"""),"sre*****5@mail.edu.tw")</f>
        <v>sre*****5@mail.edu.tw</v>
      </c>
      <c r="E2117" s="17" t="str">
        <f>IFERROR(__xludf.DUMMYFUNCTION("""COMPUTED_VALUE"""),"彰化縣立伸港國民中學")</f>
        <v>彰化縣立伸港國民中學</v>
      </c>
      <c r="F2117" s="14" t="str">
        <f>IFERROR(__xludf.DUMMYFUNCTION("""COMPUTED_VALUE"""),"九年級")</f>
        <v>九年級</v>
      </c>
      <c r="G2117" s="14" t="str">
        <f>IFERROR(__xludf.DUMMYFUNCTION("""COMPUTED_VALUE"""),"獎狀")</f>
        <v>獎狀</v>
      </c>
      <c r="H2117" s="8"/>
    </row>
    <row r="2118">
      <c r="A2118" s="18"/>
      <c r="B2118" s="14">
        <f>IFERROR(__xludf.DUMMYFUNCTION("""COMPUTED_VALUE"""),869817.0)</f>
        <v>869817</v>
      </c>
      <c r="C2118" s="14" t="str">
        <f>IFERROR(__xludf.DUMMYFUNCTION("""COMPUTED_VALUE"""),"黃彬鑫")</f>
        <v>黃彬鑫</v>
      </c>
      <c r="D2118" s="16" t="str">
        <f>IFERROR(__xludf.DUMMYFUNCTION("""COMPUTED_VALUE"""),"stu*****mail.edu.tw")</f>
        <v>stu*****mail.edu.tw</v>
      </c>
      <c r="E2118" s="17" t="str">
        <f>IFERROR(__xludf.DUMMYFUNCTION("""COMPUTED_VALUE"""),"彰化縣立伸港國民中學")</f>
        <v>彰化縣立伸港國民中學</v>
      </c>
      <c r="F2118" s="14" t="str">
        <f>IFERROR(__xludf.DUMMYFUNCTION("""COMPUTED_VALUE"""),"九年級")</f>
        <v>九年級</v>
      </c>
      <c r="G2118" s="14" t="str">
        <f>IFERROR(__xludf.DUMMYFUNCTION("""COMPUTED_VALUE"""),"獎狀")</f>
        <v>獎狀</v>
      </c>
      <c r="H2118" s="8"/>
    </row>
    <row r="2119">
      <c r="A2119" s="18"/>
      <c r="B2119" s="14">
        <f>IFERROR(__xludf.DUMMYFUNCTION("""COMPUTED_VALUE"""),345707.0)</f>
        <v>345707</v>
      </c>
      <c r="C2119" s="14" t="str">
        <f>IFERROR(__xludf.DUMMYFUNCTION("""COMPUTED_VALUE"""),"黃淇竣")</f>
        <v>黃淇竣</v>
      </c>
      <c r="D2119" s="16" t="str">
        <f>IFERROR(__xludf.DUMMYFUNCTION("""COMPUTED_VALUE"""),"sgp*****7@mail.edu.tw")</f>
        <v>sgp*****7@mail.edu.tw</v>
      </c>
      <c r="E2119" s="17" t="str">
        <f>IFERROR(__xludf.DUMMYFUNCTION("""COMPUTED_VALUE"""),"彰化縣立伸港國民中學")</f>
        <v>彰化縣立伸港國民中學</v>
      </c>
      <c r="F2119" s="14" t="str">
        <f>IFERROR(__xludf.DUMMYFUNCTION("""COMPUTED_VALUE"""),"九年級")</f>
        <v>九年級</v>
      </c>
      <c r="G2119" s="14" t="str">
        <f>IFERROR(__xludf.DUMMYFUNCTION("""COMPUTED_VALUE"""),"獎狀")</f>
        <v>獎狀</v>
      </c>
      <c r="H2119" s="8"/>
    </row>
    <row r="2120">
      <c r="A2120" s="18"/>
      <c r="B2120" s="14">
        <f>IFERROR(__xludf.DUMMYFUNCTION("""COMPUTED_VALUE"""),348451.0)</f>
        <v>348451</v>
      </c>
      <c r="C2120" s="14" t="str">
        <f>IFERROR(__xludf.DUMMYFUNCTION("""COMPUTED_VALUE"""),"楊宏翔")</f>
        <v>楊宏翔</v>
      </c>
      <c r="D2120" s="16" t="str">
        <f>IFERROR(__xludf.DUMMYFUNCTION("""COMPUTED_VALUE"""),"sre*****0@mail.edu.tw")</f>
        <v>sre*****0@mail.edu.tw</v>
      </c>
      <c r="E2120" s="17" t="str">
        <f>IFERROR(__xludf.DUMMYFUNCTION("""COMPUTED_VALUE"""),"彰化縣立伸港國民中學")</f>
        <v>彰化縣立伸港國民中學</v>
      </c>
      <c r="F2120" s="14" t="str">
        <f>IFERROR(__xludf.DUMMYFUNCTION("""COMPUTED_VALUE"""),"九年級")</f>
        <v>九年級</v>
      </c>
      <c r="G2120" s="14" t="str">
        <f>IFERROR(__xludf.DUMMYFUNCTION("""COMPUTED_VALUE"""),"獎狀")</f>
        <v>獎狀</v>
      </c>
      <c r="H2120" s="8"/>
    </row>
    <row r="2121">
      <c r="A2121" s="18"/>
      <c r="B2121" s="14">
        <f>IFERROR(__xludf.DUMMYFUNCTION("""COMPUTED_VALUE"""),1053931.0)</f>
        <v>1053931</v>
      </c>
      <c r="C2121" s="14" t="str">
        <f>IFERROR(__xludf.DUMMYFUNCTION("""COMPUTED_VALUE"""),"楊昀蓁")</f>
        <v>楊昀蓁</v>
      </c>
      <c r="D2121" s="16" t="str">
        <f>IFERROR(__xludf.DUMMYFUNCTION("""COMPUTED_VALUE"""),"chc*****5@mail.edu.tw")</f>
        <v>chc*****5@mail.edu.tw</v>
      </c>
      <c r="E2121" s="17" t="str">
        <f>IFERROR(__xludf.DUMMYFUNCTION("""COMPUTED_VALUE"""),"彰化縣立伸港國民中學")</f>
        <v>彰化縣立伸港國民中學</v>
      </c>
      <c r="F2121" s="14" t="str">
        <f>IFERROR(__xludf.DUMMYFUNCTION("""COMPUTED_VALUE"""),"九年級")</f>
        <v>九年級</v>
      </c>
      <c r="G2121" s="14" t="str">
        <f>IFERROR(__xludf.DUMMYFUNCTION("""COMPUTED_VALUE"""),"獎狀")</f>
        <v>獎狀</v>
      </c>
      <c r="H2121" s="8"/>
    </row>
    <row r="2122">
      <c r="A2122" s="18"/>
      <c r="B2122" s="14">
        <f>IFERROR(__xludf.DUMMYFUNCTION("""COMPUTED_VALUE"""),861180.0)</f>
        <v>861180</v>
      </c>
      <c r="C2122" s="14" t="str">
        <f>IFERROR(__xludf.DUMMYFUNCTION("""COMPUTED_VALUE"""),"蔡宇豪")</f>
        <v>蔡宇豪</v>
      </c>
      <c r="D2122" s="16" t="str">
        <f>IFERROR(__xludf.DUMMYFUNCTION("""COMPUTED_VALUE"""),"stu*****mail.edu.tw")</f>
        <v>stu*****mail.edu.tw</v>
      </c>
      <c r="E2122" s="17" t="str">
        <f>IFERROR(__xludf.DUMMYFUNCTION("""COMPUTED_VALUE"""),"彰化縣立伸港國民中學")</f>
        <v>彰化縣立伸港國民中學</v>
      </c>
      <c r="F2122" s="14" t="str">
        <f>IFERROR(__xludf.DUMMYFUNCTION("""COMPUTED_VALUE"""),"九年級")</f>
        <v>九年級</v>
      </c>
      <c r="G2122" s="14" t="str">
        <f>IFERROR(__xludf.DUMMYFUNCTION("""COMPUTED_VALUE"""),"獎狀")</f>
        <v>獎狀</v>
      </c>
      <c r="H2122" s="8"/>
    </row>
    <row r="2123">
      <c r="A2123" s="18"/>
      <c r="B2123" s="14">
        <f>IFERROR(__xludf.DUMMYFUNCTION("""COMPUTED_VALUE"""),1056071.0)</f>
        <v>1056071</v>
      </c>
      <c r="C2123" s="14" t="str">
        <f>IFERROR(__xludf.DUMMYFUNCTION("""COMPUTED_VALUE"""),"謝文川")</f>
        <v>謝文川</v>
      </c>
      <c r="D2123" s="16" t="str">
        <f>IFERROR(__xludf.DUMMYFUNCTION("""COMPUTED_VALUE"""),"chc*****8@mail.edu.tw")</f>
        <v>chc*****8@mail.edu.tw</v>
      </c>
      <c r="E2123" s="17" t="str">
        <f>IFERROR(__xludf.DUMMYFUNCTION("""COMPUTED_VALUE"""),"彰化縣立伸港國民中學")</f>
        <v>彰化縣立伸港國民中學</v>
      </c>
      <c r="F2123" s="14" t="str">
        <f>IFERROR(__xludf.DUMMYFUNCTION("""COMPUTED_VALUE"""),"九年級")</f>
        <v>九年級</v>
      </c>
      <c r="G2123" s="14" t="str">
        <f>IFERROR(__xludf.DUMMYFUNCTION("""COMPUTED_VALUE"""),"獎狀")</f>
        <v>獎狀</v>
      </c>
      <c r="H2123" s="8"/>
    </row>
    <row r="2124">
      <c r="A2124" s="18"/>
      <c r="B2124" s="14">
        <f>IFERROR(__xludf.DUMMYFUNCTION("""COMPUTED_VALUE"""),861189.0)</f>
        <v>861189</v>
      </c>
      <c r="C2124" s="14" t="str">
        <f>IFERROR(__xludf.DUMMYFUNCTION("""COMPUTED_VALUE"""),"張詠涵")</f>
        <v>張詠涵</v>
      </c>
      <c r="D2124" s="16" t="str">
        <f>IFERROR(__xludf.DUMMYFUNCTION("""COMPUTED_VALUE"""),"fiv*****@mail.edu.tw")</f>
        <v>fiv*****@mail.edu.tw</v>
      </c>
      <c r="E2124" s="17" t="str">
        <f>IFERROR(__xludf.DUMMYFUNCTION("""COMPUTED_VALUE"""),"彰化縣立伸港國民中學")</f>
        <v>彰化縣立伸港國民中學</v>
      </c>
      <c r="F2124" s="14" t="str">
        <f>IFERROR(__xludf.DUMMYFUNCTION("""COMPUTED_VALUE"""),"九年級")</f>
        <v>九年級</v>
      </c>
      <c r="G2124" s="14" t="str">
        <f>IFERROR(__xludf.DUMMYFUNCTION("""COMPUTED_VALUE"""),"獎狀")</f>
        <v>獎狀</v>
      </c>
      <c r="H2124" s="8"/>
    </row>
    <row r="2125">
      <c r="A2125" s="18"/>
      <c r="B2125" s="14">
        <f>IFERROR(__xludf.DUMMYFUNCTION("""COMPUTED_VALUE"""),887035.0)</f>
        <v>887035</v>
      </c>
      <c r="C2125" s="14" t="str">
        <f>IFERROR(__xludf.DUMMYFUNCTION("""COMPUTED_VALUE"""),"黃威達")</f>
        <v>黃威達</v>
      </c>
      <c r="D2125" s="16" t="str">
        <f>IFERROR(__xludf.DUMMYFUNCTION("""COMPUTED_VALUE"""),"stu*****mail.edu.tw")</f>
        <v>stu*****mail.edu.tw</v>
      </c>
      <c r="E2125" s="17" t="str">
        <f>IFERROR(__xludf.DUMMYFUNCTION("""COMPUTED_VALUE"""),"彰化縣立伸港國民中學")</f>
        <v>彰化縣立伸港國民中學</v>
      </c>
      <c r="F2125" s="14" t="str">
        <f>IFERROR(__xludf.DUMMYFUNCTION("""COMPUTED_VALUE"""),"九年級")</f>
        <v>九年級</v>
      </c>
      <c r="G2125" s="14" t="str">
        <f>IFERROR(__xludf.DUMMYFUNCTION("""COMPUTED_VALUE"""),"獎狀")</f>
        <v>獎狀</v>
      </c>
      <c r="H2125" s="8"/>
    </row>
    <row r="2126">
      <c r="A2126" s="18"/>
      <c r="B2126" s="14">
        <f>IFERROR(__xludf.DUMMYFUNCTION("""COMPUTED_VALUE"""),81520.0)</f>
        <v>81520</v>
      </c>
      <c r="C2126" s="14" t="str">
        <f>IFERROR(__xludf.DUMMYFUNCTION("""COMPUTED_VALUE"""),"黃嬿竹")</f>
        <v>黃嬿竹</v>
      </c>
      <c r="D2126" s="16" t="str">
        <f>IFERROR(__xludf.DUMMYFUNCTION("""COMPUTED_VALUE"""),"sgp*****54@mail.edu.tw")</f>
        <v>sgp*****54@mail.edu.tw</v>
      </c>
      <c r="E2126" s="17" t="str">
        <f>IFERROR(__xludf.DUMMYFUNCTION("""COMPUTED_VALUE"""),"彰化縣立伸港國民中學")</f>
        <v>彰化縣立伸港國民中學</v>
      </c>
      <c r="F2126" s="14" t="str">
        <f>IFERROR(__xludf.DUMMYFUNCTION("""COMPUTED_VALUE"""),"九年級")</f>
        <v>九年級</v>
      </c>
      <c r="G2126" s="14" t="str">
        <f>IFERROR(__xludf.DUMMYFUNCTION("""COMPUTED_VALUE"""),"獎狀")</f>
        <v>獎狀</v>
      </c>
      <c r="H2126" s="8"/>
    </row>
    <row r="2127">
      <c r="A2127" s="18"/>
      <c r="B2127" s="14">
        <f>IFERROR(__xludf.DUMMYFUNCTION("""COMPUTED_VALUE"""),402665.0)</f>
        <v>402665</v>
      </c>
      <c r="C2127" s="14" t="str">
        <f>IFERROR(__xludf.DUMMYFUNCTION("""COMPUTED_VALUE"""),"謝紫瑤")</f>
        <v>謝紫瑤</v>
      </c>
      <c r="D2127" s="16" t="str">
        <f>IFERROR(__xludf.DUMMYFUNCTION("""COMPUTED_VALUE"""),"stu*****mail.edu.tw")</f>
        <v>stu*****mail.edu.tw</v>
      </c>
      <c r="E2127" s="17" t="str">
        <f>IFERROR(__xludf.DUMMYFUNCTION("""COMPUTED_VALUE"""),"彰化縣立伸港國民中學")</f>
        <v>彰化縣立伸港國民中學</v>
      </c>
      <c r="F2127" s="14" t="str">
        <f>IFERROR(__xludf.DUMMYFUNCTION("""COMPUTED_VALUE"""),"九年級")</f>
        <v>九年級</v>
      </c>
      <c r="G2127" s="14" t="str">
        <f>IFERROR(__xludf.DUMMYFUNCTION("""COMPUTED_VALUE"""),"獎狀")</f>
        <v>獎狀</v>
      </c>
      <c r="H2127" s="8"/>
    </row>
    <row r="2128">
      <c r="A2128" s="18"/>
      <c r="B2128" s="14">
        <f>IFERROR(__xludf.DUMMYFUNCTION("""COMPUTED_VALUE"""),1199615.0)</f>
        <v>1199615</v>
      </c>
      <c r="C2128" s="14" t="str">
        <f>IFERROR(__xludf.DUMMYFUNCTION("""COMPUTED_VALUE"""),"李佩芩")</f>
        <v>李佩芩</v>
      </c>
      <c r="D2128" s="16" t="str">
        <f>IFERROR(__xludf.DUMMYFUNCTION("""COMPUTED_VALUE"""),"stu*****mail.edu.tw")</f>
        <v>stu*****mail.edu.tw</v>
      </c>
      <c r="E2128" s="17" t="str">
        <f>IFERROR(__xludf.DUMMYFUNCTION("""COMPUTED_VALUE"""),"彰化縣立伸港國民中學")</f>
        <v>彰化縣立伸港國民中學</v>
      </c>
      <c r="F2128" s="14" t="str">
        <f>IFERROR(__xludf.DUMMYFUNCTION("""COMPUTED_VALUE"""),"九年級")</f>
        <v>九年級</v>
      </c>
      <c r="G2128" s="14" t="str">
        <f>IFERROR(__xludf.DUMMYFUNCTION("""COMPUTED_VALUE"""),"獎狀")</f>
        <v>獎狀</v>
      </c>
      <c r="H2128" s="8"/>
    </row>
    <row r="2129">
      <c r="A2129" s="18"/>
      <c r="B2129" s="14">
        <f>IFERROR(__xludf.DUMMYFUNCTION("""COMPUTED_VALUE"""),81518.0)</f>
        <v>81518</v>
      </c>
      <c r="C2129" s="14" t="str">
        <f>IFERROR(__xludf.DUMMYFUNCTION("""COMPUTED_VALUE"""),"林宜嫻")</f>
        <v>林宜嫻</v>
      </c>
      <c r="D2129" s="16" t="str">
        <f>IFERROR(__xludf.DUMMYFUNCTION("""COMPUTED_VALUE"""),"sgp*****14@mail.edu.tw")</f>
        <v>sgp*****14@mail.edu.tw</v>
      </c>
      <c r="E2129" s="17" t="str">
        <f>IFERROR(__xludf.DUMMYFUNCTION("""COMPUTED_VALUE"""),"彰化縣立伸港國民中學")</f>
        <v>彰化縣立伸港國民中學</v>
      </c>
      <c r="F2129" s="14" t="str">
        <f>IFERROR(__xludf.DUMMYFUNCTION("""COMPUTED_VALUE"""),"九年級")</f>
        <v>九年級</v>
      </c>
      <c r="G2129" s="14" t="str">
        <f>IFERROR(__xludf.DUMMYFUNCTION("""COMPUTED_VALUE"""),"獎狀")</f>
        <v>獎狀</v>
      </c>
      <c r="H2129" s="8"/>
    </row>
    <row r="2130">
      <c r="A2130" s="18"/>
      <c r="B2130" s="14">
        <f>IFERROR(__xludf.DUMMYFUNCTION("""COMPUTED_VALUE"""),869812.0)</f>
        <v>869812</v>
      </c>
      <c r="C2130" s="14" t="str">
        <f>IFERROR(__xludf.DUMMYFUNCTION("""COMPUTED_VALUE"""),"陳宥羽")</f>
        <v>陳宥羽</v>
      </c>
      <c r="D2130" s="16" t="str">
        <f>IFERROR(__xludf.DUMMYFUNCTION("""COMPUTED_VALUE"""),"yoy*****4@mail.edu.tw")</f>
        <v>yoy*****4@mail.edu.tw</v>
      </c>
      <c r="E2130" s="17" t="str">
        <f>IFERROR(__xludf.DUMMYFUNCTION("""COMPUTED_VALUE"""),"彰化縣立伸港國民中學")</f>
        <v>彰化縣立伸港國民中學</v>
      </c>
      <c r="F2130" s="14" t="str">
        <f>IFERROR(__xludf.DUMMYFUNCTION("""COMPUTED_VALUE"""),"九年級")</f>
        <v>九年級</v>
      </c>
      <c r="G2130" s="14" t="str">
        <f>IFERROR(__xludf.DUMMYFUNCTION("""COMPUTED_VALUE"""),"●小禮物")</f>
        <v>●小禮物</v>
      </c>
      <c r="H2130" s="8"/>
    </row>
    <row r="2131">
      <c r="A2131" s="18"/>
      <c r="B2131" s="14">
        <f>IFERROR(__xludf.DUMMYFUNCTION("""COMPUTED_VALUE"""),861184.0)</f>
        <v>861184</v>
      </c>
      <c r="C2131" s="14" t="str">
        <f>IFERROR(__xludf.DUMMYFUNCTION("""COMPUTED_VALUE"""),"柯又甄")</f>
        <v>柯又甄</v>
      </c>
      <c r="D2131" s="16" t="str">
        <f>IFERROR(__xludf.DUMMYFUNCTION("""COMPUTED_VALUE"""),"you*****901@mail.edu.tw")</f>
        <v>you*****901@mail.edu.tw</v>
      </c>
      <c r="E2131" s="17" t="str">
        <f>IFERROR(__xludf.DUMMYFUNCTION("""COMPUTED_VALUE"""),"彰化縣立伸港國民中學")</f>
        <v>彰化縣立伸港國民中學</v>
      </c>
      <c r="F2131" s="14" t="str">
        <f>IFERROR(__xludf.DUMMYFUNCTION("""COMPUTED_VALUE"""),"九年級")</f>
        <v>九年級</v>
      </c>
      <c r="G2131" s="14" t="str">
        <f>IFERROR(__xludf.DUMMYFUNCTION("""COMPUTED_VALUE"""),"獎狀")</f>
        <v>獎狀</v>
      </c>
      <c r="H2131" s="8"/>
    </row>
    <row r="2132">
      <c r="A2132" s="18"/>
      <c r="B2132" s="14">
        <f>IFERROR(__xludf.DUMMYFUNCTION("""COMPUTED_VALUE"""),869814.0)</f>
        <v>869814</v>
      </c>
      <c r="C2132" s="14" t="str">
        <f>IFERROR(__xludf.DUMMYFUNCTION("""COMPUTED_VALUE"""),"柯瑞倫")</f>
        <v>柯瑞倫</v>
      </c>
      <c r="D2132" s="16" t="str">
        <f>IFERROR(__xludf.DUMMYFUNCTION("""COMPUTED_VALUE"""),"stu*****mail.edu.tw")</f>
        <v>stu*****mail.edu.tw</v>
      </c>
      <c r="E2132" s="17" t="str">
        <f>IFERROR(__xludf.DUMMYFUNCTION("""COMPUTED_VALUE"""),"彰化縣立伸港國民中學")</f>
        <v>彰化縣立伸港國民中學</v>
      </c>
      <c r="F2132" s="14" t="str">
        <f>IFERROR(__xludf.DUMMYFUNCTION("""COMPUTED_VALUE"""),"九年級")</f>
        <v>九年級</v>
      </c>
      <c r="G2132" s="14" t="str">
        <f>IFERROR(__xludf.DUMMYFUNCTION("""COMPUTED_VALUE"""),"●小禮物")</f>
        <v>●小禮物</v>
      </c>
      <c r="H2132" s="8"/>
    </row>
    <row r="2133">
      <c r="A2133" s="18"/>
      <c r="B2133" s="14">
        <f>IFERROR(__xludf.DUMMYFUNCTION("""COMPUTED_VALUE"""),1203782.0)</f>
        <v>1203782</v>
      </c>
      <c r="C2133" s="14" t="str">
        <f>IFERROR(__xludf.DUMMYFUNCTION("""COMPUTED_VALUE"""),"黃俞瑋")</f>
        <v>黃俞瑋</v>
      </c>
      <c r="D2133" s="16" t="str">
        <f>IFERROR(__xludf.DUMMYFUNCTION("""COMPUTED_VALUE"""),"stu*****mail.edu.tw")</f>
        <v>stu*****mail.edu.tw</v>
      </c>
      <c r="E2133" s="17" t="str">
        <f>IFERROR(__xludf.DUMMYFUNCTION("""COMPUTED_VALUE"""),"彰化縣立伸港國民中學")</f>
        <v>彰化縣立伸港國民中學</v>
      </c>
      <c r="F2133" s="14" t="str">
        <f>IFERROR(__xludf.DUMMYFUNCTION("""COMPUTED_VALUE"""),"九年級")</f>
        <v>九年級</v>
      </c>
      <c r="G2133" s="14" t="str">
        <f>IFERROR(__xludf.DUMMYFUNCTION("""COMPUTED_VALUE"""),"●小禮物")</f>
        <v>●小禮物</v>
      </c>
      <c r="H2133" s="8"/>
    </row>
    <row r="2134">
      <c r="A2134" s="18"/>
      <c r="B2134" s="14">
        <f>IFERROR(__xludf.DUMMYFUNCTION("""COMPUTED_VALUE"""),331342.0)</f>
        <v>331342</v>
      </c>
      <c r="C2134" s="14" t="str">
        <f>IFERROR(__xludf.DUMMYFUNCTION("""COMPUTED_VALUE"""),"周郡妤")</f>
        <v>周郡妤</v>
      </c>
      <c r="D2134" s="16" t="str">
        <f>IFERROR(__xludf.DUMMYFUNCTION("""COMPUTED_VALUE"""),"sgp*****17@mail.edu.tw")</f>
        <v>sgp*****17@mail.edu.tw</v>
      </c>
      <c r="E2134" s="17" t="str">
        <f>IFERROR(__xludf.DUMMYFUNCTION("""COMPUTED_VALUE"""),"彰化縣立伸港國民中學")</f>
        <v>彰化縣立伸港國民中學</v>
      </c>
      <c r="F2134" s="14" t="str">
        <f>IFERROR(__xludf.DUMMYFUNCTION("""COMPUTED_VALUE"""),"九年級")</f>
        <v>九年級</v>
      </c>
      <c r="G2134" s="14" t="str">
        <f>IFERROR(__xludf.DUMMYFUNCTION("""COMPUTED_VALUE"""),"獎狀")</f>
        <v>獎狀</v>
      </c>
      <c r="H2134" s="8"/>
    </row>
    <row r="2135">
      <c r="A2135" s="18"/>
      <c r="B2135" s="14">
        <f>IFERROR(__xludf.DUMMYFUNCTION("""COMPUTED_VALUE"""),350578.0)</f>
        <v>350578</v>
      </c>
      <c r="C2135" s="14" t="str">
        <f>IFERROR(__xludf.DUMMYFUNCTION("""COMPUTED_VALUE"""),"邱浩珉")</f>
        <v>邱浩珉</v>
      </c>
      <c r="D2135" s="16" t="str">
        <f>IFERROR(__xludf.DUMMYFUNCTION("""COMPUTED_VALUE"""),"sgp*****1@mail.edu.tw")</f>
        <v>sgp*****1@mail.edu.tw</v>
      </c>
      <c r="E2135" s="17" t="str">
        <f>IFERROR(__xludf.DUMMYFUNCTION("""COMPUTED_VALUE"""),"彰化縣立伸港國民中學")</f>
        <v>彰化縣立伸港國民中學</v>
      </c>
      <c r="F2135" s="14" t="str">
        <f>IFERROR(__xludf.DUMMYFUNCTION("""COMPUTED_VALUE"""),"九年級")</f>
        <v>九年級</v>
      </c>
      <c r="G2135" s="14" t="str">
        <f>IFERROR(__xludf.DUMMYFUNCTION("""COMPUTED_VALUE"""),"●小禮物")</f>
        <v>●小禮物</v>
      </c>
      <c r="H2135" s="8"/>
    </row>
    <row r="2136">
      <c r="A2136" s="18"/>
      <c r="B2136" s="14">
        <f>IFERROR(__xludf.DUMMYFUNCTION("""COMPUTED_VALUE"""),869806.0)</f>
        <v>869806</v>
      </c>
      <c r="C2136" s="14" t="str">
        <f>IFERROR(__xludf.DUMMYFUNCTION("""COMPUTED_VALUE"""),"許仁傑")</f>
        <v>許仁傑</v>
      </c>
      <c r="D2136" s="16" t="str">
        <f>IFERROR(__xludf.DUMMYFUNCTION("""COMPUTED_VALUE"""),"chc*****1@mail.edu.tw")</f>
        <v>chc*****1@mail.edu.tw</v>
      </c>
      <c r="E2136" s="17" t="str">
        <f>IFERROR(__xludf.DUMMYFUNCTION("""COMPUTED_VALUE"""),"彰化縣立伸港國民中學")</f>
        <v>彰化縣立伸港國民中學</v>
      </c>
      <c r="F2136" s="14" t="str">
        <f>IFERROR(__xludf.DUMMYFUNCTION("""COMPUTED_VALUE"""),"九年級")</f>
        <v>九年級</v>
      </c>
      <c r="G2136" s="14" t="str">
        <f>IFERROR(__xludf.DUMMYFUNCTION("""COMPUTED_VALUE"""),"●小禮物")</f>
        <v>●小禮物</v>
      </c>
      <c r="H2136" s="8"/>
    </row>
    <row r="2137">
      <c r="A2137" s="18"/>
      <c r="B2137" s="14">
        <f>IFERROR(__xludf.DUMMYFUNCTION("""COMPUTED_VALUE"""),909009.0)</f>
        <v>909009</v>
      </c>
      <c r="C2137" s="14" t="str">
        <f>IFERROR(__xludf.DUMMYFUNCTION("""COMPUTED_VALUE"""),"陳冠宇")</f>
        <v>陳冠宇</v>
      </c>
      <c r="D2137" s="16" t="str">
        <f>IFERROR(__xludf.DUMMYFUNCTION("""COMPUTED_VALUE"""),"din*****mail.edu.tw")</f>
        <v>din*****mail.edu.tw</v>
      </c>
      <c r="E2137" s="17" t="str">
        <f>IFERROR(__xludf.DUMMYFUNCTION("""COMPUTED_VALUE"""),"彰化縣立伸港國民中學")</f>
        <v>彰化縣立伸港國民中學</v>
      </c>
      <c r="F2137" s="14" t="str">
        <f>IFERROR(__xludf.DUMMYFUNCTION("""COMPUTED_VALUE"""),"九年級")</f>
        <v>九年級</v>
      </c>
      <c r="G2137" s="14" t="str">
        <f>IFERROR(__xludf.DUMMYFUNCTION("""COMPUTED_VALUE"""),"●小禮物")</f>
        <v>●小禮物</v>
      </c>
      <c r="H2137" s="8"/>
    </row>
    <row r="2138">
      <c r="A2138" s="18"/>
      <c r="B2138" s="14">
        <f>IFERROR(__xludf.DUMMYFUNCTION("""COMPUTED_VALUE"""),342030.0)</f>
        <v>342030</v>
      </c>
      <c r="C2138" s="14" t="str">
        <f>IFERROR(__xludf.DUMMYFUNCTION("""COMPUTED_VALUE"""),"林庭伃")</f>
        <v>林庭伃</v>
      </c>
      <c r="D2138" s="16" t="str">
        <f>IFERROR(__xludf.DUMMYFUNCTION("""COMPUTED_VALUE"""),"sgp*****4@mail.edu.tw")</f>
        <v>sgp*****4@mail.edu.tw</v>
      </c>
      <c r="E2138" s="17" t="str">
        <f>IFERROR(__xludf.DUMMYFUNCTION("""COMPUTED_VALUE"""),"彰化縣立伸港國民中學")</f>
        <v>彰化縣立伸港國民中學</v>
      </c>
      <c r="F2138" s="14" t="str">
        <f>IFERROR(__xludf.DUMMYFUNCTION("""COMPUTED_VALUE"""),"九年級")</f>
        <v>九年級</v>
      </c>
      <c r="G2138" s="14" t="str">
        <f>IFERROR(__xludf.DUMMYFUNCTION("""COMPUTED_VALUE"""),"獎狀")</f>
        <v>獎狀</v>
      </c>
      <c r="H2138" s="8"/>
    </row>
    <row r="2139">
      <c r="A2139" s="18"/>
      <c r="B2139" s="14">
        <f>IFERROR(__xludf.DUMMYFUNCTION("""COMPUTED_VALUE"""),909011.0)</f>
        <v>909011</v>
      </c>
      <c r="C2139" s="14" t="str">
        <f>IFERROR(__xludf.DUMMYFUNCTION("""COMPUTED_VALUE"""),"林嘉修")</f>
        <v>林嘉修</v>
      </c>
      <c r="D2139" s="16" t="str">
        <f>IFERROR(__xludf.DUMMYFUNCTION("""COMPUTED_VALUE"""),"xc1*****ail.edu.tw")</f>
        <v>xc1*****ail.edu.tw</v>
      </c>
      <c r="E2139" s="17" t="str">
        <f>IFERROR(__xludf.DUMMYFUNCTION("""COMPUTED_VALUE"""),"彰化縣立伸港國民中學")</f>
        <v>彰化縣立伸港國民中學</v>
      </c>
      <c r="F2139" s="14" t="str">
        <f>IFERROR(__xludf.DUMMYFUNCTION("""COMPUTED_VALUE"""),"九年級")</f>
        <v>九年級</v>
      </c>
      <c r="G2139" s="14" t="str">
        <f>IFERROR(__xludf.DUMMYFUNCTION("""COMPUTED_VALUE"""),"獎狀")</f>
        <v>獎狀</v>
      </c>
      <c r="H2139" s="8"/>
    </row>
    <row r="2140">
      <c r="A2140" s="18"/>
      <c r="B2140" s="14">
        <f>IFERROR(__xludf.DUMMYFUNCTION("""COMPUTED_VALUE"""),343732.0)</f>
        <v>343732</v>
      </c>
      <c r="C2140" s="14" t="str">
        <f>IFERROR(__xludf.DUMMYFUNCTION("""COMPUTED_VALUE"""),"陳宥豪")</f>
        <v>陳宥豪</v>
      </c>
      <c r="D2140" s="16" t="str">
        <f>IFERROR(__xludf.DUMMYFUNCTION("""COMPUTED_VALUE"""),"sgp*****3@mail.edu.tw")</f>
        <v>sgp*****3@mail.edu.tw</v>
      </c>
      <c r="E2140" s="17" t="str">
        <f>IFERROR(__xludf.DUMMYFUNCTION("""COMPUTED_VALUE"""),"彰化縣立伸港國民中學")</f>
        <v>彰化縣立伸港國民中學</v>
      </c>
      <c r="F2140" s="14" t="str">
        <f>IFERROR(__xludf.DUMMYFUNCTION("""COMPUTED_VALUE"""),"九年級")</f>
        <v>九年級</v>
      </c>
      <c r="G2140" s="14" t="str">
        <f>IFERROR(__xludf.DUMMYFUNCTION("""COMPUTED_VALUE"""),"獎狀")</f>
        <v>獎狀</v>
      </c>
      <c r="H2140" s="8"/>
    </row>
    <row r="2141">
      <c r="A2141" s="18"/>
      <c r="B2141" s="14">
        <f>IFERROR(__xludf.DUMMYFUNCTION("""COMPUTED_VALUE"""),869816.0)</f>
        <v>869816</v>
      </c>
      <c r="C2141" s="14" t="str">
        <f>IFERROR(__xludf.DUMMYFUNCTION("""COMPUTED_VALUE"""),"葉詩慈")</f>
        <v>葉詩慈</v>
      </c>
      <c r="D2141" s="16" t="str">
        <f>IFERROR(__xludf.DUMMYFUNCTION("""COMPUTED_VALUE"""),"stu*****mail.edu.tw")</f>
        <v>stu*****mail.edu.tw</v>
      </c>
      <c r="E2141" s="17" t="str">
        <f>IFERROR(__xludf.DUMMYFUNCTION("""COMPUTED_VALUE"""),"彰化縣立伸港國民中學")</f>
        <v>彰化縣立伸港國民中學</v>
      </c>
      <c r="F2141" s="14" t="str">
        <f>IFERROR(__xludf.DUMMYFUNCTION("""COMPUTED_VALUE"""),"九年級")</f>
        <v>九年級</v>
      </c>
      <c r="G2141" s="14" t="str">
        <f>IFERROR(__xludf.DUMMYFUNCTION("""COMPUTED_VALUE"""),"獎狀")</f>
        <v>獎狀</v>
      </c>
      <c r="H2141" s="8"/>
    </row>
    <row r="2142">
      <c r="A2142" s="18"/>
      <c r="B2142" s="14">
        <f>IFERROR(__xludf.DUMMYFUNCTION("""COMPUTED_VALUE"""),955154.0)</f>
        <v>955154</v>
      </c>
      <c r="C2142" s="14" t="str">
        <f>IFERROR(__xludf.DUMMYFUNCTION("""COMPUTED_VALUE"""),"林亮宇")</f>
        <v>林亮宇</v>
      </c>
      <c r="D2142" s="16" t="str">
        <f>IFERROR(__xludf.DUMMYFUNCTION("""COMPUTED_VALUE"""),"yte*****13@chc.edu.tw")</f>
        <v>yte*****13@chc.edu.tw</v>
      </c>
      <c r="E2142" s="17" t="str">
        <f>IFERROR(__xludf.DUMMYFUNCTION("""COMPUTED_VALUE"""),"彰化縣立大同國民中學")</f>
        <v>彰化縣立大同國民中學</v>
      </c>
      <c r="F2142" s="14" t="str">
        <f>IFERROR(__xludf.DUMMYFUNCTION("""COMPUTED_VALUE"""),"七年級")</f>
        <v>七年級</v>
      </c>
      <c r="G2142" s="14" t="str">
        <f>IFERROR(__xludf.DUMMYFUNCTION("""COMPUTED_VALUE"""),"獎狀")</f>
        <v>獎狀</v>
      </c>
      <c r="H2142" s="8"/>
    </row>
    <row r="2143">
      <c r="A2143" s="18"/>
      <c r="B2143" s="14">
        <f>IFERROR(__xludf.DUMMYFUNCTION("""COMPUTED_VALUE"""),529456.0)</f>
        <v>529456</v>
      </c>
      <c r="C2143" s="14" t="str">
        <f>IFERROR(__xludf.DUMMYFUNCTION("""COMPUTED_VALUE"""),"洪韻晴")</f>
        <v>洪韻晴</v>
      </c>
      <c r="D2143" s="16" t="str">
        <f>IFERROR(__xludf.DUMMYFUNCTION("""COMPUTED_VALUE"""),"elk*****5054@mail.edu.tw")</f>
        <v>elk*****5054@mail.edu.tw</v>
      </c>
      <c r="E2143" s="17" t="str">
        <f>IFERROR(__xludf.DUMMYFUNCTION("""COMPUTED_VALUE"""),"彰化縣立大同國民中學")</f>
        <v>彰化縣立大同國民中學</v>
      </c>
      <c r="F2143" s="14" t="str">
        <f>IFERROR(__xludf.DUMMYFUNCTION("""COMPUTED_VALUE"""),"七年級")</f>
        <v>七年級</v>
      </c>
      <c r="G2143" s="14" t="str">
        <f>IFERROR(__xludf.DUMMYFUNCTION("""COMPUTED_VALUE"""),"獎狀")</f>
        <v>獎狀</v>
      </c>
      <c r="H2143" s="8"/>
    </row>
    <row r="2144">
      <c r="A2144" s="18"/>
      <c r="B2144" s="14">
        <f>IFERROR(__xludf.DUMMYFUNCTION("""COMPUTED_VALUE"""),578636.0)</f>
        <v>578636</v>
      </c>
      <c r="C2144" s="14" t="str">
        <f>IFERROR(__xludf.DUMMYFUNCTION("""COMPUTED_VALUE"""),"陳德銘")</f>
        <v>陳德銘</v>
      </c>
      <c r="D2144" s="16" t="str">
        <f>IFERROR(__xludf.DUMMYFUNCTION("""COMPUTED_VALUE"""),"big*****on@yahoo.com.tw")</f>
        <v>big*****on@yahoo.com.tw</v>
      </c>
      <c r="E2144" s="17" t="str">
        <f>IFERROR(__xludf.DUMMYFUNCTION("""COMPUTED_VALUE"""),"彰化縣立大同國民中學")</f>
        <v>彰化縣立大同國民中學</v>
      </c>
      <c r="F2144" s="14" t="str">
        <f>IFERROR(__xludf.DUMMYFUNCTION("""COMPUTED_VALUE"""),"八年級")</f>
        <v>八年級</v>
      </c>
      <c r="G2144" s="14" t="str">
        <f>IFERROR(__xludf.DUMMYFUNCTION("""COMPUTED_VALUE"""),"●小禮物")</f>
        <v>●小禮物</v>
      </c>
      <c r="H2144" s="8"/>
    </row>
    <row r="2145">
      <c r="A2145" s="18"/>
      <c r="B2145" s="14">
        <f>IFERROR(__xludf.DUMMYFUNCTION("""COMPUTED_VALUE"""),940334.0)</f>
        <v>940334</v>
      </c>
      <c r="C2145" s="14" t="str">
        <f>IFERROR(__xludf.DUMMYFUNCTION("""COMPUTED_VALUE"""),"蕭斯微")</f>
        <v>蕭斯微</v>
      </c>
      <c r="D2145" s="16" t="str">
        <f>IFERROR(__xludf.DUMMYFUNCTION("""COMPUTED_VALUE"""),"chc*****110253@mail.edu.tw")</f>
        <v>chc*****110253@mail.edu.tw</v>
      </c>
      <c r="E2145" s="17" t="str">
        <f>IFERROR(__xludf.DUMMYFUNCTION("""COMPUTED_VALUE"""),"彰化縣立大同國民中學")</f>
        <v>彰化縣立大同國民中學</v>
      </c>
      <c r="F2145" s="14" t="str">
        <f>IFERROR(__xludf.DUMMYFUNCTION("""COMPUTED_VALUE"""),"八年級")</f>
        <v>八年級</v>
      </c>
      <c r="G2145" s="14" t="str">
        <f>IFERROR(__xludf.DUMMYFUNCTION("""COMPUTED_VALUE"""),"獎狀")</f>
        <v>獎狀</v>
      </c>
      <c r="H2145" s="8"/>
    </row>
    <row r="2146">
      <c r="A2146" s="18"/>
      <c r="B2146" s="14">
        <f>IFERROR(__xludf.DUMMYFUNCTION("""COMPUTED_VALUE"""),937494.0)</f>
        <v>937494</v>
      </c>
      <c r="C2146" s="14" t="str">
        <f>IFERROR(__xludf.DUMMYFUNCTION("""COMPUTED_VALUE"""),"歐強")</f>
        <v>歐強</v>
      </c>
      <c r="D2146" s="16" t="str">
        <f>IFERROR(__xludf.DUMMYFUNCTION("""COMPUTED_VALUE"""),"shi*****110096@mail.edu.tw")</f>
        <v>shi*****110096@mail.edu.tw</v>
      </c>
      <c r="E2146" s="17" t="str">
        <f>IFERROR(__xludf.DUMMYFUNCTION("""COMPUTED_VALUE"""),"彰化縣立明倫國民中學")</f>
        <v>彰化縣立明倫國民中學</v>
      </c>
      <c r="F2146" s="14" t="str">
        <f>IFERROR(__xludf.DUMMYFUNCTION("""COMPUTED_VALUE"""),"八年級")</f>
        <v>八年級</v>
      </c>
      <c r="G2146" s="14" t="str">
        <f>IFERROR(__xludf.DUMMYFUNCTION("""COMPUTED_VALUE"""),"獎狀")</f>
        <v>獎狀</v>
      </c>
      <c r="H2146" s="8"/>
    </row>
    <row r="2147">
      <c r="A2147" s="18"/>
      <c r="B2147" s="14">
        <f>IFERROR(__xludf.DUMMYFUNCTION("""COMPUTED_VALUE"""),197734.0)</f>
        <v>197734</v>
      </c>
      <c r="C2147" s="14" t="str">
        <f>IFERROR(__xludf.DUMMYFUNCTION("""COMPUTED_VALUE"""),"戴恆昇")</f>
        <v>戴恆昇</v>
      </c>
      <c r="D2147" s="16" t="str">
        <f>IFERROR(__xludf.DUMMYFUNCTION("""COMPUTED_VALUE"""),"ly1*****mail.edu.tw")</f>
        <v>ly1*****mail.edu.tw</v>
      </c>
      <c r="E2147" s="17" t="str">
        <f>IFERROR(__xludf.DUMMYFUNCTION("""COMPUTED_VALUE"""),"彰化縣立社頭國民中學")</f>
        <v>彰化縣立社頭國民中學</v>
      </c>
      <c r="F2147" s="14" t="str">
        <f>IFERROR(__xludf.DUMMYFUNCTION("""COMPUTED_VALUE"""),"七年級")</f>
        <v>七年級</v>
      </c>
      <c r="G2147" s="14" t="str">
        <f>IFERROR(__xludf.DUMMYFUNCTION("""COMPUTED_VALUE"""),"獎狀")</f>
        <v>獎狀</v>
      </c>
      <c r="H2147" s="8"/>
    </row>
    <row r="2148">
      <c r="A2148" s="18"/>
      <c r="B2148" s="14">
        <f>IFERROR(__xludf.DUMMYFUNCTION("""COMPUTED_VALUE"""),1198002.0)</f>
        <v>1198002</v>
      </c>
      <c r="C2148" s="14" t="str">
        <f>IFERROR(__xludf.DUMMYFUNCTION("""COMPUTED_VALUE"""),"王宥允")</f>
        <v>王宥允</v>
      </c>
      <c r="D2148" s="16" t="str">
        <f>IFERROR(__xludf.DUMMYFUNCTION("""COMPUTED_VALUE"""),"pse*****37@mail.edu.tw")</f>
        <v>pse*****37@mail.edu.tw</v>
      </c>
      <c r="E2148" s="17" t="str">
        <f>IFERROR(__xludf.DUMMYFUNCTION("""COMPUTED_VALUE"""),"彰化縣立埔心國民中學")</f>
        <v>彰化縣立埔心國民中學</v>
      </c>
      <c r="F2148" s="14" t="str">
        <f>IFERROR(__xludf.DUMMYFUNCTION("""COMPUTED_VALUE"""),"七年級")</f>
        <v>七年級</v>
      </c>
      <c r="G2148" s="14" t="str">
        <f>IFERROR(__xludf.DUMMYFUNCTION("""COMPUTED_VALUE"""),"●小禮物")</f>
        <v>●小禮物</v>
      </c>
      <c r="H2148" s="8"/>
    </row>
    <row r="2149">
      <c r="A2149" s="18"/>
      <c r="B2149" s="14">
        <f>IFERROR(__xludf.DUMMYFUNCTION("""COMPUTED_VALUE"""),1170704.0)</f>
        <v>1170704</v>
      </c>
      <c r="C2149" s="14" t="str">
        <f>IFERROR(__xludf.DUMMYFUNCTION("""COMPUTED_VALUE"""),"詹侑霖")</f>
        <v>詹侑霖</v>
      </c>
      <c r="D2149" s="16" t="str">
        <f>IFERROR(__xludf.DUMMYFUNCTION("""COMPUTED_VALUE"""),"pse*****11@mail.edu.tw")</f>
        <v>pse*****11@mail.edu.tw</v>
      </c>
      <c r="E2149" s="17" t="str">
        <f>IFERROR(__xludf.DUMMYFUNCTION("""COMPUTED_VALUE"""),"彰化縣立埔心國民中學")</f>
        <v>彰化縣立埔心國民中學</v>
      </c>
      <c r="F2149" s="14" t="str">
        <f>IFERROR(__xludf.DUMMYFUNCTION("""COMPUTED_VALUE"""),"七年級")</f>
        <v>七年級</v>
      </c>
      <c r="G2149" s="14" t="str">
        <f>IFERROR(__xludf.DUMMYFUNCTION("""COMPUTED_VALUE"""),"●小禮物")</f>
        <v>●小禮物</v>
      </c>
      <c r="H2149" s="8"/>
    </row>
    <row r="2150">
      <c r="A2150" s="18"/>
      <c r="B2150" s="14">
        <f>IFERROR(__xludf.DUMMYFUNCTION("""COMPUTED_VALUE"""),1198048.0)</f>
        <v>1198048</v>
      </c>
      <c r="C2150" s="14" t="str">
        <f>IFERROR(__xludf.DUMMYFUNCTION("""COMPUTED_VALUE"""),"王建凱")</f>
        <v>王建凱</v>
      </c>
      <c r="D2150" s="16" t="str">
        <f>IFERROR(__xludf.DUMMYFUNCTION("""COMPUTED_VALUE"""),"cad*****ail.edu.tw")</f>
        <v>cad*****ail.edu.tw</v>
      </c>
      <c r="E2150" s="17" t="str">
        <f>IFERROR(__xludf.DUMMYFUNCTION("""COMPUTED_VALUE"""),"彰化縣立埔心國民中學")</f>
        <v>彰化縣立埔心國民中學</v>
      </c>
      <c r="F2150" s="14" t="str">
        <f>IFERROR(__xludf.DUMMYFUNCTION("""COMPUTED_VALUE"""),"七年級")</f>
        <v>七年級</v>
      </c>
      <c r="G2150" s="14" t="str">
        <f>IFERROR(__xludf.DUMMYFUNCTION("""COMPUTED_VALUE"""),"獎狀")</f>
        <v>獎狀</v>
      </c>
      <c r="H2150" s="8"/>
    </row>
    <row r="2151">
      <c r="A2151" s="18"/>
      <c r="B2151" s="14">
        <f>IFERROR(__xludf.DUMMYFUNCTION("""COMPUTED_VALUE"""),1197798.0)</f>
        <v>1197798</v>
      </c>
      <c r="C2151" s="14" t="str">
        <f>IFERROR(__xludf.DUMMYFUNCTION("""COMPUTED_VALUE"""),"周岑瑞")</f>
        <v>周岑瑞</v>
      </c>
      <c r="D2151" s="16" t="str">
        <f>IFERROR(__xludf.DUMMYFUNCTION("""COMPUTED_VALUE"""),"pse*****25@mail.edu.tw")</f>
        <v>pse*****25@mail.edu.tw</v>
      </c>
      <c r="E2151" s="17" t="str">
        <f>IFERROR(__xludf.DUMMYFUNCTION("""COMPUTED_VALUE"""),"彰化縣立埔心國民中學")</f>
        <v>彰化縣立埔心國民中學</v>
      </c>
      <c r="F2151" s="14" t="str">
        <f>IFERROR(__xludf.DUMMYFUNCTION("""COMPUTED_VALUE"""),"七年級")</f>
        <v>七年級</v>
      </c>
      <c r="G2151" s="14" t="str">
        <f>IFERROR(__xludf.DUMMYFUNCTION("""COMPUTED_VALUE"""),"獎狀")</f>
        <v>獎狀</v>
      </c>
      <c r="H2151" s="8"/>
    </row>
    <row r="2152">
      <c r="A2152" s="18"/>
      <c r="B2152" s="14">
        <f>IFERROR(__xludf.DUMMYFUNCTION("""COMPUTED_VALUE"""),1170701.0)</f>
        <v>1170701</v>
      </c>
      <c r="C2152" s="14" t="str">
        <f>IFERROR(__xludf.DUMMYFUNCTION("""COMPUTED_VALUE"""),"林伯余")</f>
        <v>林伯余</v>
      </c>
      <c r="D2152" s="16" t="str">
        <f>IFERROR(__xludf.DUMMYFUNCTION("""COMPUTED_VALUE"""),"pse*****48@mail.edu.tw")</f>
        <v>pse*****48@mail.edu.tw</v>
      </c>
      <c r="E2152" s="17" t="str">
        <f>IFERROR(__xludf.DUMMYFUNCTION("""COMPUTED_VALUE"""),"彰化縣立埔心國民中學")</f>
        <v>彰化縣立埔心國民中學</v>
      </c>
      <c r="F2152" s="14" t="str">
        <f>IFERROR(__xludf.DUMMYFUNCTION("""COMPUTED_VALUE"""),"七年級")</f>
        <v>七年級</v>
      </c>
      <c r="G2152" s="14" t="str">
        <f>IFERROR(__xludf.DUMMYFUNCTION("""COMPUTED_VALUE"""),"●小禮物")</f>
        <v>●小禮物</v>
      </c>
      <c r="H2152" s="8"/>
    </row>
    <row r="2153">
      <c r="A2153" s="18"/>
      <c r="B2153" s="14">
        <f>IFERROR(__xludf.DUMMYFUNCTION("""COMPUTED_VALUE"""),1170719.0)</f>
        <v>1170719</v>
      </c>
      <c r="C2153" s="14" t="str">
        <f>IFERROR(__xludf.DUMMYFUNCTION("""COMPUTED_VALUE"""),"徐子罡")</f>
        <v>徐子罡</v>
      </c>
      <c r="D2153" s="16" t="str">
        <f>IFERROR(__xludf.DUMMYFUNCTION("""COMPUTED_VALUE"""),"pse*****45@mail.edu.tw")</f>
        <v>pse*****45@mail.edu.tw</v>
      </c>
      <c r="E2153" s="17" t="str">
        <f>IFERROR(__xludf.DUMMYFUNCTION("""COMPUTED_VALUE"""),"彰化縣立埔心國民中學")</f>
        <v>彰化縣立埔心國民中學</v>
      </c>
      <c r="F2153" s="14" t="str">
        <f>IFERROR(__xludf.DUMMYFUNCTION("""COMPUTED_VALUE"""),"七年級")</f>
        <v>七年級</v>
      </c>
      <c r="G2153" s="14" t="str">
        <f>IFERROR(__xludf.DUMMYFUNCTION("""COMPUTED_VALUE"""),"●小禮物")</f>
        <v>●小禮物</v>
      </c>
      <c r="H2153" s="8"/>
    </row>
    <row r="2154">
      <c r="A2154" s="18"/>
      <c r="B2154" s="14">
        <f>IFERROR(__xludf.DUMMYFUNCTION("""COMPUTED_VALUE"""),1170684.0)</f>
        <v>1170684</v>
      </c>
      <c r="C2154" s="14" t="str">
        <f>IFERROR(__xludf.DUMMYFUNCTION("""COMPUTED_VALUE"""),"張丞毅")</f>
        <v>張丞毅</v>
      </c>
      <c r="D2154" s="16" t="str">
        <f>IFERROR(__xludf.DUMMYFUNCTION("""COMPUTED_VALUE"""),"pse*****08@mail.edu.tw")</f>
        <v>pse*****08@mail.edu.tw</v>
      </c>
      <c r="E2154" s="17" t="str">
        <f>IFERROR(__xludf.DUMMYFUNCTION("""COMPUTED_VALUE"""),"彰化縣立埔心國民中學")</f>
        <v>彰化縣立埔心國民中學</v>
      </c>
      <c r="F2154" s="14" t="str">
        <f>IFERROR(__xludf.DUMMYFUNCTION("""COMPUTED_VALUE"""),"七年級")</f>
        <v>七年級</v>
      </c>
      <c r="G2154" s="14" t="str">
        <f>IFERROR(__xludf.DUMMYFUNCTION("""COMPUTED_VALUE"""),"●小禮物")</f>
        <v>●小禮物</v>
      </c>
      <c r="H2154" s="8"/>
    </row>
    <row r="2155">
      <c r="A2155" s="18"/>
      <c r="B2155" s="14">
        <f>IFERROR(__xludf.DUMMYFUNCTION("""COMPUTED_VALUE"""),1076944.0)</f>
        <v>1076944</v>
      </c>
      <c r="C2155" s="14" t="str">
        <f>IFERROR(__xludf.DUMMYFUNCTION("""COMPUTED_VALUE"""),"賴亭如")</f>
        <v>賴亭如</v>
      </c>
      <c r="D2155" s="16" t="str">
        <f>IFERROR(__xludf.DUMMYFUNCTION("""COMPUTED_VALUE"""),"pse*****39@mail.edu.tw")</f>
        <v>pse*****39@mail.edu.tw</v>
      </c>
      <c r="E2155" s="17" t="str">
        <f>IFERROR(__xludf.DUMMYFUNCTION("""COMPUTED_VALUE"""),"彰化縣立埔心國民中學")</f>
        <v>彰化縣立埔心國民中學</v>
      </c>
      <c r="F2155" s="14" t="str">
        <f>IFERROR(__xludf.DUMMYFUNCTION("""COMPUTED_VALUE"""),"七年級")</f>
        <v>七年級</v>
      </c>
      <c r="G2155" s="14" t="str">
        <f>IFERROR(__xludf.DUMMYFUNCTION("""COMPUTED_VALUE"""),"●小禮物")</f>
        <v>●小禮物</v>
      </c>
      <c r="H2155" s="8"/>
    </row>
    <row r="2156">
      <c r="A2156" s="18"/>
      <c r="B2156" s="14">
        <f>IFERROR(__xludf.DUMMYFUNCTION("""COMPUTED_VALUE"""),1115903.0)</f>
        <v>1115903</v>
      </c>
      <c r="C2156" s="14" t="str">
        <f>IFERROR(__xludf.DUMMYFUNCTION("""COMPUTED_VALUE"""),"吳右然")</f>
        <v>吳右然</v>
      </c>
      <c r="D2156" s="16" t="str">
        <f>IFERROR(__xludf.DUMMYFUNCTION("""COMPUTED_VALUE"""),"pse*****13@mail.edu.tw")</f>
        <v>pse*****13@mail.edu.tw</v>
      </c>
      <c r="E2156" s="17" t="str">
        <f>IFERROR(__xludf.DUMMYFUNCTION("""COMPUTED_VALUE"""),"彰化縣立埔心國民中學")</f>
        <v>彰化縣立埔心國民中學</v>
      </c>
      <c r="F2156" s="14" t="str">
        <f>IFERROR(__xludf.DUMMYFUNCTION("""COMPUTED_VALUE"""),"七年級")</f>
        <v>七年級</v>
      </c>
      <c r="G2156" s="14" t="str">
        <f>IFERROR(__xludf.DUMMYFUNCTION("""COMPUTED_VALUE"""),"獎狀")</f>
        <v>獎狀</v>
      </c>
      <c r="H2156" s="8"/>
    </row>
    <row r="2157">
      <c r="A2157" s="18"/>
      <c r="B2157" s="14">
        <f>IFERROR(__xludf.DUMMYFUNCTION("""COMPUTED_VALUE"""),692632.0)</f>
        <v>692632</v>
      </c>
      <c r="C2157" s="14" t="str">
        <f>IFERROR(__xludf.DUMMYFUNCTION("""COMPUTED_VALUE"""),"林晏均")</f>
        <v>林晏均</v>
      </c>
      <c r="D2157" s="16" t="str">
        <f>IFERROR(__xludf.DUMMYFUNCTION("""COMPUTED_VALUE"""),"yy4*****mail.edu.tw")</f>
        <v>yy4*****mail.edu.tw</v>
      </c>
      <c r="E2157" s="17" t="str">
        <f>IFERROR(__xludf.DUMMYFUNCTION("""COMPUTED_VALUE"""),"彰化縣立埔心國民中學")</f>
        <v>彰化縣立埔心國民中學</v>
      </c>
      <c r="F2157" s="14" t="str">
        <f>IFERROR(__xludf.DUMMYFUNCTION("""COMPUTED_VALUE"""),"七年級")</f>
        <v>七年級</v>
      </c>
      <c r="G2157" s="14" t="str">
        <f>IFERROR(__xludf.DUMMYFUNCTION("""COMPUTED_VALUE"""),"獎狀")</f>
        <v>獎狀</v>
      </c>
      <c r="H2157" s="8"/>
    </row>
    <row r="2158">
      <c r="A2158" s="18"/>
      <c r="B2158" s="14">
        <f>IFERROR(__xludf.DUMMYFUNCTION("""COMPUTED_VALUE"""),1180803.0)</f>
        <v>1180803</v>
      </c>
      <c r="C2158" s="14" t="str">
        <f>IFERROR(__xludf.DUMMYFUNCTION("""COMPUTED_VALUE"""),"賴柏澄")</f>
        <v>賴柏澄</v>
      </c>
      <c r="D2158" s="16" t="str">
        <f>IFERROR(__xludf.DUMMYFUNCTION("""COMPUTED_VALUE"""),"pse*****21@mail.edu.tw")</f>
        <v>pse*****21@mail.edu.tw</v>
      </c>
      <c r="E2158" s="17" t="str">
        <f>IFERROR(__xludf.DUMMYFUNCTION("""COMPUTED_VALUE"""),"彰化縣立埔心國民中學")</f>
        <v>彰化縣立埔心國民中學</v>
      </c>
      <c r="F2158" s="14" t="str">
        <f>IFERROR(__xludf.DUMMYFUNCTION("""COMPUTED_VALUE"""),"七年級")</f>
        <v>七年級</v>
      </c>
      <c r="G2158" s="14" t="str">
        <f>IFERROR(__xludf.DUMMYFUNCTION("""COMPUTED_VALUE"""),"獎狀")</f>
        <v>獎狀</v>
      </c>
      <c r="H2158" s="8"/>
    </row>
    <row r="2159">
      <c r="A2159" s="18"/>
      <c r="B2159" s="14">
        <f>IFERROR(__xludf.DUMMYFUNCTION("""COMPUTED_VALUE"""),1198022.0)</f>
        <v>1198022</v>
      </c>
      <c r="C2159" s="14" t="str">
        <f>IFERROR(__xludf.DUMMYFUNCTION("""COMPUTED_VALUE"""),"張千芊")</f>
        <v>張千芊</v>
      </c>
      <c r="D2159" s="16" t="str">
        <f>IFERROR(__xludf.DUMMYFUNCTION("""COMPUTED_VALUE"""),"rte*****5@mail.edu.tw")</f>
        <v>rte*****5@mail.edu.tw</v>
      </c>
      <c r="E2159" s="17" t="str">
        <f>IFERROR(__xludf.DUMMYFUNCTION("""COMPUTED_VALUE"""),"彰化縣立埔心國民中學")</f>
        <v>彰化縣立埔心國民中學</v>
      </c>
      <c r="F2159" s="14" t="str">
        <f>IFERROR(__xludf.DUMMYFUNCTION("""COMPUTED_VALUE"""),"七年級")</f>
        <v>七年級</v>
      </c>
      <c r="G2159" s="14" t="str">
        <f>IFERROR(__xludf.DUMMYFUNCTION("""COMPUTED_VALUE"""),"●小禮物")</f>
        <v>●小禮物</v>
      </c>
      <c r="H2159" s="8"/>
    </row>
    <row r="2160">
      <c r="A2160" s="18"/>
      <c r="B2160" s="14">
        <f>IFERROR(__xludf.DUMMYFUNCTION("""COMPUTED_VALUE"""),949793.0)</f>
        <v>949793</v>
      </c>
      <c r="C2160" s="14" t="str">
        <f>IFERROR(__xludf.DUMMYFUNCTION("""COMPUTED_VALUE"""),"張詠淇")</f>
        <v>張詠淇</v>
      </c>
      <c r="D2160" s="16" t="str">
        <f>IFERROR(__xludf.DUMMYFUNCTION("""COMPUTED_VALUE"""),"msp*****5@mail.edu.tw")</f>
        <v>msp*****5@mail.edu.tw</v>
      </c>
      <c r="E2160" s="17" t="str">
        <f>IFERROR(__xludf.DUMMYFUNCTION("""COMPUTED_VALUE"""),"彰化縣立埔心國民中學")</f>
        <v>彰化縣立埔心國民中學</v>
      </c>
      <c r="F2160" s="14" t="str">
        <f>IFERROR(__xludf.DUMMYFUNCTION("""COMPUTED_VALUE"""),"七年級")</f>
        <v>七年級</v>
      </c>
      <c r="G2160" s="14" t="str">
        <f>IFERROR(__xludf.DUMMYFUNCTION("""COMPUTED_VALUE"""),"●小禮物")</f>
        <v>●小禮物</v>
      </c>
      <c r="H2160" s="8"/>
    </row>
    <row r="2161">
      <c r="A2161" s="18"/>
      <c r="B2161" s="14">
        <f>IFERROR(__xludf.DUMMYFUNCTION("""COMPUTED_VALUE"""),1198009.0)</f>
        <v>1198009</v>
      </c>
      <c r="C2161" s="14" t="str">
        <f>IFERROR(__xludf.DUMMYFUNCTION("""COMPUTED_VALUE"""),"吳家鋐")</f>
        <v>吳家鋐</v>
      </c>
      <c r="D2161" s="16" t="str">
        <f>IFERROR(__xludf.DUMMYFUNCTION("""COMPUTED_VALUE"""),"pse*****42@mail.edu.tw")</f>
        <v>pse*****42@mail.edu.tw</v>
      </c>
      <c r="E2161" s="17" t="str">
        <f>IFERROR(__xludf.DUMMYFUNCTION("""COMPUTED_VALUE"""),"彰化縣立埔心國民中學")</f>
        <v>彰化縣立埔心國民中學</v>
      </c>
      <c r="F2161" s="14" t="str">
        <f>IFERROR(__xludf.DUMMYFUNCTION("""COMPUTED_VALUE"""),"七年級")</f>
        <v>七年級</v>
      </c>
      <c r="G2161" s="14" t="str">
        <f>IFERROR(__xludf.DUMMYFUNCTION("""COMPUTED_VALUE"""),"獎狀")</f>
        <v>獎狀</v>
      </c>
      <c r="H2161" s="8"/>
    </row>
    <row r="2162">
      <c r="A2162" s="18"/>
      <c r="B2162" s="14">
        <f>IFERROR(__xludf.DUMMYFUNCTION("""COMPUTED_VALUE"""),1075145.0)</f>
        <v>1075145</v>
      </c>
      <c r="C2162" s="14" t="str">
        <f>IFERROR(__xludf.DUMMYFUNCTION("""COMPUTED_VALUE"""),"巫叡徵")</f>
        <v>巫叡徵</v>
      </c>
      <c r="D2162" s="16" t="str">
        <f>IFERROR(__xludf.DUMMYFUNCTION("""COMPUTED_VALUE"""),"pse*****66@mail.edu.tw")</f>
        <v>pse*****66@mail.edu.tw</v>
      </c>
      <c r="E2162" s="17" t="str">
        <f>IFERROR(__xludf.DUMMYFUNCTION("""COMPUTED_VALUE"""),"彰化縣立埔心國民中學")</f>
        <v>彰化縣立埔心國民中學</v>
      </c>
      <c r="F2162" s="14" t="str">
        <f>IFERROR(__xludf.DUMMYFUNCTION("""COMPUTED_VALUE"""),"七年級")</f>
        <v>七年級</v>
      </c>
      <c r="G2162" s="14" t="str">
        <f>IFERROR(__xludf.DUMMYFUNCTION("""COMPUTED_VALUE"""),"獎狀")</f>
        <v>獎狀</v>
      </c>
      <c r="H2162" s="8"/>
    </row>
    <row r="2163">
      <c r="A2163" s="18"/>
      <c r="B2163" s="14">
        <f>IFERROR(__xludf.DUMMYFUNCTION("""COMPUTED_VALUE"""),1198003.0)</f>
        <v>1198003</v>
      </c>
      <c r="C2163" s="14" t="str">
        <f>IFERROR(__xludf.DUMMYFUNCTION("""COMPUTED_VALUE"""),"林泓頤")</f>
        <v>林泓頤</v>
      </c>
      <c r="D2163" s="16" t="str">
        <f>IFERROR(__xludf.DUMMYFUNCTION("""COMPUTED_VALUE"""),"pse*****44@mail.edu.tw")</f>
        <v>pse*****44@mail.edu.tw</v>
      </c>
      <c r="E2163" s="17" t="str">
        <f>IFERROR(__xludf.DUMMYFUNCTION("""COMPUTED_VALUE"""),"彰化縣立埔心國民中學")</f>
        <v>彰化縣立埔心國民中學</v>
      </c>
      <c r="F2163" s="14" t="str">
        <f>IFERROR(__xludf.DUMMYFUNCTION("""COMPUTED_VALUE"""),"七年級")</f>
        <v>七年級</v>
      </c>
      <c r="G2163" s="14" t="str">
        <f>IFERROR(__xludf.DUMMYFUNCTION("""COMPUTED_VALUE"""),"獎狀")</f>
        <v>獎狀</v>
      </c>
      <c r="H2163" s="8"/>
    </row>
    <row r="2164">
      <c r="A2164" s="18"/>
      <c r="B2164" s="14">
        <f>IFERROR(__xludf.DUMMYFUNCTION("""COMPUTED_VALUE"""),1075144.0)</f>
        <v>1075144</v>
      </c>
      <c r="C2164" s="14" t="str">
        <f>IFERROR(__xludf.DUMMYFUNCTION("""COMPUTED_VALUE"""),"劉玟顯")</f>
        <v>劉玟顯</v>
      </c>
      <c r="D2164" s="16" t="str">
        <f>IFERROR(__xludf.DUMMYFUNCTION("""COMPUTED_VALUE"""),"st5*****0@mail.edu.tw")</f>
        <v>st5*****0@mail.edu.tw</v>
      </c>
      <c r="E2164" s="17" t="str">
        <f>IFERROR(__xludf.DUMMYFUNCTION("""COMPUTED_VALUE"""),"彰化縣立埔心國民中學")</f>
        <v>彰化縣立埔心國民中學</v>
      </c>
      <c r="F2164" s="14" t="str">
        <f>IFERROR(__xludf.DUMMYFUNCTION("""COMPUTED_VALUE"""),"七年級")</f>
        <v>七年級</v>
      </c>
      <c r="G2164" s="14" t="str">
        <f>IFERROR(__xludf.DUMMYFUNCTION("""COMPUTED_VALUE"""),"獎狀")</f>
        <v>獎狀</v>
      </c>
      <c r="H2164" s="8"/>
    </row>
    <row r="2165">
      <c r="A2165" s="18"/>
      <c r="B2165" s="14">
        <f>IFERROR(__xludf.DUMMYFUNCTION("""COMPUTED_VALUE"""),297530.0)</f>
        <v>297530</v>
      </c>
      <c r="C2165" s="14" t="str">
        <f>IFERROR(__xludf.DUMMYFUNCTION("""COMPUTED_VALUE"""),"許櫳尹")</f>
        <v>許櫳尹</v>
      </c>
      <c r="D2165" s="16" t="str">
        <f>IFERROR(__xludf.DUMMYFUNCTION("""COMPUTED_VALUE"""),"chc*****2@mail.edu.tw")</f>
        <v>chc*****2@mail.edu.tw</v>
      </c>
      <c r="E2165" s="17" t="str">
        <f>IFERROR(__xludf.DUMMYFUNCTION("""COMPUTED_VALUE"""),"彰化縣立埔心國民中學")</f>
        <v>彰化縣立埔心國民中學</v>
      </c>
      <c r="F2165" s="14" t="str">
        <f>IFERROR(__xludf.DUMMYFUNCTION("""COMPUTED_VALUE"""),"八年級")</f>
        <v>八年級</v>
      </c>
      <c r="G2165" s="14" t="str">
        <f>IFERROR(__xludf.DUMMYFUNCTION("""COMPUTED_VALUE"""),"●小禮物")</f>
        <v>●小禮物</v>
      </c>
      <c r="H2165" s="8"/>
    </row>
    <row r="2166">
      <c r="A2166" s="18"/>
      <c r="B2166" s="14">
        <f>IFERROR(__xludf.DUMMYFUNCTION("""COMPUTED_VALUE"""),458756.0)</f>
        <v>458756</v>
      </c>
      <c r="C2166" s="14" t="str">
        <f>IFERROR(__xludf.DUMMYFUNCTION("""COMPUTED_VALUE"""),"巫晉瑲")</f>
        <v>巫晉瑲</v>
      </c>
      <c r="D2166" s="16" t="str">
        <f>IFERROR(__xludf.DUMMYFUNCTION("""COMPUTED_VALUE"""),"a10*****mail.edu.tw")</f>
        <v>a10*****mail.edu.tw</v>
      </c>
      <c r="E2166" s="17" t="str">
        <f>IFERROR(__xludf.DUMMYFUNCTION("""COMPUTED_VALUE"""),"彰化縣立埔心國民中學")</f>
        <v>彰化縣立埔心國民中學</v>
      </c>
      <c r="F2166" s="14" t="str">
        <f>IFERROR(__xludf.DUMMYFUNCTION("""COMPUTED_VALUE"""),"九年級")</f>
        <v>九年級</v>
      </c>
      <c r="G2166" s="14" t="str">
        <f>IFERROR(__xludf.DUMMYFUNCTION("""COMPUTED_VALUE"""),"●小禮物")</f>
        <v>●小禮物</v>
      </c>
      <c r="H2166" s="8"/>
    </row>
    <row r="2167">
      <c r="A2167" s="18"/>
      <c r="B2167" s="14">
        <f>IFERROR(__xludf.DUMMYFUNCTION("""COMPUTED_VALUE"""),198737.0)</f>
        <v>198737</v>
      </c>
      <c r="C2167" s="14" t="str">
        <f>IFERROR(__xludf.DUMMYFUNCTION("""COMPUTED_VALUE"""),"楊懷真")</f>
        <v>楊懷真</v>
      </c>
      <c r="D2167" s="16" t="str">
        <f>IFERROR(__xludf.DUMMYFUNCTION("""COMPUTED_VALUE"""),"fro*****13@mail.edu.tw")</f>
        <v>fro*****13@mail.edu.tw</v>
      </c>
      <c r="E2167" s="17" t="str">
        <f>IFERROR(__xludf.DUMMYFUNCTION("""COMPUTED_VALUE"""),"彰化縣立成功高級中學附設國中部")</f>
        <v>彰化縣立成功高級中學附設國中部</v>
      </c>
      <c r="F2167" s="14" t="str">
        <f>IFERROR(__xludf.DUMMYFUNCTION("""COMPUTED_VALUE"""),"七年級")</f>
        <v>七年級</v>
      </c>
      <c r="G2167" s="14" t="str">
        <f>IFERROR(__xludf.DUMMYFUNCTION("""COMPUTED_VALUE"""),"●小禮物")</f>
        <v>●小禮物</v>
      </c>
      <c r="H2167" s="8"/>
    </row>
    <row r="2168">
      <c r="A2168" s="18"/>
      <c r="B2168" s="14">
        <f>IFERROR(__xludf.DUMMYFUNCTION("""COMPUTED_VALUE"""),1113813.0)</f>
        <v>1113813</v>
      </c>
      <c r="C2168" s="14" t="str">
        <f>IFERROR(__xludf.DUMMYFUNCTION("""COMPUTED_VALUE"""),"趙尉甯")</f>
        <v>趙尉甯</v>
      </c>
      <c r="D2168" s="16" t="str">
        <f>IFERROR(__xludf.DUMMYFUNCTION("""COMPUTED_VALUE"""),"jas*****01@chc.edu.tw")</f>
        <v>jas*****01@chc.edu.tw</v>
      </c>
      <c r="E2168" s="17" t="str">
        <f>IFERROR(__xludf.DUMMYFUNCTION("""COMPUTED_VALUE"""),"彰化縣立成功高級中學附設國中部")</f>
        <v>彰化縣立成功高級中學附設國中部</v>
      </c>
      <c r="F2168" s="14" t="str">
        <f>IFERROR(__xludf.DUMMYFUNCTION("""COMPUTED_VALUE"""),"八年級")</f>
        <v>八年級</v>
      </c>
      <c r="G2168" s="14" t="str">
        <f>IFERROR(__xludf.DUMMYFUNCTION("""COMPUTED_VALUE"""),"●小禮物")</f>
        <v>●小禮物</v>
      </c>
      <c r="H2168" s="8"/>
    </row>
    <row r="2169">
      <c r="A2169" s="18"/>
      <c r="B2169" s="14">
        <f>IFERROR(__xludf.DUMMYFUNCTION("""COMPUTED_VALUE"""),451391.0)</f>
        <v>451391</v>
      </c>
      <c r="C2169" s="14" t="str">
        <f>IFERROR(__xludf.DUMMYFUNCTION("""COMPUTED_VALUE"""),"邱慈閑")</f>
        <v>邱慈閑</v>
      </c>
      <c r="D2169" s="16" t="str">
        <f>IFERROR(__xludf.DUMMYFUNCTION("""COMPUTED_VALUE"""),"amy*****mail.edu.tw")</f>
        <v>amy*****mail.edu.tw</v>
      </c>
      <c r="E2169" s="17" t="str">
        <f>IFERROR(__xludf.DUMMYFUNCTION("""COMPUTED_VALUE"""),"彰化縣立大村國民中學")</f>
        <v>彰化縣立大村國民中學</v>
      </c>
      <c r="F2169" s="14" t="str">
        <f>IFERROR(__xludf.DUMMYFUNCTION("""COMPUTED_VALUE"""),"九年級")</f>
        <v>九年級</v>
      </c>
      <c r="G2169" s="14" t="str">
        <f>IFERROR(__xludf.DUMMYFUNCTION("""COMPUTED_VALUE"""),"●小禮物")</f>
        <v>●小禮物</v>
      </c>
      <c r="H2169" s="8"/>
    </row>
    <row r="2170">
      <c r="A2170" s="18"/>
      <c r="B2170" s="14">
        <f>IFERROR(__xludf.DUMMYFUNCTION("""COMPUTED_VALUE"""),451430.0)</f>
        <v>451430</v>
      </c>
      <c r="C2170" s="14" t="str">
        <f>IFERROR(__xludf.DUMMYFUNCTION("""COMPUTED_VALUE"""),"賴勇任")</f>
        <v>賴勇任</v>
      </c>
      <c r="D2170" s="16" t="str">
        <f>IFERROR(__xludf.DUMMYFUNCTION("""COMPUTED_VALUE"""),"rya*****@mail.edu.tw")</f>
        <v>rya*****@mail.edu.tw</v>
      </c>
      <c r="E2170" s="17" t="str">
        <f>IFERROR(__xludf.DUMMYFUNCTION("""COMPUTED_VALUE"""),"彰化縣立大村國民中學")</f>
        <v>彰化縣立大村國民中學</v>
      </c>
      <c r="F2170" s="14" t="str">
        <f>IFERROR(__xludf.DUMMYFUNCTION("""COMPUTED_VALUE"""),"九年級")</f>
        <v>九年級</v>
      </c>
      <c r="G2170" s="14" t="str">
        <f>IFERROR(__xludf.DUMMYFUNCTION("""COMPUTED_VALUE"""),"●小禮物")</f>
        <v>●小禮物</v>
      </c>
      <c r="H2170" s="8"/>
    </row>
    <row r="2171">
      <c r="A2171" s="18"/>
      <c r="B2171" s="14">
        <f>IFERROR(__xludf.DUMMYFUNCTION("""COMPUTED_VALUE"""),451432.0)</f>
        <v>451432</v>
      </c>
      <c r="C2171" s="14" t="str">
        <f>IFERROR(__xludf.DUMMYFUNCTION("""COMPUTED_VALUE"""),"賴柏均")</f>
        <v>賴柏均</v>
      </c>
      <c r="D2171" s="16" t="str">
        <f>IFERROR(__xludf.DUMMYFUNCTION("""COMPUTED_VALUE"""),"gar*****@mail.edu.tw")</f>
        <v>gar*****@mail.edu.tw</v>
      </c>
      <c r="E2171" s="17" t="str">
        <f>IFERROR(__xludf.DUMMYFUNCTION("""COMPUTED_VALUE"""),"彰化縣立大村國民中學")</f>
        <v>彰化縣立大村國民中學</v>
      </c>
      <c r="F2171" s="14" t="str">
        <f>IFERROR(__xludf.DUMMYFUNCTION("""COMPUTED_VALUE"""),"九年級")</f>
        <v>九年級</v>
      </c>
      <c r="G2171" s="14" t="str">
        <f>IFERROR(__xludf.DUMMYFUNCTION("""COMPUTED_VALUE"""),"●小禮物")</f>
        <v>●小禮物</v>
      </c>
      <c r="H2171" s="8"/>
    </row>
    <row r="2172">
      <c r="A2172" s="18"/>
      <c r="B2172" s="14">
        <f>IFERROR(__xludf.DUMMYFUNCTION("""COMPUTED_VALUE"""),924007.0)</f>
        <v>924007</v>
      </c>
      <c r="C2172" s="14" t="str">
        <f>IFERROR(__xludf.DUMMYFUNCTION("""COMPUTED_VALUE"""),"蘇琬婷")</f>
        <v>蘇琬婷</v>
      </c>
      <c r="D2172" s="16" t="str">
        <f>IFERROR(__xludf.DUMMYFUNCTION("""COMPUTED_VALUE"""),"ttj*****24@mail.edu.tw")</f>
        <v>ttj*****24@mail.edu.tw</v>
      </c>
      <c r="E2172" s="17" t="str">
        <f>IFERROR(__xludf.DUMMYFUNCTION("""COMPUTED_VALUE"""),"彰化縣立大村國民中學")</f>
        <v>彰化縣立大村國民中學</v>
      </c>
      <c r="F2172" s="14" t="str">
        <f>IFERROR(__xludf.DUMMYFUNCTION("""COMPUTED_VALUE"""),"九年級")</f>
        <v>九年級</v>
      </c>
      <c r="G2172" s="14" t="str">
        <f>IFERROR(__xludf.DUMMYFUNCTION("""COMPUTED_VALUE"""),"●小禮物")</f>
        <v>●小禮物</v>
      </c>
      <c r="H2172" s="8"/>
    </row>
    <row r="2173">
      <c r="A2173" s="18"/>
      <c r="B2173" s="14">
        <f>IFERROR(__xludf.DUMMYFUNCTION("""COMPUTED_VALUE"""),451398.0)</f>
        <v>451398</v>
      </c>
      <c r="C2173" s="14" t="str">
        <f>IFERROR(__xludf.DUMMYFUNCTION("""COMPUTED_VALUE"""),"賴宛儀")</f>
        <v>賴宛儀</v>
      </c>
      <c r="D2173" s="16" t="str">
        <f>IFERROR(__xludf.DUMMYFUNCTION("""COMPUTED_VALUE"""),"tde*****5@mail.edu.tw")</f>
        <v>tde*****5@mail.edu.tw</v>
      </c>
      <c r="E2173" s="17" t="str">
        <f>IFERROR(__xludf.DUMMYFUNCTION("""COMPUTED_VALUE"""),"彰化縣立大村國民中學")</f>
        <v>彰化縣立大村國民中學</v>
      </c>
      <c r="F2173" s="14" t="str">
        <f>IFERROR(__xludf.DUMMYFUNCTION("""COMPUTED_VALUE"""),"九年級")</f>
        <v>九年級</v>
      </c>
      <c r="G2173" s="14" t="str">
        <f>IFERROR(__xludf.DUMMYFUNCTION("""COMPUTED_VALUE"""),"★禮券$200")</f>
        <v>★禮券$200</v>
      </c>
      <c r="H2173" s="8"/>
    </row>
    <row r="2174">
      <c r="A2174" s="18"/>
      <c r="B2174" s="14">
        <f>IFERROR(__xludf.DUMMYFUNCTION("""COMPUTED_VALUE"""),393622.0)</f>
        <v>393622</v>
      </c>
      <c r="C2174" s="14" t="str">
        <f>IFERROR(__xludf.DUMMYFUNCTION("""COMPUTED_VALUE"""),"王宥勝")</f>
        <v>王宥勝</v>
      </c>
      <c r="D2174" s="16" t="str">
        <f>IFERROR(__xludf.DUMMYFUNCTION("""COMPUTED_VALUE"""),"chc*****3049@mail.edu.tw")</f>
        <v>chc*****3049@mail.edu.tw</v>
      </c>
      <c r="E2174" s="17" t="str">
        <f>IFERROR(__xludf.DUMMYFUNCTION("""COMPUTED_VALUE"""),"彰化縣立大村國民中學")</f>
        <v>彰化縣立大村國民中學</v>
      </c>
      <c r="F2174" s="14" t="str">
        <f>IFERROR(__xludf.DUMMYFUNCTION("""COMPUTED_VALUE"""),"九年級")</f>
        <v>九年級</v>
      </c>
      <c r="G2174" s="14" t="str">
        <f>IFERROR(__xludf.DUMMYFUNCTION("""COMPUTED_VALUE"""),"獎狀")</f>
        <v>獎狀</v>
      </c>
      <c r="H2174" s="8"/>
    </row>
    <row r="2175">
      <c r="A2175" s="18"/>
      <c r="B2175" s="14">
        <f>IFERROR(__xludf.DUMMYFUNCTION("""COMPUTED_VALUE"""),451390.0)</f>
        <v>451390</v>
      </c>
      <c r="C2175" s="14" t="str">
        <f>IFERROR(__xludf.DUMMYFUNCTION("""COMPUTED_VALUE"""),"蔡云綺")</f>
        <v>蔡云綺</v>
      </c>
      <c r="D2175" s="16" t="str">
        <f>IFERROR(__xludf.DUMMYFUNCTION("""COMPUTED_VALUE"""),"car*****89@mail.edu.tw")</f>
        <v>car*****89@mail.edu.tw</v>
      </c>
      <c r="E2175" s="17" t="str">
        <f>IFERROR(__xludf.DUMMYFUNCTION("""COMPUTED_VALUE"""),"彰化縣立大村國民中學")</f>
        <v>彰化縣立大村國民中學</v>
      </c>
      <c r="F2175" s="14" t="str">
        <f>IFERROR(__xludf.DUMMYFUNCTION("""COMPUTED_VALUE"""),"九年級")</f>
        <v>九年級</v>
      </c>
      <c r="G2175" s="14" t="str">
        <f>IFERROR(__xludf.DUMMYFUNCTION("""COMPUTED_VALUE"""),"獎狀")</f>
        <v>獎狀</v>
      </c>
      <c r="H2175" s="8"/>
    </row>
    <row r="2176">
      <c r="A2176" s="18"/>
      <c r="B2176" s="14">
        <f>IFERROR(__xludf.DUMMYFUNCTION("""COMPUTED_VALUE"""),391715.0)</f>
        <v>391715</v>
      </c>
      <c r="C2176" s="14" t="str">
        <f>IFERROR(__xludf.DUMMYFUNCTION("""COMPUTED_VALUE"""),"賴漢銘")</f>
        <v>賴漢銘</v>
      </c>
      <c r="D2176" s="16" t="str">
        <f>IFERROR(__xludf.DUMMYFUNCTION("""COMPUTED_VALUE"""),"chc*****03116@mail.edu.tw")</f>
        <v>chc*****03116@mail.edu.tw</v>
      </c>
      <c r="E2176" s="17" t="str">
        <f>IFERROR(__xludf.DUMMYFUNCTION("""COMPUTED_VALUE"""),"彰化縣立大村國民中學")</f>
        <v>彰化縣立大村國民中學</v>
      </c>
      <c r="F2176" s="14" t="str">
        <f>IFERROR(__xludf.DUMMYFUNCTION("""COMPUTED_VALUE"""),"九年級")</f>
        <v>九年級</v>
      </c>
      <c r="G2176" s="14" t="str">
        <f>IFERROR(__xludf.DUMMYFUNCTION("""COMPUTED_VALUE"""),"獎狀")</f>
        <v>獎狀</v>
      </c>
      <c r="H2176" s="8"/>
    </row>
    <row r="2177">
      <c r="A2177" s="18"/>
      <c r="B2177" s="14">
        <f>IFERROR(__xludf.DUMMYFUNCTION("""COMPUTED_VALUE"""),924009.0)</f>
        <v>924009</v>
      </c>
      <c r="C2177" s="14" t="str">
        <f>IFERROR(__xludf.DUMMYFUNCTION("""COMPUTED_VALUE"""),"鍾鎮羽")</f>
        <v>鍾鎮羽</v>
      </c>
      <c r="D2177" s="16" t="str">
        <f>IFERROR(__xludf.DUMMYFUNCTION("""COMPUTED_VALUE"""),"jas*****328@mail.edu.tw")</f>
        <v>jas*****328@mail.edu.tw</v>
      </c>
      <c r="E2177" s="17" t="str">
        <f>IFERROR(__xludf.DUMMYFUNCTION("""COMPUTED_VALUE"""),"彰化縣立大村國民中學")</f>
        <v>彰化縣立大村國民中學</v>
      </c>
      <c r="F2177" s="14" t="str">
        <f>IFERROR(__xludf.DUMMYFUNCTION("""COMPUTED_VALUE"""),"九年級")</f>
        <v>九年級</v>
      </c>
      <c r="G2177" s="14" t="str">
        <f>IFERROR(__xludf.DUMMYFUNCTION("""COMPUTED_VALUE"""),"獎狀")</f>
        <v>獎狀</v>
      </c>
      <c r="H2177" s="8"/>
    </row>
    <row r="2178">
      <c r="A2178" s="18"/>
      <c r="B2178" s="14">
        <f>IFERROR(__xludf.DUMMYFUNCTION("""COMPUTED_VALUE"""),1151675.0)</f>
        <v>1151675</v>
      </c>
      <c r="C2178" s="14" t="str">
        <f>IFERROR(__xludf.DUMMYFUNCTION("""COMPUTED_VALUE"""),"張雲竹")</f>
        <v>張雲竹</v>
      </c>
      <c r="D2178" s="16" t="str">
        <f>IFERROR(__xludf.DUMMYFUNCTION("""COMPUTED_VALUE"""),"dor*****ng0912@gmail.com")</f>
        <v>dor*****ng0912@gmail.com</v>
      </c>
      <c r="E2178" s="17" t="str">
        <f>IFERROR(__xludf.DUMMYFUNCTION("""COMPUTED_VALUE"""),"彰化縣私立文興高級中學附設國中部")</f>
        <v>彰化縣私立文興高級中學附設國中部</v>
      </c>
      <c r="F2178" s="14" t="str">
        <f>IFERROR(__xludf.DUMMYFUNCTION("""COMPUTED_VALUE"""),"七年級")</f>
        <v>七年級</v>
      </c>
      <c r="G2178" s="14" t="str">
        <f>IFERROR(__xludf.DUMMYFUNCTION("""COMPUTED_VALUE"""),"獎狀")</f>
        <v>獎狀</v>
      </c>
      <c r="H2178" s="8"/>
    </row>
    <row r="2179">
      <c r="A2179" s="18"/>
      <c r="B2179" s="14">
        <f>IFERROR(__xludf.DUMMYFUNCTION("""COMPUTED_VALUE"""),315781.0)</f>
        <v>315781</v>
      </c>
      <c r="C2179" s="14" t="str">
        <f>IFERROR(__xludf.DUMMYFUNCTION("""COMPUTED_VALUE"""),"陳品蓁")</f>
        <v>陳品蓁</v>
      </c>
      <c r="D2179" s="16" t="str">
        <f>IFERROR(__xludf.DUMMYFUNCTION("""COMPUTED_VALUE"""),"pea*****0930@gmail.com")</f>
        <v>pea*****0930@gmail.com</v>
      </c>
      <c r="E2179" s="17" t="str">
        <f>IFERROR(__xludf.DUMMYFUNCTION("""COMPUTED_VALUE"""),"彰化縣私立文興高級中學附設國中部")</f>
        <v>彰化縣私立文興高級中學附設國中部</v>
      </c>
      <c r="F2179" s="14" t="str">
        <f>IFERROR(__xludf.DUMMYFUNCTION("""COMPUTED_VALUE"""),"八年級")</f>
        <v>八年級</v>
      </c>
      <c r="G2179" s="14" t="str">
        <f>IFERROR(__xludf.DUMMYFUNCTION("""COMPUTED_VALUE"""),"獎狀")</f>
        <v>獎狀</v>
      </c>
      <c r="H2179" s="8"/>
    </row>
    <row r="2180">
      <c r="A2180" s="18"/>
      <c r="B2180" s="14">
        <f>IFERROR(__xludf.DUMMYFUNCTION("""COMPUTED_VALUE"""),948258.0)</f>
        <v>948258</v>
      </c>
      <c r="C2180" s="14" t="str">
        <f>IFERROR(__xludf.DUMMYFUNCTION("""COMPUTED_VALUE"""),"鄭家璇")</f>
        <v>鄭家璇</v>
      </c>
      <c r="D2180" s="16" t="str">
        <f>IFERROR(__xludf.DUMMYFUNCTION("""COMPUTED_VALUE"""),"bde*****4@chc.edu.tw")</f>
        <v>bde*****4@chc.edu.tw</v>
      </c>
      <c r="E2180" s="17" t="str">
        <f>IFERROR(__xludf.DUMMYFUNCTION("""COMPUTED_VALUE"""),"彰化縣立北斗國民中學")</f>
        <v>彰化縣立北斗國民中學</v>
      </c>
      <c r="F2180" s="14" t="str">
        <f>IFERROR(__xludf.DUMMYFUNCTION("""COMPUTED_VALUE"""),"九年級")</f>
        <v>九年級</v>
      </c>
      <c r="G2180" s="14" t="str">
        <f>IFERROR(__xludf.DUMMYFUNCTION("""COMPUTED_VALUE"""),"獎狀")</f>
        <v>獎狀</v>
      </c>
      <c r="H2180" s="8"/>
    </row>
    <row r="2181">
      <c r="A2181" s="18"/>
      <c r="B2181" s="14">
        <f>IFERROR(__xludf.DUMMYFUNCTION("""COMPUTED_VALUE"""),1184040.0)</f>
        <v>1184040</v>
      </c>
      <c r="C2181" s="14" t="str">
        <f>IFERROR(__xludf.DUMMYFUNCTION("""COMPUTED_VALUE"""),"李坤育")</f>
        <v>李坤育</v>
      </c>
      <c r="D2181" s="16" t="str">
        <f>IFERROR(__xludf.DUMMYFUNCTION("""COMPUTED_VALUE"""),"t50*****ail.edu.tw")</f>
        <v>t50*****ail.edu.tw</v>
      </c>
      <c r="E2181" s="17" t="str">
        <f>IFERROR(__xludf.DUMMYFUNCTION("""COMPUTED_VALUE"""),"彰化縣立埤頭國民中學")</f>
        <v>彰化縣立埤頭國民中學</v>
      </c>
      <c r="F2181" s="14" t="str">
        <f>IFERROR(__xludf.DUMMYFUNCTION("""COMPUTED_VALUE"""),"八年級")</f>
        <v>八年級</v>
      </c>
      <c r="G2181" s="14" t="str">
        <f>IFERROR(__xludf.DUMMYFUNCTION("""COMPUTED_VALUE"""),"獎狀")</f>
        <v>獎狀</v>
      </c>
      <c r="H2181" s="8"/>
    </row>
    <row r="2182">
      <c r="A2182" s="18"/>
      <c r="B2182" s="14">
        <f>IFERROR(__xludf.DUMMYFUNCTION("""COMPUTED_VALUE"""),979292.0)</f>
        <v>979292</v>
      </c>
      <c r="C2182" s="14" t="str">
        <f>IFERROR(__xludf.DUMMYFUNCTION("""COMPUTED_VALUE"""),"陳建羽")</f>
        <v>陳建羽</v>
      </c>
      <c r="D2182" s="16" t="str">
        <f>IFERROR(__xludf.DUMMYFUNCTION("""COMPUTED_VALUE"""),"abo*****ail.edu.tw")</f>
        <v>abo*****ail.edu.tw</v>
      </c>
      <c r="E2182" s="17" t="str">
        <f>IFERROR(__xludf.DUMMYFUNCTION("""COMPUTED_VALUE"""),"彰化縣立埤頭國民中學")</f>
        <v>彰化縣立埤頭國民中學</v>
      </c>
      <c r="F2182" s="14" t="str">
        <f>IFERROR(__xludf.DUMMYFUNCTION("""COMPUTED_VALUE"""),"八年級")</f>
        <v>八年級</v>
      </c>
      <c r="G2182" s="14" t="str">
        <f>IFERROR(__xludf.DUMMYFUNCTION("""COMPUTED_VALUE"""),"獎狀")</f>
        <v>獎狀</v>
      </c>
      <c r="H2182" s="8"/>
    </row>
    <row r="2183">
      <c r="A2183" s="18"/>
      <c r="B2183" s="14">
        <f>IFERROR(__xludf.DUMMYFUNCTION("""COMPUTED_VALUE"""),979503.0)</f>
        <v>979503</v>
      </c>
      <c r="C2183" s="14" t="str">
        <f>IFERROR(__xludf.DUMMYFUNCTION("""COMPUTED_VALUE"""),"許閔茜")</f>
        <v>許閔茜</v>
      </c>
      <c r="D2183" s="16" t="str">
        <f>IFERROR(__xludf.DUMMYFUNCTION("""COMPUTED_VALUE"""),"dom*****ail.edu.tw")</f>
        <v>dom*****ail.edu.tw</v>
      </c>
      <c r="E2183" s="17" t="str">
        <f>IFERROR(__xludf.DUMMYFUNCTION("""COMPUTED_VALUE"""),"彰化縣立埤頭國民中學")</f>
        <v>彰化縣立埤頭國民中學</v>
      </c>
      <c r="F2183" s="14" t="str">
        <f>IFERROR(__xludf.DUMMYFUNCTION("""COMPUTED_VALUE"""),"八年級")</f>
        <v>八年級</v>
      </c>
      <c r="G2183" s="14" t="str">
        <f>IFERROR(__xludf.DUMMYFUNCTION("""COMPUTED_VALUE"""),"●小禮物")</f>
        <v>●小禮物</v>
      </c>
      <c r="H2183" s="8"/>
    </row>
    <row r="2184">
      <c r="A2184" s="18"/>
      <c r="B2184" s="14">
        <f>IFERROR(__xludf.DUMMYFUNCTION("""COMPUTED_VALUE"""),1184030.0)</f>
        <v>1184030</v>
      </c>
      <c r="C2184" s="14" t="str">
        <f>IFERROR(__xludf.DUMMYFUNCTION("""COMPUTED_VALUE"""),"吳杰愷")</f>
        <v>吳杰愷</v>
      </c>
      <c r="D2184" s="16" t="str">
        <f>IFERROR(__xludf.DUMMYFUNCTION("""COMPUTED_VALUE"""),"pt1*****@mail.edu.tw")</f>
        <v>pt1*****@mail.edu.tw</v>
      </c>
      <c r="E2184" s="17" t="str">
        <f>IFERROR(__xludf.DUMMYFUNCTION("""COMPUTED_VALUE"""),"彰化縣立埤頭國民中學")</f>
        <v>彰化縣立埤頭國民中學</v>
      </c>
      <c r="F2184" s="14" t="str">
        <f>IFERROR(__xludf.DUMMYFUNCTION("""COMPUTED_VALUE"""),"八年級")</f>
        <v>八年級</v>
      </c>
      <c r="G2184" s="14" t="str">
        <f>IFERROR(__xludf.DUMMYFUNCTION("""COMPUTED_VALUE"""),"●小禮物")</f>
        <v>●小禮物</v>
      </c>
      <c r="H2184" s="8"/>
    </row>
    <row r="2185">
      <c r="A2185" s="18"/>
      <c r="B2185" s="14">
        <f>IFERROR(__xludf.DUMMYFUNCTION("""COMPUTED_VALUE"""),878254.0)</f>
        <v>878254</v>
      </c>
      <c r="C2185" s="14" t="str">
        <f>IFERROR(__xludf.DUMMYFUNCTION("""COMPUTED_VALUE"""),"江萱莓")</f>
        <v>江萱莓</v>
      </c>
      <c r="D2185" s="16" t="str">
        <f>IFERROR(__xludf.DUMMYFUNCTION("""COMPUTED_VALUE"""),"dah*****7@mail.edu.tw")</f>
        <v>dah*****7@mail.edu.tw</v>
      </c>
      <c r="E2185" s="17" t="str">
        <f>IFERROR(__xludf.DUMMYFUNCTION("""COMPUTED_VALUE"""),"彰化縣立埤頭國民中學")</f>
        <v>彰化縣立埤頭國民中學</v>
      </c>
      <c r="F2185" s="14" t="str">
        <f>IFERROR(__xludf.DUMMYFUNCTION("""COMPUTED_VALUE"""),"八年級")</f>
        <v>八年級</v>
      </c>
      <c r="G2185" s="14" t="str">
        <f>IFERROR(__xludf.DUMMYFUNCTION("""COMPUTED_VALUE"""),"獎狀")</f>
        <v>獎狀</v>
      </c>
      <c r="H2185" s="8"/>
    </row>
    <row r="2186">
      <c r="A2186" s="18"/>
      <c r="B2186" s="14">
        <f>IFERROR(__xludf.DUMMYFUNCTION("""COMPUTED_VALUE"""),1184041.0)</f>
        <v>1184041</v>
      </c>
      <c r="C2186" s="14" t="str">
        <f>IFERROR(__xludf.DUMMYFUNCTION("""COMPUTED_VALUE"""),"蔡忠諺")</f>
        <v>蔡忠諺</v>
      </c>
      <c r="D2186" s="16" t="str">
        <f>IFERROR(__xludf.DUMMYFUNCTION("""COMPUTED_VALUE"""),"tsa*****gyen@mail.edu.tw")</f>
        <v>tsa*****gyen@mail.edu.tw</v>
      </c>
      <c r="E2186" s="17" t="str">
        <f>IFERROR(__xludf.DUMMYFUNCTION("""COMPUTED_VALUE"""),"彰化縣立埤頭國民中學")</f>
        <v>彰化縣立埤頭國民中學</v>
      </c>
      <c r="F2186" s="14" t="str">
        <f>IFERROR(__xludf.DUMMYFUNCTION("""COMPUTED_VALUE"""),"八年級")</f>
        <v>八年級</v>
      </c>
      <c r="G2186" s="14" t="str">
        <f>IFERROR(__xludf.DUMMYFUNCTION("""COMPUTED_VALUE"""),"獎狀")</f>
        <v>獎狀</v>
      </c>
      <c r="H2186" s="8"/>
    </row>
    <row r="2187">
      <c r="A2187" s="18"/>
      <c r="B2187" s="14">
        <f>IFERROR(__xludf.DUMMYFUNCTION("""COMPUTED_VALUE"""),1191261.0)</f>
        <v>1191261</v>
      </c>
      <c r="C2187" s="14" t="str">
        <f>IFERROR(__xludf.DUMMYFUNCTION("""COMPUTED_VALUE"""),"吳秉蓉")</f>
        <v>吳秉蓉</v>
      </c>
      <c r="D2187" s="16" t="str">
        <f>IFERROR(__xludf.DUMMYFUNCTION("""COMPUTED_VALUE"""),"pt1*****@mail.edu.tw")</f>
        <v>pt1*****@mail.edu.tw</v>
      </c>
      <c r="E2187" s="17" t="str">
        <f>IFERROR(__xludf.DUMMYFUNCTION("""COMPUTED_VALUE"""),"彰化縣立埤頭國民中學")</f>
        <v>彰化縣立埤頭國民中學</v>
      </c>
      <c r="F2187" s="14" t="str">
        <f>IFERROR(__xludf.DUMMYFUNCTION("""COMPUTED_VALUE"""),"八年級")</f>
        <v>八年級</v>
      </c>
      <c r="G2187" s="14" t="str">
        <f>IFERROR(__xludf.DUMMYFUNCTION("""COMPUTED_VALUE"""),"●小禮物")</f>
        <v>●小禮物</v>
      </c>
      <c r="H2187" s="8"/>
    </row>
    <row r="2188">
      <c r="A2188" s="18"/>
      <c r="B2188" s="14">
        <f>IFERROR(__xludf.DUMMYFUNCTION("""COMPUTED_VALUE"""),1179646.0)</f>
        <v>1179646</v>
      </c>
      <c r="C2188" s="14" t="str">
        <f>IFERROR(__xludf.DUMMYFUNCTION("""COMPUTED_VALUE"""),"陳宥呈")</f>
        <v>陳宥呈</v>
      </c>
      <c r="D2188" s="16" t="str">
        <f>IFERROR(__xludf.DUMMYFUNCTION("""COMPUTED_VALUE"""),"har*****3@mail.edu.tw")</f>
        <v>har*****3@mail.edu.tw</v>
      </c>
      <c r="E2188" s="17" t="str">
        <f>IFERROR(__xludf.DUMMYFUNCTION("""COMPUTED_VALUE"""),"彰化縣立埤頭國民中學")</f>
        <v>彰化縣立埤頭國民中學</v>
      </c>
      <c r="F2188" s="14" t="str">
        <f>IFERROR(__xludf.DUMMYFUNCTION("""COMPUTED_VALUE"""),"八年級")</f>
        <v>八年級</v>
      </c>
      <c r="G2188" s="14" t="str">
        <f>IFERROR(__xludf.DUMMYFUNCTION("""COMPUTED_VALUE"""),"●小禮物")</f>
        <v>●小禮物</v>
      </c>
      <c r="H2188" s="8"/>
    </row>
    <row r="2189">
      <c r="A2189" s="18"/>
      <c r="B2189" s="14">
        <f>IFERROR(__xludf.DUMMYFUNCTION("""COMPUTED_VALUE"""),1191265.0)</f>
        <v>1191265</v>
      </c>
      <c r="C2189" s="14" t="str">
        <f>IFERROR(__xludf.DUMMYFUNCTION("""COMPUTED_VALUE"""),"蔡汭靜")</f>
        <v>蔡汭靜</v>
      </c>
      <c r="D2189" s="16" t="str">
        <f>IFERROR(__xludf.DUMMYFUNCTION("""COMPUTED_VALUE"""),"nhe*****ail.edu.tw")</f>
        <v>nhe*****ail.edu.tw</v>
      </c>
      <c r="E2189" s="17" t="str">
        <f>IFERROR(__xludf.DUMMYFUNCTION("""COMPUTED_VALUE"""),"彰化縣立埤頭國民中學")</f>
        <v>彰化縣立埤頭國民中學</v>
      </c>
      <c r="F2189" s="14" t="str">
        <f>IFERROR(__xludf.DUMMYFUNCTION("""COMPUTED_VALUE"""),"八年級")</f>
        <v>八年級</v>
      </c>
      <c r="G2189" s="14" t="str">
        <f>IFERROR(__xludf.DUMMYFUNCTION("""COMPUTED_VALUE"""),"獎狀")</f>
        <v>獎狀</v>
      </c>
      <c r="H2189" s="8"/>
    </row>
    <row r="2190">
      <c r="A2190" s="18"/>
      <c r="B2190" s="14">
        <f>IFERROR(__xludf.DUMMYFUNCTION("""COMPUTED_VALUE"""),1191258.0)</f>
        <v>1191258</v>
      </c>
      <c r="C2190" s="14" t="str">
        <f>IFERROR(__xludf.DUMMYFUNCTION("""COMPUTED_VALUE"""),"蔡政諺")</f>
        <v>蔡政諺</v>
      </c>
      <c r="D2190" s="16" t="str">
        <f>IFERROR(__xludf.DUMMYFUNCTION("""COMPUTED_VALUE"""),"jer*****mail.edu.tw")</f>
        <v>jer*****mail.edu.tw</v>
      </c>
      <c r="E2190" s="17" t="str">
        <f>IFERROR(__xludf.DUMMYFUNCTION("""COMPUTED_VALUE"""),"彰化縣立埤頭國民中學")</f>
        <v>彰化縣立埤頭國民中學</v>
      </c>
      <c r="F2190" s="14" t="str">
        <f>IFERROR(__xludf.DUMMYFUNCTION("""COMPUTED_VALUE"""),"八年級")</f>
        <v>八年級</v>
      </c>
      <c r="G2190" s="14" t="str">
        <f>IFERROR(__xludf.DUMMYFUNCTION("""COMPUTED_VALUE"""),"獎狀")</f>
        <v>獎狀</v>
      </c>
      <c r="H2190" s="8"/>
    </row>
    <row r="2191">
      <c r="A2191" s="18"/>
      <c r="B2191" s="14">
        <f>IFERROR(__xludf.DUMMYFUNCTION("""COMPUTED_VALUE"""),979502.0)</f>
        <v>979502</v>
      </c>
      <c r="C2191" s="14" t="str">
        <f>IFERROR(__xludf.DUMMYFUNCTION("""COMPUTED_VALUE"""),"王孝榛")</f>
        <v>王孝榛</v>
      </c>
      <c r="D2191" s="16" t="str">
        <f>IFERROR(__xludf.DUMMYFUNCTION("""COMPUTED_VALUE"""),"jam*****mail.edu.tw")</f>
        <v>jam*****mail.edu.tw</v>
      </c>
      <c r="E2191" s="17" t="str">
        <f>IFERROR(__xludf.DUMMYFUNCTION("""COMPUTED_VALUE"""),"彰化縣立埤頭國民中學")</f>
        <v>彰化縣立埤頭國民中學</v>
      </c>
      <c r="F2191" s="14" t="str">
        <f>IFERROR(__xludf.DUMMYFUNCTION("""COMPUTED_VALUE"""),"八年級")</f>
        <v>八年級</v>
      </c>
      <c r="G2191" s="14" t="str">
        <f>IFERROR(__xludf.DUMMYFUNCTION("""COMPUTED_VALUE"""),"●小禮物")</f>
        <v>●小禮物</v>
      </c>
      <c r="H2191" s="8"/>
    </row>
    <row r="2192">
      <c r="A2192" s="18"/>
      <c r="B2192" s="14">
        <f>IFERROR(__xludf.DUMMYFUNCTION("""COMPUTED_VALUE"""),979451.0)</f>
        <v>979451</v>
      </c>
      <c r="C2192" s="14" t="str">
        <f>IFERROR(__xludf.DUMMYFUNCTION("""COMPUTED_VALUE"""),"蔡易辰")</f>
        <v>蔡易辰</v>
      </c>
      <c r="D2192" s="16" t="str">
        <f>IFERROR(__xludf.DUMMYFUNCTION("""COMPUTED_VALUE"""),"kop*****ail.edu.tw")</f>
        <v>kop*****ail.edu.tw</v>
      </c>
      <c r="E2192" s="17" t="str">
        <f>IFERROR(__xludf.DUMMYFUNCTION("""COMPUTED_VALUE"""),"彰化縣立埤頭國民中學")</f>
        <v>彰化縣立埤頭國民中學</v>
      </c>
      <c r="F2192" s="14" t="str">
        <f>IFERROR(__xludf.DUMMYFUNCTION("""COMPUTED_VALUE"""),"八年級")</f>
        <v>八年級</v>
      </c>
      <c r="G2192" s="14" t="str">
        <f>IFERROR(__xludf.DUMMYFUNCTION("""COMPUTED_VALUE"""),"●小禮物")</f>
        <v>●小禮物</v>
      </c>
      <c r="H2192" s="8"/>
    </row>
    <row r="2193">
      <c r="A2193" s="18"/>
      <c r="B2193" s="14">
        <f>IFERROR(__xludf.DUMMYFUNCTION("""COMPUTED_VALUE"""),979453.0)</f>
        <v>979453</v>
      </c>
      <c r="C2193" s="14" t="str">
        <f>IFERROR(__xludf.DUMMYFUNCTION("""COMPUTED_VALUE"""),"李正宇")</f>
        <v>李正宇</v>
      </c>
      <c r="D2193" s="16" t="str">
        <f>IFERROR(__xludf.DUMMYFUNCTION("""COMPUTED_VALUE"""),"che*****10@mail.edu.tw")</f>
        <v>che*****10@mail.edu.tw</v>
      </c>
      <c r="E2193" s="17" t="str">
        <f>IFERROR(__xludf.DUMMYFUNCTION("""COMPUTED_VALUE"""),"彰化縣立埤頭國民中學")</f>
        <v>彰化縣立埤頭國民中學</v>
      </c>
      <c r="F2193" s="14" t="str">
        <f>IFERROR(__xludf.DUMMYFUNCTION("""COMPUTED_VALUE"""),"八年級")</f>
        <v>八年級</v>
      </c>
      <c r="G2193" s="14" t="str">
        <f>IFERROR(__xludf.DUMMYFUNCTION("""COMPUTED_VALUE"""),"獎狀")</f>
        <v>獎狀</v>
      </c>
      <c r="H2193" s="8"/>
    </row>
    <row r="2194">
      <c r="A2194" s="18"/>
      <c r="B2194" s="14">
        <f>IFERROR(__xludf.DUMMYFUNCTION("""COMPUTED_VALUE"""),332266.0)</f>
        <v>332266</v>
      </c>
      <c r="C2194" s="14" t="str">
        <f>IFERROR(__xludf.DUMMYFUNCTION("""COMPUTED_VALUE"""),"張怡萱")</f>
        <v>張怡萱</v>
      </c>
      <c r="D2194" s="16" t="str">
        <f>IFERROR(__xludf.DUMMYFUNCTION("""COMPUTED_VALUE"""),"chc*****0413@mail.edu.tw")</f>
        <v>chc*****0413@mail.edu.tw</v>
      </c>
      <c r="E2194" s="17" t="str">
        <f>IFERROR(__xludf.DUMMYFUNCTION("""COMPUTED_VALUE"""),"彰化縣立埤頭國民中學")</f>
        <v>彰化縣立埤頭國民中學</v>
      </c>
      <c r="F2194" s="14" t="str">
        <f>IFERROR(__xludf.DUMMYFUNCTION("""COMPUTED_VALUE"""),"八年級")</f>
        <v>八年級</v>
      </c>
      <c r="G2194" s="14" t="str">
        <f>IFERROR(__xludf.DUMMYFUNCTION("""COMPUTED_VALUE"""),"●小禮物")</f>
        <v>●小禮物</v>
      </c>
      <c r="H2194" s="8"/>
    </row>
    <row r="2195">
      <c r="A2195" s="18"/>
      <c r="B2195" s="14">
        <f>IFERROR(__xludf.DUMMYFUNCTION("""COMPUTED_VALUE"""),955357.0)</f>
        <v>955357</v>
      </c>
      <c r="C2195" s="14" t="str">
        <f>IFERROR(__xludf.DUMMYFUNCTION("""COMPUTED_VALUE"""),"陳宥妤")</f>
        <v>陳宥妤</v>
      </c>
      <c r="D2195" s="16" t="str">
        <f>IFERROR(__xludf.DUMMYFUNCTION("""COMPUTED_VALUE"""),"u56*****ail.edu.tw")</f>
        <v>u56*****ail.edu.tw</v>
      </c>
      <c r="E2195" s="17" t="str">
        <f>IFERROR(__xludf.DUMMYFUNCTION("""COMPUTED_VALUE"""),"彰化縣立埤頭國民中學")</f>
        <v>彰化縣立埤頭國民中學</v>
      </c>
      <c r="F2195" s="14" t="str">
        <f>IFERROR(__xludf.DUMMYFUNCTION("""COMPUTED_VALUE"""),"八年級")</f>
        <v>八年級</v>
      </c>
      <c r="G2195" s="14" t="str">
        <f>IFERROR(__xludf.DUMMYFUNCTION("""COMPUTED_VALUE"""),"獎狀")</f>
        <v>獎狀</v>
      </c>
      <c r="H2195" s="8"/>
    </row>
    <row r="2196">
      <c r="A2196" s="18"/>
      <c r="B2196" s="14">
        <f>IFERROR(__xludf.DUMMYFUNCTION("""COMPUTED_VALUE"""),955377.0)</f>
        <v>955377</v>
      </c>
      <c r="C2196" s="14" t="str">
        <f>IFERROR(__xludf.DUMMYFUNCTION("""COMPUTED_VALUE"""),"陳璿元")</f>
        <v>陳璿元</v>
      </c>
      <c r="D2196" s="16" t="str">
        <f>IFERROR(__xludf.DUMMYFUNCTION("""COMPUTED_VALUE"""),"n54*****ail.edu.tw")</f>
        <v>n54*****ail.edu.tw</v>
      </c>
      <c r="E2196" s="17" t="str">
        <f>IFERROR(__xludf.DUMMYFUNCTION("""COMPUTED_VALUE"""),"彰化縣立埤頭國民中學")</f>
        <v>彰化縣立埤頭國民中學</v>
      </c>
      <c r="F2196" s="14" t="str">
        <f>IFERROR(__xludf.DUMMYFUNCTION("""COMPUTED_VALUE"""),"八年級")</f>
        <v>八年級</v>
      </c>
      <c r="G2196" s="14" t="str">
        <f>IFERROR(__xludf.DUMMYFUNCTION("""COMPUTED_VALUE"""),"獎狀")</f>
        <v>獎狀</v>
      </c>
      <c r="H2196" s="8"/>
    </row>
    <row r="2197">
      <c r="A2197" s="18"/>
      <c r="B2197" s="14">
        <f>IFERROR(__xludf.DUMMYFUNCTION("""COMPUTED_VALUE"""),629604.0)</f>
        <v>629604</v>
      </c>
      <c r="C2197" s="14" t="str">
        <f>IFERROR(__xludf.DUMMYFUNCTION("""COMPUTED_VALUE"""),"邱翊睿")</f>
        <v>邱翊睿</v>
      </c>
      <c r="D2197" s="16" t="str">
        <f>IFERROR(__xludf.DUMMYFUNCTION("""COMPUTED_VALUE"""),"chi*****i@mail.edu.tw")</f>
        <v>chi*****i@mail.edu.tw</v>
      </c>
      <c r="E2197" s="17" t="str">
        <f>IFERROR(__xludf.DUMMYFUNCTION("""COMPUTED_VALUE"""),"彰化縣立埤頭國民中學")</f>
        <v>彰化縣立埤頭國民中學</v>
      </c>
      <c r="F2197" s="14" t="str">
        <f>IFERROR(__xludf.DUMMYFUNCTION("""COMPUTED_VALUE"""),"八年級")</f>
        <v>八年級</v>
      </c>
      <c r="G2197" s="14" t="str">
        <f>IFERROR(__xludf.DUMMYFUNCTION("""COMPUTED_VALUE"""),"●小禮物")</f>
        <v>●小禮物</v>
      </c>
      <c r="H2197" s="8"/>
    </row>
    <row r="2198">
      <c r="A2198" s="18"/>
      <c r="B2198" s="14">
        <f>IFERROR(__xludf.DUMMYFUNCTION("""COMPUTED_VALUE"""),946067.0)</f>
        <v>946067</v>
      </c>
      <c r="C2198" s="14" t="str">
        <f>IFERROR(__xludf.DUMMYFUNCTION("""COMPUTED_VALUE"""),"陳韵甯")</f>
        <v>陳韵甯</v>
      </c>
      <c r="D2198" s="16" t="str">
        <f>IFERROR(__xludf.DUMMYFUNCTION("""COMPUTED_VALUE"""),"pt1*****@mail.edu.tw")</f>
        <v>pt1*****@mail.edu.tw</v>
      </c>
      <c r="E2198" s="17" t="str">
        <f>IFERROR(__xludf.DUMMYFUNCTION("""COMPUTED_VALUE"""),"彰化縣立埤頭國民中學")</f>
        <v>彰化縣立埤頭國民中學</v>
      </c>
      <c r="F2198" s="14" t="str">
        <f>IFERROR(__xludf.DUMMYFUNCTION("""COMPUTED_VALUE"""),"八年級")</f>
        <v>八年級</v>
      </c>
      <c r="G2198" s="14" t="str">
        <f>IFERROR(__xludf.DUMMYFUNCTION("""COMPUTED_VALUE"""),"●小禮物")</f>
        <v>●小禮物</v>
      </c>
      <c r="H2198" s="8"/>
    </row>
    <row r="2199">
      <c r="A2199" s="18"/>
      <c r="B2199" s="14">
        <f>IFERROR(__xludf.DUMMYFUNCTION("""COMPUTED_VALUE"""),543274.0)</f>
        <v>543274</v>
      </c>
      <c r="C2199" s="14" t="str">
        <f>IFERROR(__xludf.DUMMYFUNCTION("""COMPUTED_VALUE"""),"許皓程")</f>
        <v>許皓程</v>
      </c>
      <c r="D2199" s="16" t="str">
        <f>IFERROR(__xludf.DUMMYFUNCTION("""COMPUTED_VALUE"""),"ntk*****8@mail.edu.tw")</f>
        <v>ntk*****8@mail.edu.tw</v>
      </c>
      <c r="E2199" s="17" t="str">
        <f>IFERROR(__xludf.DUMMYFUNCTION("""COMPUTED_VALUE"""),"彰化縣立埤頭國民中學")</f>
        <v>彰化縣立埤頭國民中學</v>
      </c>
      <c r="F2199" s="14" t="str">
        <f>IFERROR(__xludf.DUMMYFUNCTION("""COMPUTED_VALUE"""),"九年級")</f>
        <v>九年級</v>
      </c>
      <c r="G2199" s="14" t="str">
        <f>IFERROR(__xludf.DUMMYFUNCTION("""COMPUTED_VALUE"""),"●小禮物")</f>
        <v>●小禮物</v>
      </c>
      <c r="H2199" s="8"/>
    </row>
    <row r="2200">
      <c r="A2200" s="18"/>
      <c r="B2200" s="14">
        <f>IFERROR(__xludf.DUMMYFUNCTION("""COMPUTED_VALUE"""),539079.0)</f>
        <v>539079</v>
      </c>
      <c r="C2200" s="14" t="str">
        <f>IFERROR(__xludf.DUMMYFUNCTION("""COMPUTED_VALUE"""),"廖珮棋")</f>
        <v>廖珮棋</v>
      </c>
      <c r="D2200" s="16" t="str">
        <f>IFERROR(__xludf.DUMMYFUNCTION("""COMPUTED_VALUE"""),"y32*****mail.edu.tw")</f>
        <v>y32*****mail.edu.tw</v>
      </c>
      <c r="E2200" s="17" t="str">
        <f>IFERROR(__xludf.DUMMYFUNCTION("""COMPUTED_VALUE"""),"彰化縣立埤頭國民中學")</f>
        <v>彰化縣立埤頭國民中學</v>
      </c>
      <c r="F2200" s="14" t="str">
        <f>IFERROR(__xludf.DUMMYFUNCTION("""COMPUTED_VALUE"""),"九年級")</f>
        <v>九年級</v>
      </c>
      <c r="G2200" s="14" t="str">
        <f>IFERROR(__xludf.DUMMYFUNCTION("""COMPUTED_VALUE"""),"獎狀")</f>
        <v>獎狀</v>
      </c>
      <c r="H2200" s="8"/>
    </row>
    <row r="2201">
      <c r="A2201" s="18"/>
      <c r="B2201" s="14">
        <f>IFERROR(__xludf.DUMMYFUNCTION("""COMPUTED_VALUE"""),539635.0)</f>
        <v>539635</v>
      </c>
      <c r="C2201" s="14" t="str">
        <f>IFERROR(__xludf.DUMMYFUNCTION("""COMPUTED_VALUE"""),"蔡羿辰")</f>
        <v>蔡羿辰</v>
      </c>
      <c r="D2201" s="16" t="str">
        <f>IFERROR(__xludf.DUMMYFUNCTION("""COMPUTED_VALUE"""),"ach*****005@mail.edu.tw")</f>
        <v>ach*****005@mail.edu.tw</v>
      </c>
      <c r="E2201" s="17" t="str">
        <f>IFERROR(__xludf.DUMMYFUNCTION("""COMPUTED_VALUE"""),"彰化縣立埤頭國民中學")</f>
        <v>彰化縣立埤頭國民中學</v>
      </c>
      <c r="F2201" s="14" t="str">
        <f>IFERROR(__xludf.DUMMYFUNCTION("""COMPUTED_VALUE"""),"九年級")</f>
        <v>九年級</v>
      </c>
      <c r="G2201" s="14" t="str">
        <f>IFERROR(__xludf.DUMMYFUNCTION("""COMPUTED_VALUE"""),"獎狀")</f>
        <v>獎狀</v>
      </c>
      <c r="H2201" s="8"/>
    </row>
    <row r="2202">
      <c r="A2202" s="18"/>
      <c r="B2202" s="14">
        <f>IFERROR(__xludf.DUMMYFUNCTION("""COMPUTED_VALUE"""),541397.0)</f>
        <v>541397</v>
      </c>
      <c r="C2202" s="14" t="str">
        <f>IFERROR(__xludf.DUMMYFUNCTION("""COMPUTED_VALUE"""),"王宥傑")</f>
        <v>王宥傑</v>
      </c>
      <c r="D2202" s="16" t="str">
        <f>IFERROR(__xludf.DUMMYFUNCTION("""COMPUTED_VALUE"""),"a60*****1@mail.edu.tw")</f>
        <v>a60*****1@mail.edu.tw</v>
      </c>
      <c r="E2202" s="17" t="str">
        <f>IFERROR(__xludf.DUMMYFUNCTION("""COMPUTED_VALUE"""),"彰化縣立埤頭國民中學")</f>
        <v>彰化縣立埤頭國民中學</v>
      </c>
      <c r="F2202" s="14" t="str">
        <f>IFERROR(__xludf.DUMMYFUNCTION("""COMPUTED_VALUE"""),"九年級")</f>
        <v>九年級</v>
      </c>
      <c r="G2202" s="14" t="str">
        <f>IFERROR(__xludf.DUMMYFUNCTION("""COMPUTED_VALUE"""),"●小禮物")</f>
        <v>●小禮物</v>
      </c>
      <c r="H2202" s="8"/>
    </row>
    <row r="2203">
      <c r="A2203" s="18"/>
      <c r="B2203" s="14">
        <f>IFERROR(__xludf.DUMMYFUNCTION("""COMPUTED_VALUE"""),539887.0)</f>
        <v>539887</v>
      </c>
      <c r="C2203" s="14" t="str">
        <f>IFERROR(__xludf.DUMMYFUNCTION("""COMPUTED_VALUE"""),"林言澤")</f>
        <v>林言澤</v>
      </c>
      <c r="D2203" s="16" t="str">
        <f>IFERROR(__xludf.DUMMYFUNCTION("""COMPUTED_VALUE"""),"kis*****578817@mail.edu.tw")</f>
        <v>kis*****578817@mail.edu.tw</v>
      </c>
      <c r="E2203" s="17" t="str">
        <f>IFERROR(__xludf.DUMMYFUNCTION("""COMPUTED_VALUE"""),"彰化縣立埤頭國民中學")</f>
        <v>彰化縣立埤頭國民中學</v>
      </c>
      <c r="F2203" s="14" t="str">
        <f>IFERROR(__xludf.DUMMYFUNCTION("""COMPUTED_VALUE"""),"九年級")</f>
        <v>九年級</v>
      </c>
      <c r="G2203" s="14" t="str">
        <f>IFERROR(__xludf.DUMMYFUNCTION("""COMPUTED_VALUE"""),"●小禮物")</f>
        <v>●小禮物</v>
      </c>
      <c r="H2203" s="8"/>
    </row>
    <row r="2204">
      <c r="A2204" s="18"/>
      <c r="B2204" s="14">
        <f>IFERROR(__xludf.DUMMYFUNCTION("""COMPUTED_VALUE"""),539589.0)</f>
        <v>539589</v>
      </c>
      <c r="C2204" s="14" t="str">
        <f>IFERROR(__xludf.DUMMYFUNCTION("""COMPUTED_VALUE"""),"邱于宸")</f>
        <v>邱于宸</v>
      </c>
      <c r="D2204" s="16" t="str">
        <f>IFERROR(__xludf.DUMMYFUNCTION("""COMPUTED_VALUE"""),"rk2*****mail.edu.tw")</f>
        <v>rk2*****mail.edu.tw</v>
      </c>
      <c r="E2204" s="17" t="str">
        <f>IFERROR(__xludf.DUMMYFUNCTION("""COMPUTED_VALUE"""),"彰化縣立埤頭國民中學")</f>
        <v>彰化縣立埤頭國民中學</v>
      </c>
      <c r="F2204" s="14" t="str">
        <f>IFERROR(__xludf.DUMMYFUNCTION("""COMPUTED_VALUE"""),"九年級")</f>
        <v>九年級</v>
      </c>
      <c r="G2204" s="14" t="str">
        <f>IFERROR(__xludf.DUMMYFUNCTION("""COMPUTED_VALUE"""),"●小禮物")</f>
        <v>●小禮物</v>
      </c>
      <c r="H2204" s="8"/>
    </row>
    <row r="2205">
      <c r="A2205" s="18"/>
      <c r="B2205" s="14">
        <f>IFERROR(__xludf.DUMMYFUNCTION("""COMPUTED_VALUE"""),539608.0)</f>
        <v>539608</v>
      </c>
      <c r="C2205" s="14" t="str">
        <f>IFERROR(__xludf.DUMMYFUNCTION("""COMPUTED_VALUE"""),"胡嘉倢")</f>
        <v>胡嘉倢</v>
      </c>
      <c r="D2205" s="16" t="str">
        <f>IFERROR(__xludf.DUMMYFUNCTION("""COMPUTED_VALUE"""),"ach*****024@mail.edu.tw")</f>
        <v>ach*****024@mail.edu.tw</v>
      </c>
      <c r="E2205" s="17" t="str">
        <f>IFERROR(__xludf.DUMMYFUNCTION("""COMPUTED_VALUE"""),"彰化縣立埤頭國民中學")</f>
        <v>彰化縣立埤頭國民中學</v>
      </c>
      <c r="F2205" s="14" t="str">
        <f>IFERROR(__xludf.DUMMYFUNCTION("""COMPUTED_VALUE"""),"九年級")</f>
        <v>九年級</v>
      </c>
      <c r="G2205" s="14" t="str">
        <f>IFERROR(__xludf.DUMMYFUNCTION("""COMPUTED_VALUE"""),"●小禮物")</f>
        <v>●小禮物</v>
      </c>
      <c r="H2205" s="8"/>
    </row>
    <row r="2206">
      <c r="A2206" s="18"/>
      <c r="B2206" s="14">
        <f>IFERROR(__xludf.DUMMYFUNCTION("""COMPUTED_VALUE"""),332494.0)</f>
        <v>332494</v>
      </c>
      <c r="C2206" s="14" t="str">
        <f>IFERROR(__xludf.DUMMYFUNCTION("""COMPUTED_VALUE"""),"張晏菱")</f>
        <v>張晏菱</v>
      </c>
      <c r="D2206" s="16" t="str">
        <f>IFERROR(__xludf.DUMMYFUNCTION("""COMPUTED_VALUE"""),"chc*****0317@mail.edu.tw")</f>
        <v>chc*****0317@mail.edu.tw</v>
      </c>
      <c r="E2206" s="17" t="str">
        <f>IFERROR(__xludf.DUMMYFUNCTION("""COMPUTED_VALUE"""),"彰化縣立埤頭國民中學")</f>
        <v>彰化縣立埤頭國民中學</v>
      </c>
      <c r="F2206" s="14" t="str">
        <f>IFERROR(__xludf.DUMMYFUNCTION("""COMPUTED_VALUE"""),"九年級")</f>
        <v>九年級</v>
      </c>
      <c r="G2206" s="14" t="str">
        <f>IFERROR(__xludf.DUMMYFUNCTION("""COMPUTED_VALUE"""),"●小禮物")</f>
        <v>●小禮物</v>
      </c>
      <c r="H2206" s="8"/>
    </row>
    <row r="2207">
      <c r="A2207" s="18"/>
      <c r="B2207" s="14">
        <f>IFERROR(__xludf.DUMMYFUNCTION("""COMPUTED_VALUE"""),540159.0)</f>
        <v>540159</v>
      </c>
      <c r="C2207" s="14" t="str">
        <f>IFERROR(__xludf.DUMMYFUNCTION("""COMPUTED_VALUE"""),"許泫錄")</f>
        <v>許泫錄</v>
      </c>
      <c r="D2207" s="16" t="str">
        <f>IFERROR(__xludf.DUMMYFUNCTION("""COMPUTED_VALUE"""),"n09*****560@mail.edu.tw")</f>
        <v>n09*****560@mail.edu.tw</v>
      </c>
      <c r="E2207" s="17" t="str">
        <f>IFERROR(__xludf.DUMMYFUNCTION("""COMPUTED_VALUE"""),"彰化縣立埤頭國民中學")</f>
        <v>彰化縣立埤頭國民中學</v>
      </c>
      <c r="F2207" s="14" t="str">
        <f>IFERROR(__xludf.DUMMYFUNCTION("""COMPUTED_VALUE"""),"九年級")</f>
        <v>九年級</v>
      </c>
      <c r="G2207" s="14" t="str">
        <f>IFERROR(__xludf.DUMMYFUNCTION("""COMPUTED_VALUE"""),"●小禮物")</f>
        <v>●小禮物</v>
      </c>
      <c r="H2207" s="8"/>
    </row>
    <row r="2208">
      <c r="A2208" s="18"/>
      <c r="B2208" s="14">
        <f>IFERROR(__xludf.DUMMYFUNCTION("""COMPUTED_VALUE"""),539563.0)</f>
        <v>539563</v>
      </c>
      <c r="C2208" s="14" t="str">
        <f>IFERROR(__xludf.DUMMYFUNCTION("""COMPUTED_VALUE"""),"許宣儀")</f>
        <v>許宣儀</v>
      </c>
      <c r="D2208" s="16" t="str">
        <f>IFERROR(__xludf.DUMMYFUNCTION("""COMPUTED_VALUE"""),"chc*****03037@mail.edu.tw")</f>
        <v>chc*****03037@mail.edu.tw</v>
      </c>
      <c r="E2208" s="17" t="str">
        <f>IFERROR(__xludf.DUMMYFUNCTION("""COMPUTED_VALUE"""),"彰化縣立埤頭國民中學")</f>
        <v>彰化縣立埤頭國民中學</v>
      </c>
      <c r="F2208" s="14" t="str">
        <f>IFERROR(__xludf.DUMMYFUNCTION("""COMPUTED_VALUE"""),"九年級")</f>
        <v>九年級</v>
      </c>
      <c r="G2208" s="14" t="str">
        <f>IFERROR(__xludf.DUMMYFUNCTION("""COMPUTED_VALUE"""),"●小禮物")</f>
        <v>●小禮物</v>
      </c>
      <c r="H2208" s="8"/>
    </row>
    <row r="2209">
      <c r="A2209" s="18"/>
      <c r="B2209" s="14">
        <f>IFERROR(__xludf.DUMMYFUNCTION("""COMPUTED_VALUE"""),539598.0)</f>
        <v>539598</v>
      </c>
      <c r="C2209" s="14" t="str">
        <f>IFERROR(__xludf.DUMMYFUNCTION("""COMPUTED_VALUE"""),"陳婕羽")</f>
        <v>陳婕羽</v>
      </c>
      <c r="D2209" s="16" t="str">
        <f>IFERROR(__xludf.DUMMYFUNCTION("""COMPUTED_VALUE"""),"a89*****@mail.edu.tw")</f>
        <v>a89*****@mail.edu.tw</v>
      </c>
      <c r="E2209" s="17" t="str">
        <f>IFERROR(__xludf.DUMMYFUNCTION("""COMPUTED_VALUE"""),"彰化縣立埤頭國民中學")</f>
        <v>彰化縣立埤頭國民中學</v>
      </c>
      <c r="F2209" s="14" t="str">
        <f>IFERROR(__xludf.DUMMYFUNCTION("""COMPUTED_VALUE"""),"九年級")</f>
        <v>九年級</v>
      </c>
      <c r="G2209" s="14" t="str">
        <f>IFERROR(__xludf.DUMMYFUNCTION("""COMPUTED_VALUE"""),"●小禮物")</f>
        <v>●小禮物</v>
      </c>
      <c r="H2209" s="8"/>
    </row>
    <row r="2210">
      <c r="A2210" s="18"/>
      <c r="B2210" s="14">
        <f>IFERROR(__xludf.DUMMYFUNCTION("""COMPUTED_VALUE"""),542207.0)</f>
        <v>542207</v>
      </c>
      <c r="C2210" s="14" t="str">
        <f>IFERROR(__xludf.DUMMYFUNCTION("""COMPUTED_VALUE"""),"劉紜含")</f>
        <v>劉紜含</v>
      </c>
      <c r="D2210" s="16" t="str">
        <f>IFERROR(__xludf.DUMMYFUNCTION("""COMPUTED_VALUE"""),"r89*****@mail.edu.tw")</f>
        <v>r89*****@mail.edu.tw</v>
      </c>
      <c r="E2210" s="17" t="str">
        <f>IFERROR(__xludf.DUMMYFUNCTION("""COMPUTED_VALUE"""),"彰化縣立埤頭國民中學")</f>
        <v>彰化縣立埤頭國民中學</v>
      </c>
      <c r="F2210" s="14" t="str">
        <f>IFERROR(__xludf.DUMMYFUNCTION("""COMPUTED_VALUE"""),"九年級")</f>
        <v>九年級</v>
      </c>
      <c r="G2210" s="14" t="str">
        <f>IFERROR(__xludf.DUMMYFUNCTION("""COMPUTED_VALUE"""),"●小禮物")</f>
        <v>●小禮物</v>
      </c>
      <c r="H2210" s="8"/>
    </row>
    <row r="2211">
      <c r="A2211" s="18"/>
      <c r="B2211" s="14">
        <f>IFERROR(__xludf.DUMMYFUNCTION("""COMPUTED_VALUE"""),539695.0)</f>
        <v>539695</v>
      </c>
      <c r="C2211" s="14" t="str">
        <f>IFERROR(__xludf.DUMMYFUNCTION("""COMPUTED_VALUE"""),"謝明興")</f>
        <v>謝明興</v>
      </c>
      <c r="D2211" s="16" t="str">
        <f>IFERROR(__xludf.DUMMYFUNCTION("""COMPUTED_VALUE"""),"dah*****1@mail.edu.tw")</f>
        <v>dah*****1@mail.edu.tw</v>
      </c>
      <c r="E2211" s="17" t="str">
        <f>IFERROR(__xludf.DUMMYFUNCTION("""COMPUTED_VALUE"""),"彰化縣立埤頭國民中學")</f>
        <v>彰化縣立埤頭國民中學</v>
      </c>
      <c r="F2211" s="14" t="str">
        <f>IFERROR(__xludf.DUMMYFUNCTION("""COMPUTED_VALUE"""),"九年級")</f>
        <v>九年級</v>
      </c>
      <c r="G2211" s="14" t="str">
        <f>IFERROR(__xludf.DUMMYFUNCTION("""COMPUTED_VALUE"""),"●小禮物")</f>
        <v>●小禮物</v>
      </c>
      <c r="H2211" s="8"/>
    </row>
    <row r="2212">
      <c r="A2212" s="18"/>
      <c r="B2212" s="14">
        <f>IFERROR(__xludf.DUMMYFUNCTION("""COMPUTED_VALUE"""),539804.0)</f>
        <v>539804</v>
      </c>
      <c r="C2212" s="14" t="str">
        <f>IFERROR(__xludf.DUMMYFUNCTION("""COMPUTED_VALUE"""),"羅允成")</f>
        <v>羅允成</v>
      </c>
      <c r="D2212" s="16" t="str">
        <f>IFERROR(__xludf.DUMMYFUNCTION("""COMPUTED_VALUE"""),"dah*****3@mail.edu.tw")</f>
        <v>dah*****3@mail.edu.tw</v>
      </c>
      <c r="E2212" s="17" t="str">
        <f>IFERROR(__xludf.DUMMYFUNCTION("""COMPUTED_VALUE"""),"彰化縣立埤頭國民中學")</f>
        <v>彰化縣立埤頭國民中學</v>
      </c>
      <c r="F2212" s="14" t="str">
        <f>IFERROR(__xludf.DUMMYFUNCTION("""COMPUTED_VALUE"""),"九年級")</f>
        <v>九年級</v>
      </c>
      <c r="G2212" s="14" t="str">
        <f>IFERROR(__xludf.DUMMYFUNCTION("""COMPUTED_VALUE"""),"●小禮物")</f>
        <v>●小禮物</v>
      </c>
      <c r="H2212" s="8"/>
    </row>
    <row r="2213">
      <c r="A2213" s="18"/>
      <c r="B2213" s="14">
        <f>IFERROR(__xludf.DUMMYFUNCTION("""COMPUTED_VALUE"""),543271.0)</f>
        <v>543271</v>
      </c>
      <c r="C2213" s="14" t="str">
        <f>IFERROR(__xludf.DUMMYFUNCTION("""COMPUTED_VALUE"""),"鐘若芳")</f>
        <v>鐘若芳</v>
      </c>
      <c r="D2213" s="16" t="str">
        <f>IFERROR(__xludf.DUMMYFUNCTION("""COMPUTED_VALUE"""),"fan*****6.ff@mail.edu.tw")</f>
        <v>fan*****6.ff@mail.edu.tw</v>
      </c>
      <c r="E2213" s="17" t="str">
        <f>IFERROR(__xludf.DUMMYFUNCTION("""COMPUTED_VALUE"""),"彰化縣立埤頭國民中學")</f>
        <v>彰化縣立埤頭國民中學</v>
      </c>
      <c r="F2213" s="14" t="str">
        <f>IFERROR(__xludf.DUMMYFUNCTION("""COMPUTED_VALUE"""),"九年級")</f>
        <v>九年級</v>
      </c>
      <c r="G2213" s="14" t="str">
        <f>IFERROR(__xludf.DUMMYFUNCTION("""COMPUTED_VALUE"""),"●小禮物")</f>
        <v>●小禮物</v>
      </c>
      <c r="H2213" s="8"/>
    </row>
    <row r="2214">
      <c r="A2214" s="18"/>
      <c r="B2214" s="14">
        <f>IFERROR(__xludf.DUMMYFUNCTION("""COMPUTED_VALUE"""),539737.0)</f>
        <v>539737</v>
      </c>
      <c r="C2214" s="14" t="str">
        <f>IFERROR(__xludf.DUMMYFUNCTION("""COMPUTED_VALUE"""),"方益堂")</f>
        <v>方益堂</v>
      </c>
      <c r="D2214" s="16" t="str">
        <f>IFERROR(__xludf.DUMMYFUNCTION("""COMPUTED_VALUE"""),"ham*****11@mail.edu.tw")</f>
        <v>ham*****11@mail.edu.tw</v>
      </c>
      <c r="E2214" s="17" t="str">
        <f>IFERROR(__xludf.DUMMYFUNCTION("""COMPUTED_VALUE"""),"彰化縣立埤頭國民中學")</f>
        <v>彰化縣立埤頭國民中學</v>
      </c>
      <c r="F2214" s="14" t="str">
        <f>IFERROR(__xludf.DUMMYFUNCTION("""COMPUTED_VALUE"""),"九年級")</f>
        <v>九年級</v>
      </c>
      <c r="G2214" s="14" t="str">
        <f>IFERROR(__xludf.DUMMYFUNCTION("""COMPUTED_VALUE"""),"獎狀")</f>
        <v>獎狀</v>
      </c>
      <c r="H2214" s="8"/>
    </row>
    <row r="2215">
      <c r="A2215" s="18"/>
      <c r="B2215" s="14">
        <f>IFERROR(__xludf.DUMMYFUNCTION("""COMPUTED_VALUE"""),542194.0)</f>
        <v>542194</v>
      </c>
      <c r="C2215" s="14" t="str">
        <f>IFERROR(__xludf.DUMMYFUNCTION("""COMPUTED_VALUE"""),"江建霖")</f>
        <v>江建霖</v>
      </c>
      <c r="D2215" s="16" t="str">
        <f>IFERROR(__xludf.DUMMYFUNCTION("""COMPUTED_VALUE"""),"chi*****ienlin@mail.edu.tw")</f>
        <v>chi*****ienlin@mail.edu.tw</v>
      </c>
      <c r="E2215" s="17" t="str">
        <f>IFERROR(__xludf.DUMMYFUNCTION("""COMPUTED_VALUE"""),"彰化縣立埤頭國民中學")</f>
        <v>彰化縣立埤頭國民中學</v>
      </c>
      <c r="F2215" s="14" t="str">
        <f>IFERROR(__xludf.DUMMYFUNCTION("""COMPUTED_VALUE"""),"九年級")</f>
        <v>九年級</v>
      </c>
      <c r="G2215" s="14" t="str">
        <f>IFERROR(__xludf.DUMMYFUNCTION("""COMPUTED_VALUE"""),"獎狀")</f>
        <v>獎狀</v>
      </c>
      <c r="H2215" s="8"/>
    </row>
    <row r="2216">
      <c r="A2216" s="18"/>
      <c r="B2216" s="14">
        <f>IFERROR(__xludf.DUMMYFUNCTION("""COMPUTED_VALUE"""),866680.0)</f>
        <v>866680</v>
      </c>
      <c r="C2216" s="14" t="str">
        <f>IFERROR(__xludf.DUMMYFUNCTION("""COMPUTED_VALUE"""),"吳振瑋")</f>
        <v>吳振瑋</v>
      </c>
      <c r="D2216" s="16" t="str">
        <f>IFERROR(__xludf.DUMMYFUNCTION("""COMPUTED_VALUE"""),"chc*****6@mail.edu.tw")</f>
        <v>chc*****6@mail.edu.tw</v>
      </c>
      <c r="E2216" s="17" t="str">
        <f>IFERROR(__xludf.DUMMYFUNCTION("""COMPUTED_VALUE"""),"彰化縣立埤頭國民中學")</f>
        <v>彰化縣立埤頭國民中學</v>
      </c>
      <c r="F2216" s="14" t="str">
        <f>IFERROR(__xludf.DUMMYFUNCTION("""COMPUTED_VALUE"""),"九年級")</f>
        <v>九年級</v>
      </c>
      <c r="G2216" s="14" t="str">
        <f>IFERROR(__xludf.DUMMYFUNCTION("""COMPUTED_VALUE"""),"獎狀")</f>
        <v>獎狀</v>
      </c>
      <c r="H2216" s="8"/>
    </row>
    <row r="2217">
      <c r="A2217" s="18"/>
      <c r="B2217" s="14">
        <f>IFERROR(__xludf.DUMMYFUNCTION("""COMPUTED_VALUE"""),542222.0)</f>
        <v>542222</v>
      </c>
      <c r="C2217" s="14" t="str">
        <f>IFERROR(__xludf.DUMMYFUNCTION("""COMPUTED_VALUE"""),"徐菀璘")</f>
        <v>徐菀璘</v>
      </c>
      <c r="D2217" s="16" t="str">
        <f>IFERROR(__xludf.DUMMYFUNCTION("""COMPUTED_VALUE"""),"chc*****3029@mail.edu.tw")</f>
        <v>chc*****3029@mail.edu.tw</v>
      </c>
      <c r="E2217" s="17" t="str">
        <f>IFERROR(__xludf.DUMMYFUNCTION("""COMPUTED_VALUE"""),"彰化縣立埤頭國民中學")</f>
        <v>彰化縣立埤頭國民中學</v>
      </c>
      <c r="F2217" s="14" t="str">
        <f>IFERROR(__xludf.DUMMYFUNCTION("""COMPUTED_VALUE"""),"九年級")</f>
        <v>九年級</v>
      </c>
      <c r="G2217" s="14" t="str">
        <f>IFERROR(__xludf.DUMMYFUNCTION("""COMPUTED_VALUE"""),"獎狀")</f>
        <v>獎狀</v>
      </c>
      <c r="H2217" s="8"/>
    </row>
    <row r="2218">
      <c r="A2218" s="18"/>
      <c r="B2218" s="14">
        <f>IFERROR(__xludf.DUMMYFUNCTION("""COMPUTED_VALUE"""),539658.0)</f>
        <v>539658</v>
      </c>
      <c r="C2218" s="14" t="str">
        <f>IFERROR(__xludf.DUMMYFUNCTION("""COMPUTED_VALUE"""),"許芫睿")</f>
        <v>許芫睿</v>
      </c>
      <c r="D2218" s="16" t="str">
        <f>IFERROR(__xludf.DUMMYFUNCTION("""COMPUTED_VALUE"""),"egg*****03022@mail.edu.tw")</f>
        <v>egg*****03022@mail.edu.tw</v>
      </c>
      <c r="E2218" s="17" t="str">
        <f>IFERROR(__xludf.DUMMYFUNCTION("""COMPUTED_VALUE"""),"彰化縣立埤頭國民中學")</f>
        <v>彰化縣立埤頭國民中學</v>
      </c>
      <c r="F2218" s="14" t="str">
        <f>IFERROR(__xludf.DUMMYFUNCTION("""COMPUTED_VALUE"""),"九年級")</f>
        <v>九年級</v>
      </c>
      <c r="G2218" s="14" t="str">
        <f>IFERROR(__xludf.DUMMYFUNCTION("""COMPUTED_VALUE"""),"獎狀")</f>
        <v>獎狀</v>
      </c>
      <c r="H2218" s="8"/>
    </row>
    <row r="2219">
      <c r="A2219" s="18"/>
      <c r="B2219" s="14">
        <f>IFERROR(__xludf.DUMMYFUNCTION("""COMPUTED_VALUE"""),542786.0)</f>
        <v>542786</v>
      </c>
      <c r="C2219" s="14" t="str">
        <f>IFERROR(__xludf.DUMMYFUNCTION("""COMPUTED_VALUE"""),"許庭嘉")</f>
        <v>許庭嘉</v>
      </c>
      <c r="D2219" s="16" t="str">
        <f>IFERROR(__xludf.DUMMYFUNCTION("""COMPUTED_VALUE"""),"a22*****07@mail.edu.tw")</f>
        <v>a22*****07@mail.edu.tw</v>
      </c>
      <c r="E2219" s="17" t="str">
        <f>IFERROR(__xludf.DUMMYFUNCTION("""COMPUTED_VALUE"""),"彰化縣立埤頭國民中學")</f>
        <v>彰化縣立埤頭國民中學</v>
      </c>
      <c r="F2219" s="14" t="str">
        <f>IFERROR(__xludf.DUMMYFUNCTION("""COMPUTED_VALUE"""),"九年級")</f>
        <v>九年級</v>
      </c>
      <c r="G2219" s="14" t="str">
        <f>IFERROR(__xludf.DUMMYFUNCTION("""COMPUTED_VALUE"""),"獎狀")</f>
        <v>獎狀</v>
      </c>
      <c r="H2219" s="8"/>
    </row>
    <row r="2220">
      <c r="A2220" s="18"/>
      <c r="B2220" s="14">
        <f>IFERROR(__xludf.DUMMYFUNCTION("""COMPUTED_VALUE"""),536622.0)</f>
        <v>536622</v>
      </c>
      <c r="C2220" s="14" t="str">
        <f>IFERROR(__xludf.DUMMYFUNCTION("""COMPUTED_VALUE"""),"陳村庠")</f>
        <v>陳村庠</v>
      </c>
      <c r="D2220" s="16" t="str">
        <f>IFERROR(__xludf.DUMMYFUNCTION("""COMPUTED_VALUE"""),"che*****hsiang@mail.edu.tw")</f>
        <v>che*****hsiang@mail.edu.tw</v>
      </c>
      <c r="E2220" s="17" t="str">
        <f>IFERROR(__xludf.DUMMYFUNCTION("""COMPUTED_VALUE"""),"彰化縣立埤頭國民中學")</f>
        <v>彰化縣立埤頭國民中學</v>
      </c>
      <c r="F2220" s="14" t="str">
        <f>IFERROR(__xludf.DUMMYFUNCTION("""COMPUTED_VALUE"""),"九年級")</f>
        <v>九年級</v>
      </c>
      <c r="G2220" s="14" t="str">
        <f>IFERROR(__xludf.DUMMYFUNCTION("""COMPUTED_VALUE"""),"獎狀")</f>
        <v>獎狀</v>
      </c>
      <c r="H2220" s="8"/>
    </row>
    <row r="2221">
      <c r="A2221" s="18"/>
      <c r="B2221" s="14">
        <f>IFERROR(__xludf.DUMMYFUNCTION("""COMPUTED_VALUE"""),541391.0)</f>
        <v>541391</v>
      </c>
      <c r="C2221" s="14" t="str">
        <f>IFERROR(__xludf.DUMMYFUNCTION("""COMPUTED_VALUE"""),"陳英欽")</f>
        <v>陳英欽</v>
      </c>
      <c r="D2221" s="16" t="str">
        <f>IFERROR(__xludf.DUMMYFUNCTION("""COMPUTED_VALUE"""),"a89*****@mail.edu.tw")</f>
        <v>a89*****@mail.edu.tw</v>
      </c>
      <c r="E2221" s="17" t="str">
        <f>IFERROR(__xludf.DUMMYFUNCTION("""COMPUTED_VALUE"""),"彰化縣立埤頭國民中學")</f>
        <v>彰化縣立埤頭國民中學</v>
      </c>
      <c r="F2221" s="14" t="str">
        <f>IFERROR(__xludf.DUMMYFUNCTION("""COMPUTED_VALUE"""),"九年級")</f>
        <v>九年級</v>
      </c>
      <c r="G2221" s="14" t="str">
        <f>IFERROR(__xludf.DUMMYFUNCTION("""COMPUTED_VALUE"""),"獎狀")</f>
        <v>獎狀</v>
      </c>
      <c r="H2221" s="8"/>
    </row>
    <row r="2222">
      <c r="A2222" s="18"/>
      <c r="B2222" s="14">
        <f>IFERROR(__xludf.DUMMYFUNCTION("""COMPUTED_VALUE"""),332480.0)</f>
        <v>332480</v>
      </c>
      <c r="C2222" s="14" t="str">
        <f>IFERROR(__xludf.DUMMYFUNCTION("""COMPUTED_VALUE"""),"黃毓鈞")</f>
        <v>黃毓鈞</v>
      </c>
      <c r="D2222" s="16" t="str">
        <f>IFERROR(__xludf.DUMMYFUNCTION("""COMPUTED_VALUE"""),"chc*****0313@mail.edu.tw")</f>
        <v>chc*****0313@mail.edu.tw</v>
      </c>
      <c r="E2222" s="17" t="str">
        <f>IFERROR(__xludf.DUMMYFUNCTION("""COMPUTED_VALUE"""),"彰化縣立埤頭國民中學")</f>
        <v>彰化縣立埤頭國民中學</v>
      </c>
      <c r="F2222" s="14" t="str">
        <f>IFERROR(__xludf.DUMMYFUNCTION("""COMPUTED_VALUE"""),"九年級")</f>
        <v>九年級</v>
      </c>
      <c r="G2222" s="14" t="str">
        <f>IFERROR(__xludf.DUMMYFUNCTION("""COMPUTED_VALUE"""),"獎狀")</f>
        <v>獎狀</v>
      </c>
      <c r="H2222" s="8"/>
    </row>
    <row r="2223">
      <c r="A2223" s="18"/>
      <c r="B2223" s="14">
        <f>IFERROR(__xludf.DUMMYFUNCTION("""COMPUTED_VALUE"""),539033.0)</f>
        <v>539033</v>
      </c>
      <c r="C2223" s="14" t="str">
        <f>IFERROR(__xludf.DUMMYFUNCTION("""COMPUTED_VALUE"""),"薛棨文")</f>
        <v>薛棨文</v>
      </c>
      <c r="D2223" s="16" t="str">
        <f>IFERROR(__xludf.DUMMYFUNCTION("""COMPUTED_VALUE"""),"a87*****561@mail.edu.tw")</f>
        <v>a87*****561@mail.edu.tw</v>
      </c>
      <c r="E2223" s="17" t="str">
        <f>IFERROR(__xludf.DUMMYFUNCTION("""COMPUTED_VALUE"""),"彰化縣立埤頭國民中學")</f>
        <v>彰化縣立埤頭國民中學</v>
      </c>
      <c r="F2223" s="14" t="str">
        <f>IFERROR(__xludf.DUMMYFUNCTION("""COMPUTED_VALUE"""),"九年級")</f>
        <v>九年級</v>
      </c>
      <c r="G2223" s="14" t="str">
        <f>IFERROR(__xludf.DUMMYFUNCTION("""COMPUTED_VALUE"""),"獎狀")</f>
        <v>獎狀</v>
      </c>
      <c r="H2223" s="8"/>
    </row>
    <row r="2224">
      <c r="A2224" s="18"/>
      <c r="B2224" s="14">
        <f>IFERROR(__xludf.DUMMYFUNCTION("""COMPUTED_VALUE"""),536646.0)</f>
        <v>536646</v>
      </c>
      <c r="C2224" s="14" t="str">
        <f>IFERROR(__xludf.DUMMYFUNCTION("""COMPUTED_VALUE"""),"顏廷叡")</f>
        <v>顏廷叡</v>
      </c>
      <c r="D2224" s="16" t="str">
        <f>IFERROR(__xludf.DUMMYFUNCTION("""COMPUTED_VALUE"""),"ora*****03033@chc.edu.tw")</f>
        <v>ora*****03033@chc.edu.tw</v>
      </c>
      <c r="E2224" s="17" t="str">
        <f>IFERROR(__xludf.DUMMYFUNCTION("""COMPUTED_VALUE"""),"彰化縣立埤頭國民中學")</f>
        <v>彰化縣立埤頭國民中學</v>
      </c>
      <c r="F2224" s="14" t="str">
        <f>IFERROR(__xludf.DUMMYFUNCTION("""COMPUTED_VALUE"""),"九年級")</f>
        <v>九年級</v>
      </c>
      <c r="G2224" s="14" t="str">
        <f>IFERROR(__xludf.DUMMYFUNCTION("""COMPUTED_VALUE"""),"獎狀")</f>
        <v>獎狀</v>
      </c>
      <c r="H2224" s="8"/>
    </row>
    <row r="2225">
      <c r="A2225" s="18"/>
      <c r="B2225" s="14">
        <f>IFERROR(__xludf.DUMMYFUNCTION("""COMPUTED_VALUE"""),814538.0)</f>
        <v>814538</v>
      </c>
      <c r="C2225" s="14" t="str">
        <f>IFERROR(__xludf.DUMMYFUNCTION("""COMPUTED_VALUE"""),"廖將岑")</f>
        <v>廖將岑</v>
      </c>
      <c r="D2225" s="16" t="str">
        <f>IFERROR(__xludf.DUMMYFUNCTION("""COMPUTED_VALUE"""),"nj1*****mail.edu.tw")</f>
        <v>nj1*****mail.edu.tw</v>
      </c>
      <c r="E2225" s="17" t="str">
        <f>IFERROR(__xludf.DUMMYFUNCTION("""COMPUTED_VALUE"""),"彰化縣立溪州國民中學")</f>
        <v>彰化縣立溪州國民中學</v>
      </c>
      <c r="F2225" s="14" t="str">
        <f>IFERROR(__xludf.DUMMYFUNCTION("""COMPUTED_VALUE"""),"七年級")</f>
        <v>七年級</v>
      </c>
      <c r="G2225" s="14" t="str">
        <f>IFERROR(__xludf.DUMMYFUNCTION("""COMPUTED_VALUE"""),"●小禮物")</f>
        <v>●小禮物</v>
      </c>
      <c r="H2225" s="8"/>
    </row>
    <row r="2226">
      <c r="A2226" s="18"/>
      <c r="B2226" s="14">
        <f>IFERROR(__xludf.DUMMYFUNCTION("""COMPUTED_VALUE"""),449835.0)</f>
        <v>449835</v>
      </c>
      <c r="C2226" s="14" t="str">
        <f>IFERROR(__xludf.DUMMYFUNCTION("""COMPUTED_VALUE"""),"黄擷安")</f>
        <v>黄擷安</v>
      </c>
      <c r="D2226" s="16" t="str">
        <f>IFERROR(__xludf.DUMMYFUNCTION("""COMPUTED_VALUE"""),"ccp*****3@mail.edu.tw")</f>
        <v>ccp*****3@mail.edu.tw</v>
      </c>
      <c r="E2226" s="17" t="str">
        <f>IFERROR(__xludf.DUMMYFUNCTION("""COMPUTED_VALUE"""),"彰化縣立竹塘國民中學")</f>
        <v>彰化縣立竹塘國民中學</v>
      </c>
      <c r="F2226" s="14" t="str">
        <f>IFERROR(__xludf.DUMMYFUNCTION("""COMPUTED_VALUE"""),"七年級")</f>
        <v>七年級</v>
      </c>
      <c r="G2226" s="14" t="str">
        <f>IFERROR(__xludf.DUMMYFUNCTION("""COMPUTED_VALUE"""),"獎狀")</f>
        <v>獎狀</v>
      </c>
      <c r="H2226" s="8"/>
    </row>
    <row r="2227">
      <c r="A2227" s="18"/>
      <c r="B2227" s="14">
        <f>IFERROR(__xludf.DUMMYFUNCTION("""COMPUTED_VALUE"""),462564.0)</f>
        <v>462564</v>
      </c>
      <c r="C2227" s="14" t="str">
        <f>IFERROR(__xludf.DUMMYFUNCTION("""COMPUTED_VALUE"""),"江秉錄")</f>
        <v>江秉錄</v>
      </c>
      <c r="D2227" s="16" t="str">
        <f>IFERROR(__xludf.DUMMYFUNCTION("""COMPUTED_VALUE"""),"n51*****g@yahoo.com.tw")</f>
        <v>n51*****g@yahoo.com.tw</v>
      </c>
      <c r="E2227" s="17" t="str">
        <f>IFERROR(__xludf.DUMMYFUNCTION("""COMPUTED_VALUE"""),"彰化縣立竹塘國民中學")</f>
        <v>彰化縣立竹塘國民中學</v>
      </c>
      <c r="F2227" s="14" t="str">
        <f>IFERROR(__xludf.DUMMYFUNCTION("""COMPUTED_VALUE"""),"七年級")</f>
        <v>七年級</v>
      </c>
      <c r="G2227" s="14" t="str">
        <f>IFERROR(__xludf.DUMMYFUNCTION("""COMPUTED_VALUE"""),"獎狀")</f>
        <v>獎狀</v>
      </c>
      <c r="H2227" s="8"/>
    </row>
    <row r="2228">
      <c r="A2228" s="18"/>
      <c r="B2228" s="14">
        <f>IFERROR(__xludf.DUMMYFUNCTION("""COMPUTED_VALUE"""),456652.0)</f>
        <v>456652</v>
      </c>
      <c r="C2228" s="14" t="str">
        <f>IFERROR(__xludf.DUMMYFUNCTION("""COMPUTED_VALUE"""),"黄擷如")</f>
        <v>黄擷如</v>
      </c>
      <c r="D2228" s="16" t="str">
        <f>IFERROR(__xludf.DUMMYFUNCTION("""COMPUTED_VALUE"""),"ccp*****6@mail.edu.tw")</f>
        <v>ccp*****6@mail.edu.tw</v>
      </c>
      <c r="E2228" s="17" t="str">
        <f>IFERROR(__xludf.DUMMYFUNCTION("""COMPUTED_VALUE"""),"彰化縣立竹塘國民中學")</f>
        <v>彰化縣立竹塘國民中學</v>
      </c>
      <c r="F2228" s="14" t="str">
        <f>IFERROR(__xludf.DUMMYFUNCTION("""COMPUTED_VALUE"""),"七年級")</f>
        <v>七年級</v>
      </c>
      <c r="G2228" s="14" t="str">
        <f>IFERROR(__xludf.DUMMYFUNCTION("""COMPUTED_VALUE"""),"獎狀")</f>
        <v>獎狀</v>
      </c>
      <c r="H2228" s="8"/>
    </row>
    <row r="2229">
      <c r="A2229" s="18"/>
      <c r="B2229" s="14">
        <f>IFERROR(__xludf.DUMMYFUNCTION("""COMPUTED_VALUE"""),392988.0)</f>
        <v>392988</v>
      </c>
      <c r="C2229" s="14" t="str">
        <f>IFERROR(__xludf.DUMMYFUNCTION("""COMPUTED_VALUE"""),"周奇寬")</f>
        <v>周奇寬</v>
      </c>
      <c r="D2229" s="16" t="str">
        <f>IFERROR(__xludf.DUMMYFUNCTION("""COMPUTED_VALUE"""),"sst*****04@mail.edu.tw")</f>
        <v>sst*****04@mail.edu.tw</v>
      </c>
      <c r="E2229" s="17" t="str">
        <f>IFERROR(__xludf.DUMMYFUNCTION("""COMPUTED_VALUE"""),"彰化縣立二林高級中學附設國中部")</f>
        <v>彰化縣立二林高級中學附設國中部</v>
      </c>
      <c r="F2229" s="14" t="str">
        <f>IFERROR(__xludf.DUMMYFUNCTION("""COMPUTED_VALUE"""),"七年級")</f>
        <v>七年級</v>
      </c>
      <c r="G2229" s="14" t="str">
        <f>IFERROR(__xludf.DUMMYFUNCTION("""COMPUTED_VALUE"""),"●小禮物")</f>
        <v>●小禮物</v>
      </c>
      <c r="H2229" s="8"/>
    </row>
    <row r="2230">
      <c r="A2230" s="18"/>
      <c r="B2230" s="14">
        <f>IFERROR(__xludf.DUMMYFUNCTION("""COMPUTED_VALUE"""),403596.0)</f>
        <v>403596</v>
      </c>
      <c r="C2230" s="14" t="str">
        <f>IFERROR(__xludf.DUMMYFUNCTION("""COMPUTED_VALUE"""),"鐘苡榕")</f>
        <v>鐘苡榕</v>
      </c>
      <c r="D2230" s="16" t="str">
        <f>IFERROR(__xludf.DUMMYFUNCTION("""COMPUTED_VALUE"""),"she*****11@mail.edu.tw")</f>
        <v>she*****11@mail.edu.tw</v>
      </c>
      <c r="E2230" s="17" t="str">
        <f>IFERROR(__xludf.DUMMYFUNCTION("""COMPUTED_VALUE"""),"彰化縣立二林高級中學附設國中部")</f>
        <v>彰化縣立二林高級中學附設國中部</v>
      </c>
      <c r="F2230" s="14" t="str">
        <f>IFERROR(__xludf.DUMMYFUNCTION("""COMPUTED_VALUE"""),"七年級")</f>
        <v>七年級</v>
      </c>
      <c r="G2230" s="14" t="str">
        <f>IFERROR(__xludf.DUMMYFUNCTION("""COMPUTED_VALUE"""),"●小禮物")</f>
        <v>●小禮物</v>
      </c>
      <c r="H2230" s="8"/>
    </row>
    <row r="2231">
      <c r="A2231" s="18"/>
      <c r="B2231" s="14">
        <f>IFERROR(__xludf.DUMMYFUNCTION("""COMPUTED_VALUE"""),798737.0)</f>
        <v>798737</v>
      </c>
      <c r="C2231" s="14" t="str">
        <f>IFERROR(__xludf.DUMMYFUNCTION("""COMPUTED_VALUE"""),"李芷靚")</f>
        <v>李芷靚</v>
      </c>
      <c r="D2231" s="16" t="str">
        <f>IFERROR(__xludf.DUMMYFUNCTION("""COMPUTED_VALUE"""),"ccp*****2@mail.edu.tw")</f>
        <v>ccp*****2@mail.edu.tw</v>
      </c>
      <c r="E2231" s="17" t="str">
        <f>IFERROR(__xludf.DUMMYFUNCTION("""COMPUTED_VALUE"""),"彰化縣立二林高級中學附設國中部")</f>
        <v>彰化縣立二林高級中學附設國中部</v>
      </c>
      <c r="F2231" s="14" t="str">
        <f>IFERROR(__xludf.DUMMYFUNCTION("""COMPUTED_VALUE"""),"七年級")</f>
        <v>七年級</v>
      </c>
      <c r="G2231" s="14" t="str">
        <f>IFERROR(__xludf.DUMMYFUNCTION("""COMPUTED_VALUE"""),"獎狀")</f>
        <v>獎狀</v>
      </c>
      <c r="H2231" s="8"/>
    </row>
    <row r="2232">
      <c r="A2232" s="18"/>
      <c r="B2232" s="14">
        <f>IFERROR(__xludf.DUMMYFUNCTION("""COMPUTED_VALUE"""),1106737.0)</f>
        <v>1106737</v>
      </c>
      <c r="C2232" s="14" t="str">
        <f>IFERROR(__xludf.DUMMYFUNCTION("""COMPUTED_VALUE"""),"徐玥雅")</f>
        <v>徐玥雅</v>
      </c>
      <c r="D2232" s="16" t="str">
        <f>IFERROR(__xludf.DUMMYFUNCTION("""COMPUTED_VALUE"""),"jul*****@mail.edu.tw")</f>
        <v>jul*****@mail.edu.tw</v>
      </c>
      <c r="E2232" s="17" t="str">
        <f>IFERROR(__xludf.DUMMYFUNCTION("""COMPUTED_VALUE"""),"彰化縣立二林高級中學附設國中部")</f>
        <v>彰化縣立二林高級中學附設國中部</v>
      </c>
      <c r="F2232" s="14" t="str">
        <f>IFERROR(__xludf.DUMMYFUNCTION("""COMPUTED_VALUE"""),"八年級")</f>
        <v>八年級</v>
      </c>
      <c r="G2232" s="14" t="str">
        <f>IFERROR(__xludf.DUMMYFUNCTION("""COMPUTED_VALUE"""),"●小禮物")</f>
        <v>●小禮物</v>
      </c>
      <c r="H2232" s="8"/>
    </row>
    <row r="2233">
      <c r="A2233" s="18"/>
      <c r="B2233" s="14">
        <f>IFERROR(__xludf.DUMMYFUNCTION("""COMPUTED_VALUE"""),1106683.0)</f>
        <v>1106683</v>
      </c>
      <c r="C2233" s="14" t="str">
        <f>IFERROR(__xludf.DUMMYFUNCTION("""COMPUTED_VALUE"""),"謝絜伃")</f>
        <v>謝絜伃</v>
      </c>
      <c r="D2233" s="16" t="str">
        <f>IFERROR(__xludf.DUMMYFUNCTION("""COMPUTED_VALUE"""),"jes*****15@mail.edu.tw")</f>
        <v>jes*****15@mail.edu.tw</v>
      </c>
      <c r="E2233" s="17" t="str">
        <f>IFERROR(__xludf.DUMMYFUNCTION("""COMPUTED_VALUE"""),"彰化縣立二林高級中學附設國中部")</f>
        <v>彰化縣立二林高級中學附設國中部</v>
      </c>
      <c r="F2233" s="14" t="str">
        <f>IFERROR(__xludf.DUMMYFUNCTION("""COMPUTED_VALUE"""),"八年級")</f>
        <v>八年級</v>
      </c>
      <c r="G2233" s="14" t="str">
        <f>IFERROR(__xludf.DUMMYFUNCTION("""COMPUTED_VALUE"""),"●小禮物")</f>
        <v>●小禮物</v>
      </c>
      <c r="H2233" s="8"/>
    </row>
    <row r="2234">
      <c r="A2234" s="18"/>
      <c r="B2234" s="14">
        <f>IFERROR(__xludf.DUMMYFUNCTION("""COMPUTED_VALUE"""),1106658.0)</f>
        <v>1106658</v>
      </c>
      <c r="C2234" s="14" t="str">
        <f>IFERROR(__xludf.DUMMYFUNCTION("""COMPUTED_VALUE"""),"鍾秉程")</f>
        <v>鍾秉程</v>
      </c>
      <c r="D2234" s="16" t="str">
        <f>IFERROR(__xludf.DUMMYFUNCTION("""COMPUTED_VALUE"""),"bra*****603@mail.edu.tw")</f>
        <v>bra*****603@mail.edu.tw</v>
      </c>
      <c r="E2234" s="17" t="str">
        <f>IFERROR(__xludf.DUMMYFUNCTION("""COMPUTED_VALUE"""),"彰化縣立二林高級中學附設國中部")</f>
        <v>彰化縣立二林高級中學附設國中部</v>
      </c>
      <c r="F2234" s="14" t="str">
        <f>IFERROR(__xludf.DUMMYFUNCTION("""COMPUTED_VALUE"""),"八年級")</f>
        <v>八年級</v>
      </c>
      <c r="G2234" s="14" t="str">
        <f>IFERROR(__xludf.DUMMYFUNCTION("""COMPUTED_VALUE"""),"●小禮物")</f>
        <v>●小禮物</v>
      </c>
      <c r="H2234" s="8"/>
    </row>
    <row r="2235">
      <c r="A2235" s="18"/>
      <c r="B2235" s="14">
        <f>IFERROR(__xludf.DUMMYFUNCTION("""COMPUTED_VALUE"""),209669.0)</f>
        <v>209669</v>
      </c>
      <c r="C2235" s="14" t="str">
        <f>IFERROR(__xludf.DUMMYFUNCTION("""COMPUTED_VALUE"""),"洪瑜婷")</f>
        <v>洪瑜婷</v>
      </c>
      <c r="D2235" s="16" t="str">
        <f>IFERROR(__xludf.DUMMYFUNCTION("""COMPUTED_VALUE"""),"gsp*****3@mail.edu.tw")</f>
        <v>gsp*****3@mail.edu.tw</v>
      </c>
      <c r="E2235" s="17" t="str">
        <f>IFERROR(__xludf.DUMMYFUNCTION("""COMPUTED_VALUE"""),"彰化縣立二林高級中學附設國中部")</f>
        <v>彰化縣立二林高級中學附設國中部</v>
      </c>
      <c r="F2235" s="14" t="str">
        <f>IFERROR(__xludf.DUMMYFUNCTION("""COMPUTED_VALUE"""),"八年級")</f>
        <v>八年級</v>
      </c>
      <c r="G2235" s="14" t="str">
        <f>IFERROR(__xludf.DUMMYFUNCTION("""COMPUTED_VALUE"""),"★禮券$200")</f>
        <v>★禮券$200</v>
      </c>
      <c r="H2235" s="8"/>
    </row>
    <row r="2236">
      <c r="A2236" s="18"/>
      <c r="B2236" s="14">
        <f>IFERROR(__xludf.DUMMYFUNCTION("""COMPUTED_VALUE"""),209676.0)</f>
        <v>209676</v>
      </c>
      <c r="C2236" s="14" t="str">
        <f>IFERROR(__xludf.DUMMYFUNCTION("""COMPUTED_VALUE"""),"王品萱")</f>
        <v>王品萱</v>
      </c>
      <c r="D2236" s="16" t="str">
        <f>IFERROR(__xludf.DUMMYFUNCTION("""COMPUTED_VALUE"""),"gsp*****8@mail.edu.tw")</f>
        <v>gsp*****8@mail.edu.tw</v>
      </c>
      <c r="E2236" s="17" t="str">
        <f>IFERROR(__xludf.DUMMYFUNCTION("""COMPUTED_VALUE"""),"彰化縣立二林高級中學附設國中部")</f>
        <v>彰化縣立二林高級中學附設國中部</v>
      </c>
      <c r="F2236" s="14" t="str">
        <f>IFERROR(__xludf.DUMMYFUNCTION("""COMPUTED_VALUE"""),"八年級")</f>
        <v>八年級</v>
      </c>
      <c r="G2236" s="14" t="str">
        <f>IFERROR(__xludf.DUMMYFUNCTION("""COMPUTED_VALUE"""),"獎狀")</f>
        <v>獎狀</v>
      </c>
      <c r="H2236" s="8"/>
    </row>
    <row r="2237">
      <c r="A2237" s="18"/>
      <c r="B2237" s="14">
        <f>IFERROR(__xludf.DUMMYFUNCTION("""COMPUTED_VALUE"""),1106599.0)</f>
        <v>1106599</v>
      </c>
      <c r="C2237" s="14" t="str">
        <f>IFERROR(__xludf.DUMMYFUNCTION("""COMPUTED_VALUE"""),"王思筠")</f>
        <v>王思筠</v>
      </c>
      <c r="D2237" s="16" t="str">
        <f>IFERROR(__xludf.DUMMYFUNCTION("""COMPUTED_VALUE"""),"ccp*****0@mail.edu.tw")</f>
        <v>ccp*****0@mail.edu.tw</v>
      </c>
      <c r="E2237" s="17" t="str">
        <f>IFERROR(__xludf.DUMMYFUNCTION("""COMPUTED_VALUE"""),"彰化縣立二林高級中學附設國中部")</f>
        <v>彰化縣立二林高級中學附設國中部</v>
      </c>
      <c r="F2237" s="14" t="str">
        <f>IFERROR(__xludf.DUMMYFUNCTION("""COMPUTED_VALUE"""),"八年級")</f>
        <v>八年級</v>
      </c>
      <c r="G2237" s="14" t="str">
        <f>IFERROR(__xludf.DUMMYFUNCTION("""COMPUTED_VALUE"""),"獎狀")</f>
        <v>獎狀</v>
      </c>
      <c r="H2237" s="8"/>
    </row>
    <row r="2238">
      <c r="A2238" s="18"/>
      <c r="B2238" s="14">
        <f>IFERROR(__xludf.DUMMYFUNCTION("""COMPUTED_VALUE"""),182963.0)</f>
        <v>182963</v>
      </c>
      <c r="C2238" s="14" t="str">
        <f>IFERROR(__xludf.DUMMYFUNCTION("""COMPUTED_VALUE"""),"王家宏")</f>
        <v>王家宏</v>
      </c>
      <c r="D2238" s="16" t="str">
        <f>IFERROR(__xludf.DUMMYFUNCTION("""COMPUTED_VALUE"""),"jef*****@mail.edu.tw")</f>
        <v>jef*****@mail.edu.tw</v>
      </c>
      <c r="E2238" s="17" t="str">
        <f>IFERROR(__xludf.DUMMYFUNCTION("""COMPUTED_VALUE"""),"彰化縣立二林高級中學附設國中部")</f>
        <v>彰化縣立二林高級中學附設國中部</v>
      </c>
      <c r="F2238" s="14" t="str">
        <f>IFERROR(__xludf.DUMMYFUNCTION("""COMPUTED_VALUE"""),"八年級")</f>
        <v>八年級</v>
      </c>
      <c r="G2238" s="14" t="str">
        <f>IFERROR(__xludf.DUMMYFUNCTION("""COMPUTED_VALUE"""),"獎狀")</f>
        <v>獎狀</v>
      </c>
      <c r="H2238" s="8"/>
    </row>
    <row r="2239">
      <c r="A2239" s="18"/>
      <c r="B2239" s="14">
        <f>IFERROR(__xludf.DUMMYFUNCTION("""COMPUTED_VALUE"""),1106717.0)</f>
        <v>1106717</v>
      </c>
      <c r="C2239" s="14" t="str">
        <f>IFERROR(__xludf.DUMMYFUNCTION("""COMPUTED_VALUE"""),"林帛叡")</f>
        <v>林帛叡</v>
      </c>
      <c r="D2239" s="16" t="str">
        <f>IFERROR(__xludf.DUMMYFUNCTION("""COMPUTED_VALUE"""),"eri*****02@mail.edu.tw")</f>
        <v>eri*****02@mail.edu.tw</v>
      </c>
      <c r="E2239" s="17" t="str">
        <f>IFERROR(__xludf.DUMMYFUNCTION("""COMPUTED_VALUE"""),"彰化縣立二林高級中學附設國中部")</f>
        <v>彰化縣立二林高級中學附設國中部</v>
      </c>
      <c r="F2239" s="14" t="str">
        <f>IFERROR(__xludf.DUMMYFUNCTION("""COMPUTED_VALUE"""),"八年級")</f>
        <v>八年級</v>
      </c>
      <c r="G2239" s="14" t="str">
        <f>IFERROR(__xludf.DUMMYFUNCTION("""COMPUTED_VALUE"""),"獎狀")</f>
        <v>獎狀</v>
      </c>
      <c r="H2239" s="8"/>
    </row>
    <row r="2240">
      <c r="A2240" s="18"/>
      <c r="B2240" s="14">
        <f>IFERROR(__xludf.DUMMYFUNCTION("""COMPUTED_VALUE"""),1106857.0)</f>
        <v>1106857</v>
      </c>
      <c r="C2240" s="14" t="str">
        <f>IFERROR(__xludf.DUMMYFUNCTION("""COMPUTED_VALUE"""),"林振宇")</f>
        <v>林振宇</v>
      </c>
      <c r="D2240" s="16" t="str">
        <f>IFERROR(__xludf.DUMMYFUNCTION("""COMPUTED_VALUE"""),"ccp*****4@mail.edu.tw")</f>
        <v>ccp*****4@mail.edu.tw</v>
      </c>
      <c r="E2240" s="17" t="str">
        <f>IFERROR(__xludf.DUMMYFUNCTION("""COMPUTED_VALUE"""),"彰化縣立二林高級中學附設國中部")</f>
        <v>彰化縣立二林高級中學附設國中部</v>
      </c>
      <c r="F2240" s="14" t="str">
        <f>IFERROR(__xludf.DUMMYFUNCTION("""COMPUTED_VALUE"""),"八年級")</f>
        <v>八年級</v>
      </c>
      <c r="G2240" s="14" t="str">
        <f>IFERROR(__xludf.DUMMYFUNCTION("""COMPUTED_VALUE"""),"獎狀")</f>
        <v>獎狀</v>
      </c>
      <c r="H2240" s="8"/>
    </row>
    <row r="2241">
      <c r="A2241" s="18"/>
      <c r="B2241" s="14">
        <f>IFERROR(__xludf.DUMMYFUNCTION("""COMPUTED_VALUE"""),182966.0)</f>
        <v>182966</v>
      </c>
      <c r="C2241" s="14" t="str">
        <f>IFERROR(__xludf.DUMMYFUNCTION("""COMPUTED_VALUE"""),"陳玟佑")</f>
        <v>陳玟佑</v>
      </c>
      <c r="D2241" s="16" t="str">
        <f>IFERROR(__xludf.DUMMYFUNCTION("""COMPUTED_VALUE"""),"tim*****0@mail.edu.tw")</f>
        <v>tim*****0@mail.edu.tw</v>
      </c>
      <c r="E2241" s="17" t="str">
        <f>IFERROR(__xludf.DUMMYFUNCTION("""COMPUTED_VALUE"""),"彰化縣立二林高級中學附設國中部")</f>
        <v>彰化縣立二林高級中學附設國中部</v>
      </c>
      <c r="F2241" s="14" t="str">
        <f>IFERROR(__xludf.DUMMYFUNCTION("""COMPUTED_VALUE"""),"八年級")</f>
        <v>八年級</v>
      </c>
      <c r="G2241" s="14" t="str">
        <f>IFERROR(__xludf.DUMMYFUNCTION("""COMPUTED_VALUE"""),"獎狀")</f>
        <v>獎狀</v>
      </c>
      <c r="H2241" s="8"/>
    </row>
    <row r="2242">
      <c r="A2242" s="18"/>
      <c r="B2242" s="14">
        <f>IFERROR(__xludf.DUMMYFUNCTION("""COMPUTED_VALUE"""),1094870.0)</f>
        <v>1094870</v>
      </c>
      <c r="C2242" s="14" t="str">
        <f>IFERROR(__xludf.DUMMYFUNCTION("""COMPUTED_VALUE"""),"許芸瑄")</f>
        <v>許芸瑄</v>
      </c>
      <c r="D2242" s="16" t="str">
        <f>IFERROR(__xludf.DUMMYFUNCTION("""COMPUTED_VALUE"""),"ccp*****0@mail.edu.tw")</f>
        <v>ccp*****0@mail.edu.tw</v>
      </c>
      <c r="E2242" s="17" t="str">
        <f>IFERROR(__xludf.DUMMYFUNCTION("""COMPUTED_VALUE"""),"彰化縣立二林高級中學附設國中部")</f>
        <v>彰化縣立二林高級中學附設國中部</v>
      </c>
      <c r="F2242" s="14" t="str">
        <f>IFERROR(__xludf.DUMMYFUNCTION("""COMPUTED_VALUE"""),"八年級")</f>
        <v>八年級</v>
      </c>
      <c r="G2242" s="14" t="str">
        <f>IFERROR(__xludf.DUMMYFUNCTION("""COMPUTED_VALUE"""),"獎狀")</f>
        <v>獎狀</v>
      </c>
      <c r="H2242" s="8"/>
    </row>
    <row r="2243">
      <c r="A2243" s="18"/>
      <c r="B2243" s="14">
        <f>IFERROR(__xludf.DUMMYFUNCTION("""COMPUTED_VALUE"""),1177693.0)</f>
        <v>1177693</v>
      </c>
      <c r="C2243" s="14" t="str">
        <f>IFERROR(__xludf.DUMMYFUNCTION("""COMPUTED_VALUE"""),"廖翊淳")</f>
        <v>廖翊淳</v>
      </c>
      <c r="D2243" s="16" t="str">
        <f>IFERROR(__xludf.DUMMYFUNCTION("""COMPUTED_VALUE"""),"111*****gjh.ntct.edu.tw")</f>
        <v>111*****gjh.ntct.edu.tw</v>
      </c>
      <c r="E2243" s="17" t="str">
        <f>IFERROR(__xludf.DUMMYFUNCTION("""COMPUTED_VALUE"""),"南投縣立南崗國民中學")</f>
        <v>南投縣立南崗國民中學</v>
      </c>
      <c r="F2243" s="14" t="str">
        <f>IFERROR(__xludf.DUMMYFUNCTION("""COMPUTED_VALUE"""),"七年級")</f>
        <v>七年級</v>
      </c>
      <c r="G2243" s="14" t="str">
        <f>IFERROR(__xludf.DUMMYFUNCTION("""COMPUTED_VALUE"""),"獎狀")</f>
        <v>獎狀</v>
      </c>
      <c r="H2243" s="8"/>
    </row>
    <row r="2244">
      <c r="A2244" s="18"/>
      <c r="B2244" s="14">
        <f>IFERROR(__xludf.DUMMYFUNCTION("""COMPUTED_VALUE"""),1172319.0)</f>
        <v>1172319</v>
      </c>
      <c r="C2244" s="14" t="str">
        <f>IFERROR(__xludf.DUMMYFUNCTION("""COMPUTED_VALUE"""),"李欣瑾")</f>
        <v>李欣瑾</v>
      </c>
      <c r="D2244" s="16" t="str">
        <f>IFERROR(__xludf.DUMMYFUNCTION("""COMPUTED_VALUE"""),"111*****gjh.ntct.edu.tw")</f>
        <v>111*****gjh.ntct.edu.tw</v>
      </c>
      <c r="E2244" s="17" t="str">
        <f>IFERROR(__xludf.DUMMYFUNCTION("""COMPUTED_VALUE"""),"南投縣立南崗國民中學")</f>
        <v>南投縣立南崗國民中學</v>
      </c>
      <c r="F2244" s="14" t="str">
        <f>IFERROR(__xludf.DUMMYFUNCTION("""COMPUTED_VALUE"""),"七年級")</f>
        <v>七年級</v>
      </c>
      <c r="G2244" s="14" t="str">
        <f>IFERROR(__xludf.DUMMYFUNCTION("""COMPUTED_VALUE"""),"●小禮物")</f>
        <v>●小禮物</v>
      </c>
      <c r="H2244" s="8"/>
    </row>
    <row r="2245">
      <c r="A2245" s="18"/>
      <c r="B2245" s="14">
        <f>IFERROR(__xludf.DUMMYFUNCTION("""COMPUTED_VALUE"""),1186075.0)</f>
        <v>1186075</v>
      </c>
      <c r="C2245" s="14" t="str">
        <f>IFERROR(__xludf.DUMMYFUNCTION("""COMPUTED_VALUE"""),"李佩恩")</f>
        <v>李佩恩</v>
      </c>
      <c r="D2245" s="16" t="str">
        <f>IFERROR(__xludf.DUMMYFUNCTION("""COMPUTED_VALUE"""),"111*****gjh.ntct.edu.tw")</f>
        <v>111*****gjh.ntct.edu.tw</v>
      </c>
      <c r="E2245" s="17" t="str">
        <f>IFERROR(__xludf.DUMMYFUNCTION("""COMPUTED_VALUE"""),"南投縣立南崗國民中學")</f>
        <v>南投縣立南崗國民中學</v>
      </c>
      <c r="F2245" s="14" t="str">
        <f>IFERROR(__xludf.DUMMYFUNCTION("""COMPUTED_VALUE"""),"七年級")</f>
        <v>七年級</v>
      </c>
      <c r="G2245" s="14" t="str">
        <f>IFERROR(__xludf.DUMMYFUNCTION("""COMPUTED_VALUE"""),"●小禮物")</f>
        <v>●小禮物</v>
      </c>
      <c r="H2245" s="8"/>
    </row>
    <row r="2246">
      <c r="A2246" s="18"/>
      <c r="B2246" s="14">
        <f>IFERROR(__xludf.DUMMYFUNCTION("""COMPUTED_VALUE"""),1139001.0)</f>
        <v>1139001</v>
      </c>
      <c r="C2246" s="14" t="str">
        <f>IFERROR(__xludf.DUMMYFUNCTION("""COMPUTED_VALUE"""),"吳承叡")</f>
        <v>吳承叡</v>
      </c>
      <c r="D2246" s="16" t="str">
        <f>IFERROR(__xludf.DUMMYFUNCTION("""COMPUTED_VALUE"""),"wuc*****4@gmail.com")</f>
        <v>wuc*****4@gmail.com</v>
      </c>
      <c r="E2246" s="17" t="str">
        <f>IFERROR(__xludf.DUMMYFUNCTION("""COMPUTED_VALUE"""),"南投縣立南崗國民中學")</f>
        <v>南投縣立南崗國民中學</v>
      </c>
      <c r="F2246" s="14" t="str">
        <f>IFERROR(__xludf.DUMMYFUNCTION("""COMPUTED_VALUE"""),"七年級")</f>
        <v>七年級</v>
      </c>
      <c r="G2246" s="14" t="str">
        <f>IFERROR(__xludf.DUMMYFUNCTION("""COMPUTED_VALUE"""),"●小禮物")</f>
        <v>●小禮物</v>
      </c>
      <c r="H2246" s="8"/>
    </row>
    <row r="2247">
      <c r="A2247" s="18"/>
      <c r="B2247" s="14">
        <f>IFERROR(__xludf.DUMMYFUNCTION("""COMPUTED_VALUE"""),1152458.0)</f>
        <v>1152458</v>
      </c>
      <c r="C2247" s="14" t="str">
        <f>IFERROR(__xludf.DUMMYFUNCTION("""COMPUTED_VALUE"""),"陳宇翔")</f>
        <v>陳宇翔</v>
      </c>
      <c r="D2247" s="16" t="str">
        <f>IFERROR(__xludf.DUMMYFUNCTION("""COMPUTED_VALUE"""),"111*****gjh.ntct.edu.tw")</f>
        <v>111*****gjh.ntct.edu.tw</v>
      </c>
      <c r="E2247" s="17" t="str">
        <f>IFERROR(__xludf.DUMMYFUNCTION("""COMPUTED_VALUE"""),"南投縣立南崗國民中學")</f>
        <v>南投縣立南崗國民中學</v>
      </c>
      <c r="F2247" s="14" t="str">
        <f>IFERROR(__xludf.DUMMYFUNCTION("""COMPUTED_VALUE"""),"七年級")</f>
        <v>七年級</v>
      </c>
      <c r="G2247" s="14" t="str">
        <f>IFERROR(__xludf.DUMMYFUNCTION("""COMPUTED_VALUE"""),"●小禮物")</f>
        <v>●小禮物</v>
      </c>
      <c r="H2247" s="8"/>
    </row>
    <row r="2248">
      <c r="A2248" s="18"/>
      <c r="B2248" s="14">
        <f>IFERROR(__xludf.DUMMYFUNCTION("""COMPUTED_VALUE"""),650997.0)</f>
        <v>650997</v>
      </c>
      <c r="C2248" s="14" t="str">
        <f>IFERROR(__xludf.DUMMYFUNCTION("""COMPUTED_VALUE"""),"陳芷伃")</f>
        <v>陳芷伃</v>
      </c>
      <c r="D2248" s="16" t="str">
        <f>IFERROR(__xludf.DUMMYFUNCTION("""COMPUTED_VALUE"""),"s10*****ntes.ntct.edu.tw")</f>
        <v>s10*****ntes.ntct.edu.tw</v>
      </c>
      <c r="E2248" s="17" t="str">
        <f>IFERROR(__xludf.DUMMYFUNCTION("""COMPUTED_VALUE"""),"南投縣立南崗國民中學")</f>
        <v>南投縣立南崗國民中學</v>
      </c>
      <c r="F2248" s="14" t="str">
        <f>IFERROR(__xludf.DUMMYFUNCTION("""COMPUTED_VALUE"""),"七年級")</f>
        <v>七年級</v>
      </c>
      <c r="G2248" s="14" t="str">
        <f>IFERROR(__xludf.DUMMYFUNCTION("""COMPUTED_VALUE"""),"●小禮物")</f>
        <v>●小禮物</v>
      </c>
      <c r="H2248" s="8"/>
    </row>
    <row r="2249">
      <c r="A2249" s="18"/>
      <c r="B2249" s="14">
        <f>IFERROR(__xludf.DUMMYFUNCTION("""COMPUTED_VALUE"""),956799.0)</f>
        <v>956799</v>
      </c>
      <c r="C2249" s="14" t="str">
        <f>IFERROR(__xludf.DUMMYFUNCTION("""COMPUTED_VALUE"""),"陳亭妤")</f>
        <v>陳亭妤</v>
      </c>
      <c r="D2249" s="16" t="str">
        <f>IFERROR(__xludf.DUMMYFUNCTION("""COMPUTED_VALUE"""),"tfs*****02@gmail.com")</f>
        <v>tfs*****02@gmail.com</v>
      </c>
      <c r="E2249" s="17" t="str">
        <f>IFERROR(__xludf.DUMMYFUNCTION("""COMPUTED_VALUE"""),"南投縣立南崗國民中學")</f>
        <v>南投縣立南崗國民中學</v>
      </c>
      <c r="F2249" s="14" t="str">
        <f>IFERROR(__xludf.DUMMYFUNCTION("""COMPUTED_VALUE"""),"七年級")</f>
        <v>七年級</v>
      </c>
      <c r="G2249" s="14" t="str">
        <f>IFERROR(__xludf.DUMMYFUNCTION("""COMPUTED_VALUE"""),"●小禮物")</f>
        <v>●小禮物</v>
      </c>
      <c r="H2249" s="8"/>
    </row>
    <row r="2250">
      <c r="A2250" s="18"/>
      <c r="B2250" s="14">
        <f>IFERROR(__xludf.DUMMYFUNCTION("""COMPUTED_VALUE"""),1115117.0)</f>
        <v>1115117</v>
      </c>
      <c r="C2250" s="14" t="str">
        <f>IFERROR(__xludf.DUMMYFUNCTION("""COMPUTED_VALUE"""),"陳亮宇")</f>
        <v>陳亮宇</v>
      </c>
      <c r="D2250" s="16" t="str">
        <f>IFERROR(__xludf.DUMMYFUNCTION("""COMPUTED_VALUE"""),"che*****658@gmail.com")</f>
        <v>che*****658@gmail.com</v>
      </c>
      <c r="E2250" s="17" t="str">
        <f>IFERROR(__xludf.DUMMYFUNCTION("""COMPUTED_VALUE"""),"南投縣立南崗國民中學")</f>
        <v>南投縣立南崗國民中學</v>
      </c>
      <c r="F2250" s="14" t="str">
        <f>IFERROR(__xludf.DUMMYFUNCTION("""COMPUTED_VALUE"""),"七年級")</f>
        <v>七年級</v>
      </c>
      <c r="G2250" s="14" t="str">
        <f>IFERROR(__xludf.DUMMYFUNCTION("""COMPUTED_VALUE"""),"●小禮物")</f>
        <v>●小禮物</v>
      </c>
      <c r="H2250" s="8"/>
    </row>
    <row r="2251">
      <c r="A2251" s="18"/>
      <c r="B2251" s="14">
        <f>IFERROR(__xludf.DUMMYFUNCTION("""COMPUTED_VALUE"""),1165193.0)</f>
        <v>1165193</v>
      </c>
      <c r="C2251" s="14" t="str">
        <f>IFERROR(__xludf.DUMMYFUNCTION("""COMPUTED_VALUE"""),"陳柏華")</f>
        <v>陳柏華</v>
      </c>
      <c r="D2251" s="16" t="str">
        <f>IFERROR(__xludf.DUMMYFUNCTION("""COMPUTED_VALUE"""),"111*****gjh.ntct.edu.tw")</f>
        <v>111*****gjh.ntct.edu.tw</v>
      </c>
      <c r="E2251" s="17" t="str">
        <f>IFERROR(__xludf.DUMMYFUNCTION("""COMPUTED_VALUE"""),"南投縣立南崗國民中學")</f>
        <v>南投縣立南崗國民中學</v>
      </c>
      <c r="F2251" s="14" t="str">
        <f>IFERROR(__xludf.DUMMYFUNCTION("""COMPUTED_VALUE"""),"七年級")</f>
        <v>七年級</v>
      </c>
      <c r="G2251" s="14" t="str">
        <f>IFERROR(__xludf.DUMMYFUNCTION("""COMPUTED_VALUE"""),"●小禮物")</f>
        <v>●小禮物</v>
      </c>
      <c r="H2251" s="8"/>
    </row>
    <row r="2252">
      <c r="A2252" s="18"/>
      <c r="B2252" s="14">
        <f>IFERROR(__xludf.DUMMYFUNCTION("""COMPUTED_VALUE"""),1153933.0)</f>
        <v>1153933</v>
      </c>
      <c r="C2252" s="14" t="str">
        <f>IFERROR(__xludf.DUMMYFUNCTION("""COMPUTED_VALUE"""),"葉致享")</f>
        <v>葉致享</v>
      </c>
      <c r="D2252" s="16" t="str">
        <f>IFERROR(__xludf.DUMMYFUNCTION("""COMPUTED_VALUE"""),"bob*****8168@yahoo.com.tw")</f>
        <v>bob*****8168@yahoo.com.tw</v>
      </c>
      <c r="E2252" s="17" t="str">
        <f>IFERROR(__xludf.DUMMYFUNCTION("""COMPUTED_VALUE"""),"南投縣立南崗國民中學")</f>
        <v>南投縣立南崗國民中學</v>
      </c>
      <c r="F2252" s="14" t="str">
        <f>IFERROR(__xludf.DUMMYFUNCTION("""COMPUTED_VALUE"""),"七年級")</f>
        <v>七年級</v>
      </c>
      <c r="G2252" s="14" t="str">
        <f>IFERROR(__xludf.DUMMYFUNCTION("""COMPUTED_VALUE"""),"●小禮物")</f>
        <v>●小禮物</v>
      </c>
      <c r="H2252" s="8"/>
    </row>
    <row r="2253">
      <c r="A2253" s="18"/>
      <c r="B2253" s="14">
        <f>IFERROR(__xludf.DUMMYFUNCTION("""COMPUTED_VALUE"""),1151456.0)</f>
        <v>1151456</v>
      </c>
      <c r="C2253" s="14" t="str">
        <f>IFERROR(__xludf.DUMMYFUNCTION("""COMPUTED_VALUE"""),"劉奕岑")</f>
        <v>劉奕岑</v>
      </c>
      <c r="D2253" s="16" t="str">
        <f>IFERROR(__xludf.DUMMYFUNCTION("""COMPUTED_VALUE"""),"111*****gjh.ntct.edu.tw")</f>
        <v>111*****gjh.ntct.edu.tw</v>
      </c>
      <c r="E2253" s="17" t="str">
        <f>IFERROR(__xludf.DUMMYFUNCTION("""COMPUTED_VALUE"""),"南投縣立南崗國民中學")</f>
        <v>南投縣立南崗國民中學</v>
      </c>
      <c r="F2253" s="14" t="str">
        <f>IFERROR(__xludf.DUMMYFUNCTION("""COMPUTED_VALUE"""),"七年級")</f>
        <v>七年級</v>
      </c>
      <c r="G2253" s="14" t="str">
        <f>IFERROR(__xludf.DUMMYFUNCTION("""COMPUTED_VALUE"""),"●小禮物")</f>
        <v>●小禮物</v>
      </c>
      <c r="H2253" s="8"/>
    </row>
    <row r="2254">
      <c r="A2254" s="18"/>
      <c r="B2254" s="14">
        <f>IFERROR(__xludf.DUMMYFUNCTION("""COMPUTED_VALUE"""),1150174.0)</f>
        <v>1150174</v>
      </c>
      <c r="C2254" s="14" t="str">
        <f>IFERROR(__xludf.DUMMYFUNCTION("""COMPUTED_VALUE"""),"林毓容")</f>
        <v>林毓容</v>
      </c>
      <c r="D2254" s="16" t="str">
        <f>IFERROR(__xludf.DUMMYFUNCTION("""COMPUTED_VALUE"""),"lin*****5@gmail.com")</f>
        <v>lin*****5@gmail.com</v>
      </c>
      <c r="E2254" s="17" t="str">
        <f>IFERROR(__xludf.DUMMYFUNCTION("""COMPUTED_VALUE"""),"南投縣立南崗國民中學")</f>
        <v>南投縣立南崗國民中學</v>
      </c>
      <c r="F2254" s="14" t="str">
        <f>IFERROR(__xludf.DUMMYFUNCTION("""COMPUTED_VALUE"""),"七年級")</f>
        <v>七年級</v>
      </c>
      <c r="G2254" s="14" t="str">
        <f>IFERROR(__xludf.DUMMYFUNCTION("""COMPUTED_VALUE"""),"★禮券$500")</f>
        <v>★禮券$500</v>
      </c>
      <c r="H2254" s="8"/>
    </row>
    <row r="2255">
      <c r="A2255" s="18"/>
      <c r="B2255" s="14">
        <f>IFERROR(__xludf.DUMMYFUNCTION("""COMPUTED_VALUE"""),1152339.0)</f>
        <v>1152339</v>
      </c>
      <c r="C2255" s="14" t="str">
        <f>IFERROR(__xludf.DUMMYFUNCTION("""COMPUTED_VALUE"""),"周雨柔")</f>
        <v>周雨柔</v>
      </c>
      <c r="D2255" s="16" t="str">
        <f>IFERROR(__xludf.DUMMYFUNCTION("""COMPUTED_VALUE"""),"111*****gjh.ntct.edu.tw")</f>
        <v>111*****gjh.ntct.edu.tw</v>
      </c>
      <c r="E2255" s="17" t="str">
        <f>IFERROR(__xludf.DUMMYFUNCTION("""COMPUTED_VALUE"""),"南投縣立南崗國民中學")</f>
        <v>南投縣立南崗國民中學</v>
      </c>
      <c r="F2255" s="14" t="str">
        <f>IFERROR(__xludf.DUMMYFUNCTION("""COMPUTED_VALUE"""),"七年級")</f>
        <v>七年級</v>
      </c>
      <c r="G2255" s="14" t="str">
        <f>IFERROR(__xludf.DUMMYFUNCTION("""COMPUTED_VALUE"""),"獎狀")</f>
        <v>獎狀</v>
      </c>
      <c r="H2255" s="8"/>
    </row>
    <row r="2256">
      <c r="A2256" s="18"/>
      <c r="B2256" s="14">
        <f>IFERROR(__xludf.DUMMYFUNCTION("""COMPUTED_VALUE"""),1155397.0)</f>
        <v>1155397</v>
      </c>
      <c r="C2256" s="14" t="str">
        <f>IFERROR(__xludf.DUMMYFUNCTION("""COMPUTED_VALUE"""),"林柏學")</f>
        <v>林柏學</v>
      </c>
      <c r="D2256" s="16" t="str">
        <f>IFERROR(__xludf.DUMMYFUNCTION("""COMPUTED_VALUE"""),"111*****gjh.ntct.edu.tw")</f>
        <v>111*****gjh.ntct.edu.tw</v>
      </c>
      <c r="E2256" s="17" t="str">
        <f>IFERROR(__xludf.DUMMYFUNCTION("""COMPUTED_VALUE"""),"南投縣立南崗國民中學")</f>
        <v>南投縣立南崗國民中學</v>
      </c>
      <c r="F2256" s="14" t="str">
        <f>IFERROR(__xludf.DUMMYFUNCTION("""COMPUTED_VALUE"""),"七年級")</f>
        <v>七年級</v>
      </c>
      <c r="G2256" s="14" t="str">
        <f>IFERROR(__xludf.DUMMYFUNCTION("""COMPUTED_VALUE"""),"獎狀")</f>
        <v>獎狀</v>
      </c>
      <c r="H2256" s="8"/>
    </row>
    <row r="2257">
      <c r="A2257" s="18"/>
      <c r="B2257" s="14">
        <f>IFERROR(__xludf.DUMMYFUNCTION("""COMPUTED_VALUE"""),459029.0)</f>
        <v>459029</v>
      </c>
      <c r="C2257" s="14" t="str">
        <f>IFERROR(__xludf.DUMMYFUNCTION("""COMPUTED_VALUE"""),"施詠傑")</f>
        <v>施詠傑</v>
      </c>
      <c r="D2257" s="16" t="str">
        <f>IFERROR(__xludf.DUMMYFUNCTION("""COMPUTED_VALUE"""),"s10*****ntes.ntct.edu.tw")</f>
        <v>s10*****ntes.ntct.edu.tw</v>
      </c>
      <c r="E2257" s="17" t="str">
        <f>IFERROR(__xludf.DUMMYFUNCTION("""COMPUTED_VALUE"""),"南投縣立南崗國民中學")</f>
        <v>南投縣立南崗國民中學</v>
      </c>
      <c r="F2257" s="14" t="str">
        <f>IFERROR(__xludf.DUMMYFUNCTION("""COMPUTED_VALUE"""),"七年級")</f>
        <v>七年級</v>
      </c>
      <c r="G2257" s="14" t="str">
        <f>IFERROR(__xludf.DUMMYFUNCTION("""COMPUTED_VALUE"""),"獎狀")</f>
        <v>獎狀</v>
      </c>
      <c r="H2257" s="8"/>
    </row>
    <row r="2258">
      <c r="A2258" s="18"/>
      <c r="B2258" s="14">
        <f>IFERROR(__xludf.DUMMYFUNCTION("""COMPUTED_VALUE"""),1150400.0)</f>
        <v>1150400</v>
      </c>
      <c r="C2258" s="14" t="str">
        <f>IFERROR(__xludf.DUMMYFUNCTION("""COMPUTED_VALUE"""),"洪梓翔")</f>
        <v>洪梓翔</v>
      </c>
      <c r="D2258" s="16" t="str">
        <f>IFERROR(__xludf.DUMMYFUNCTION("""COMPUTED_VALUE"""),"sea*****1211@gmail.com")</f>
        <v>sea*****1211@gmail.com</v>
      </c>
      <c r="E2258" s="17" t="str">
        <f>IFERROR(__xludf.DUMMYFUNCTION("""COMPUTED_VALUE"""),"南投縣立南崗國民中學")</f>
        <v>南投縣立南崗國民中學</v>
      </c>
      <c r="F2258" s="14" t="str">
        <f>IFERROR(__xludf.DUMMYFUNCTION("""COMPUTED_VALUE"""),"七年級")</f>
        <v>七年級</v>
      </c>
      <c r="G2258" s="14" t="str">
        <f>IFERROR(__xludf.DUMMYFUNCTION("""COMPUTED_VALUE"""),"獎狀")</f>
        <v>獎狀</v>
      </c>
      <c r="H2258" s="8"/>
    </row>
    <row r="2259">
      <c r="A2259" s="18"/>
      <c r="B2259" s="14">
        <f>IFERROR(__xludf.DUMMYFUNCTION("""COMPUTED_VALUE"""),301201.0)</f>
        <v>301201</v>
      </c>
      <c r="C2259" s="14" t="str">
        <f>IFERROR(__xludf.DUMMYFUNCTION("""COMPUTED_VALUE"""),"洪寧蔚")</f>
        <v>洪寧蔚</v>
      </c>
      <c r="D2259" s="16" t="str">
        <f>IFERROR(__xludf.DUMMYFUNCTION("""COMPUTED_VALUE"""),"s10*****ntes.ntct.edu.tw")</f>
        <v>s10*****ntes.ntct.edu.tw</v>
      </c>
      <c r="E2259" s="17" t="str">
        <f>IFERROR(__xludf.DUMMYFUNCTION("""COMPUTED_VALUE"""),"南投縣立南崗國民中學")</f>
        <v>南投縣立南崗國民中學</v>
      </c>
      <c r="F2259" s="14" t="str">
        <f>IFERROR(__xludf.DUMMYFUNCTION("""COMPUTED_VALUE"""),"七年級")</f>
        <v>七年級</v>
      </c>
      <c r="G2259" s="14" t="str">
        <f>IFERROR(__xludf.DUMMYFUNCTION("""COMPUTED_VALUE"""),"獎狀")</f>
        <v>獎狀</v>
      </c>
      <c r="H2259" s="8"/>
    </row>
    <row r="2260">
      <c r="A2260" s="18"/>
      <c r="B2260" s="14">
        <f>IFERROR(__xludf.DUMMYFUNCTION("""COMPUTED_VALUE"""),1151405.0)</f>
        <v>1151405</v>
      </c>
      <c r="C2260" s="14" t="str">
        <f>IFERROR(__xludf.DUMMYFUNCTION("""COMPUTED_VALUE"""),"張晉維")</f>
        <v>張晉維</v>
      </c>
      <c r="D2260" s="16" t="str">
        <f>IFERROR(__xludf.DUMMYFUNCTION("""COMPUTED_VALUE"""),"hic*****e555@gmail.com")</f>
        <v>hic*****e555@gmail.com</v>
      </c>
      <c r="E2260" s="17" t="str">
        <f>IFERROR(__xludf.DUMMYFUNCTION("""COMPUTED_VALUE"""),"南投縣立南崗國民中學")</f>
        <v>南投縣立南崗國民中學</v>
      </c>
      <c r="F2260" s="14" t="str">
        <f>IFERROR(__xludf.DUMMYFUNCTION("""COMPUTED_VALUE"""),"七年級")</f>
        <v>七年級</v>
      </c>
      <c r="G2260" s="14" t="str">
        <f>IFERROR(__xludf.DUMMYFUNCTION("""COMPUTED_VALUE"""),"獎狀")</f>
        <v>獎狀</v>
      </c>
      <c r="H2260" s="8"/>
    </row>
    <row r="2261">
      <c r="A2261" s="18"/>
      <c r="B2261" s="14">
        <f>IFERROR(__xludf.DUMMYFUNCTION("""COMPUTED_VALUE"""),1138996.0)</f>
        <v>1138996</v>
      </c>
      <c r="C2261" s="14" t="str">
        <f>IFERROR(__xludf.DUMMYFUNCTION("""COMPUTED_VALUE"""),"陳奕杰")</f>
        <v>陳奕杰</v>
      </c>
      <c r="D2261" s="16" t="str">
        <f>IFERROR(__xludf.DUMMYFUNCTION("""COMPUTED_VALUE"""),"jef*****ijie@gmail.com")</f>
        <v>jef*****ijie@gmail.com</v>
      </c>
      <c r="E2261" s="17" t="str">
        <f>IFERROR(__xludf.DUMMYFUNCTION("""COMPUTED_VALUE"""),"南投縣立南崗國民中學")</f>
        <v>南投縣立南崗國民中學</v>
      </c>
      <c r="F2261" s="14" t="str">
        <f>IFERROR(__xludf.DUMMYFUNCTION("""COMPUTED_VALUE"""),"七年級")</f>
        <v>七年級</v>
      </c>
      <c r="G2261" s="14" t="str">
        <f>IFERROR(__xludf.DUMMYFUNCTION("""COMPUTED_VALUE"""),"獎狀")</f>
        <v>獎狀</v>
      </c>
      <c r="H2261" s="8"/>
    </row>
    <row r="2262">
      <c r="A2262" s="18"/>
      <c r="B2262" s="14">
        <f>IFERROR(__xludf.DUMMYFUNCTION("""COMPUTED_VALUE"""),1141890.0)</f>
        <v>1141890</v>
      </c>
      <c r="C2262" s="14" t="str">
        <f>IFERROR(__xludf.DUMMYFUNCTION("""COMPUTED_VALUE"""),"黃姿雅")</f>
        <v>黃姿雅</v>
      </c>
      <c r="D2262" s="16" t="str">
        <f>IFERROR(__xludf.DUMMYFUNCTION("""COMPUTED_VALUE"""),"bel*****103@gmail.com")</f>
        <v>bel*****103@gmail.com</v>
      </c>
      <c r="E2262" s="17" t="str">
        <f>IFERROR(__xludf.DUMMYFUNCTION("""COMPUTED_VALUE"""),"南投縣立南崗國民中學")</f>
        <v>南投縣立南崗國民中學</v>
      </c>
      <c r="F2262" s="14" t="str">
        <f>IFERROR(__xludf.DUMMYFUNCTION("""COMPUTED_VALUE"""),"七年級")</f>
        <v>七年級</v>
      </c>
      <c r="G2262" s="14" t="str">
        <f>IFERROR(__xludf.DUMMYFUNCTION("""COMPUTED_VALUE"""),"獎狀")</f>
        <v>獎狀</v>
      </c>
      <c r="H2262" s="8"/>
    </row>
    <row r="2263">
      <c r="A2263" s="18"/>
      <c r="B2263" s="14">
        <f>IFERROR(__xludf.DUMMYFUNCTION("""COMPUTED_VALUE"""),1165078.0)</f>
        <v>1165078</v>
      </c>
      <c r="C2263" s="14" t="str">
        <f>IFERROR(__xludf.DUMMYFUNCTION("""COMPUTED_VALUE"""),"張庭豪")</f>
        <v>張庭豪</v>
      </c>
      <c r="D2263" s="16" t="str">
        <f>IFERROR(__xludf.DUMMYFUNCTION("""COMPUTED_VALUE"""),"111*****gjh.ntct.edu.tw")</f>
        <v>111*****gjh.ntct.edu.tw</v>
      </c>
      <c r="E2263" s="17" t="str">
        <f>IFERROR(__xludf.DUMMYFUNCTION("""COMPUTED_VALUE"""),"南投縣立南崗國民中學")</f>
        <v>南投縣立南崗國民中學</v>
      </c>
      <c r="F2263" s="14" t="str">
        <f>IFERROR(__xludf.DUMMYFUNCTION("""COMPUTED_VALUE"""),"七年級")</f>
        <v>七年級</v>
      </c>
      <c r="G2263" s="14" t="str">
        <f>IFERROR(__xludf.DUMMYFUNCTION("""COMPUTED_VALUE"""),"獎狀")</f>
        <v>獎狀</v>
      </c>
      <c r="H2263" s="8"/>
    </row>
    <row r="2264">
      <c r="A2264" s="18"/>
      <c r="B2264" s="14">
        <f>IFERROR(__xludf.DUMMYFUNCTION("""COMPUTED_VALUE"""),588372.0)</f>
        <v>588372</v>
      </c>
      <c r="C2264" s="14" t="str">
        <f>IFERROR(__xludf.DUMMYFUNCTION("""COMPUTED_VALUE"""),"林子芸")</f>
        <v>林子芸</v>
      </c>
      <c r="D2264" s="16" t="str">
        <f>IFERROR(__xludf.DUMMYFUNCTION("""COMPUTED_VALUE"""),"syv*****mail.edu.tw")</f>
        <v>syv*****mail.edu.tw</v>
      </c>
      <c r="E2264" s="17" t="str">
        <f>IFERROR(__xludf.DUMMYFUNCTION("""COMPUTED_VALUE"""),"南投縣立南崗國民中學")</f>
        <v>南投縣立南崗國民中學</v>
      </c>
      <c r="F2264" s="14" t="str">
        <f>IFERROR(__xludf.DUMMYFUNCTION("""COMPUTED_VALUE"""),"七年級")</f>
        <v>七年級</v>
      </c>
      <c r="G2264" s="14" t="str">
        <f>IFERROR(__xludf.DUMMYFUNCTION("""COMPUTED_VALUE"""),"獎狀")</f>
        <v>獎狀</v>
      </c>
      <c r="H2264" s="8"/>
    </row>
    <row r="2265">
      <c r="A2265" s="18"/>
      <c r="B2265" s="14">
        <f>IFERROR(__xludf.DUMMYFUNCTION("""COMPUTED_VALUE"""),856860.0)</f>
        <v>856860</v>
      </c>
      <c r="C2265" s="14" t="str">
        <f>IFERROR(__xludf.DUMMYFUNCTION("""COMPUTED_VALUE"""),"王昱傑")</f>
        <v>王昱傑</v>
      </c>
      <c r="D2265" s="16" t="str">
        <f>IFERROR(__xludf.DUMMYFUNCTION("""COMPUTED_VALUE"""),"s11*****ngjh.ntct.edu.tw")</f>
        <v>s11*****ngjh.ntct.edu.tw</v>
      </c>
      <c r="E2265" s="17" t="str">
        <f>IFERROR(__xludf.DUMMYFUNCTION("""COMPUTED_VALUE"""),"南投縣立南崗國民中學")</f>
        <v>南投縣立南崗國民中學</v>
      </c>
      <c r="F2265" s="14" t="str">
        <f>IFERROR(__xludf.DUMMYFUNCTION("""COMPUTED_VALUE"""),"八年級")</f>
        <v>八年級</v>
      </c>
      <c r="G2265" s="14" t="str">
        <f>IFERROR(__xludf.DUMMYFUNCTION("""COMPUTED_VALUE"""),"獎狀")</f>
        <v>獎狀</v>
      </c>
      <c r="H2265" s="8"/>
    </row>
    <row r="2266">
      <c r="A2266" s="18"/>
      <c r="B2266" s="14">
        <f>IFERROR(__xludf.DUMMYFUNCTION("""COMPUTED_VALUE"""),811739.0)</f>
        <v>811739</v>
      </c>
      <c r="C2266" s="14" t="str">
        <f>IFERROR(__xludf.DUMMYFUNCTION("""COMPUTED_VALUE"""),"邱翊慈")</f>
        <v>邱翊慈</v>
      </c>
      <c r="D2266" s="16" t="str">
        <f>IFERROR(__xludf.DUMMYFUNCTION("""COMPUTED_VALUE"""),"s11*****ngjh.ntct.edu.tw")</f>
        <v>s11*****ngjh.ntct.edu.tw</v>
      </c>
      <c r="E2266" s="17" t="str">
        <f>IFERROR(__xludf.DUMMYFUNCTION("""COMPUTED_VALUE"""),"南投縣立南崗國民中學")</f>
        <v>南投縣立南崗國民中學</v>
      </c>
      <c r="F2266" s="14" t="str">
        <f>IFERROR(__xludf.DUMMYFUNCTION("""COMPUTED_VALUE"""),"八年級")</f>
        <v>八年級</v>
      </c>
      <c r="G2266" s="14" t="str">
        <f>IFERROR(__xludf.DUMMYFUNCTION("""COMPUTED_VALUE"""),"獎狀")</f>
        <v>獎狀</v>
      </c>
      <c r="H2266" s="8"/>
    </row>
    <row r="2267">
      <c r="A2267" s="18"/>
      <c r="B2267" s="14">
        <f>IFERROR(__xludf.DUMMYFUNCTION("""COMPUTED_VALUE"""),1026260.0)</f>
        <v>1026260</v>
      </c>
      <c r="C2267" s="14" t="str">
        <f>IFERROR(__xludf.DUMMYFUNCTION("""COMPUTED_VALUE"""),"莊庭榛")</f>
        <v>莊庭榛</v>
      </c>
      <c r="D2267" s="16" t="str">
        <f>IFERROR(__xludf.DUMMYFUNCTION("""COMPUTED_VALUE"""),"s01*****.ntct@go.edu.tw")</f>
        <v>s01*****.ntct@go.edu.tw</v>
      </c>
      <c r="E2267" s="17" t="str">
        <f>IFERROR(__xludf.DUMMYFUNCTION("""COMPUTED_VALUE"""),"南投縣立中興國民中學")</f>
        <v>南投縣立中興國民中學</v>
      </c>
      <c r="F2267" s="14" t="str">
        <f>IFERROR(__xludf.DUMMYFUNCTION("""COMPUTED_VALUE"""),"八年級")</f>
        <v>八年級</v>
      </c>
      <c r="G2267" s="14" t="str">
        <f>IFERROR(__xludf.DUMMYFUNCTION("""COMPUTED_VALUE"""),"●小禮物")</f>
        <v>●小禮物</v>
      </c>
      <c r="H2267" s="8"/>
    </row>
    <row r="2268">
      <c r="A2268" s="18"/>
      <c r="B2268" s="14">
        <f>IFERROR(__xludf.DUMMYFUNCTION("""COMPUTED_VALUE"""),300615.0)</f>
        <v>300615</v>
      </c>
      <c r="C2268" s="14" t="str">
        <f>IFERROR(__xludf.DUMMYFUNCTION("""COMPUTED_VALUE"""),"林家蔚")</f>
        <v>林家蔚</v>
      </c>
      <c r="D2268" s="16" t="str">
        <f>IFERROR(__xludf.DUMMYFUNCTION("""COMPUTED_VALUE"""),"103*****chups.ntct.edu.tw")</f>
        <v>103*****chups.ntct.edu.tw</v>
      </c>
      <c r="E2268" s="17" t="str">
        <f>IFERROR(__xludf.DUMMYFUNCTION("""COMPUTED_VALUE"""),"南投縣立中興國民中學")</f>
        <v>南投縣立中興國民中學</v>
      </c>
      <c r="F2268" s="14" t="str">
        <f>IFERROR(__xludf.DUMMYFUNCTION("""COMPUTED_VALUE"""),"九年級")</f>
        <v>九年級</v>
      </c>
      <c r="G2268" s="14" t="str">
        <f>IFERROR(__xludf.DUMMYFUNCTION("""COMPUTED_VALUE"""),"●小禮物")</f>
        <v>●小禮物</v>
      </c>
      <c r="H2268" s="8"/>
    </row>
    <row r="2269">
      <c r="A2269" s="18"/>
      <c r="B2269" s="14">
        <f>IFERROR(__xludf.DUMMYFUNCTION("""COMPUTED_VALUE"""),769260.0)</f>
        <v>769260</v>
      </c>
      <c r="C2269" s="14" t="str">
        <f>IFERROR(__xludf.DUMMYFUNCTION("""COMPUTED_VALUE"""),"賴瑀婕")</f>
        <v>賴瑀婕</v>
      </c>
      <c r="D2269" s="16" t="str">
        <f>IFERROR(__xludf.DUMMYFUNCTION("""COMPUTED_VALUE"""),"q22*****3@gmail.com")</f>
        <v>q22*****3@gmail.com</v>
      </c>
      <c r="E2269" s="17" t="str">
        <f>IFERROR(__xludf.DUMMYFUNCTION("""COMPUTED_VALUE"""),"南投縣立中興國民中學")</f>
        <v>南投縣立中興國民中學</v>
      </c>
      <c r="F2269" s="14" t="str">
        <f>IFERROR(__xludf.DUMMYFUNCTION("""COMPUTED_VALUE"""),"九年級")</f>
        <v>九年級</v>
      </c>
      <c r="G2269" s="14" t="str">
        <f>IFERROR(__xludf.DUMMYFUNCTION("""COMPUTED_VALUE"""),"●小禮物")</f>
        <v>●小禮物</v>
      </c>
      <c r="H2269" s="8"/>
    </row>
    <row r="2270">
      <c r="A2270" s="18"/>
      <c r="B2270" s="14">
        <f>IFERROR(__xludf.DUMMYFUNCTION("""COMPUTED_VALUE"""),820922.0)</f>
        <v>820922</v>
      </c>
      <c r="C2270" s="14" t="str">
        <f>IFERROR(__xludf.DUMMYFUNCTION("""COMPUTED_VALUE"""),"賴妍安")</f>
        <v>賴妍安</v>
      </c>
      <c r="D2270" s="16" t="str">
        <f>IFERROR(__xludf.DUMMYFUNCTION("""COMPUTED_VALUE"""),"110*****tjh.ntct.edu.tw")</f>
        <v>110*****tjh.ntct.edu.tw</v>
      </c>
      <c r="E2270" s="17" t="str">
        <f>IFERROR(__xludf.DUMMYFUNCTION("""COMPUTED_VALUE"""),"南投縣立南投國民中學")</f>
        <v>南投縣立南投國民中學</v>
      </c>
      <c r="F2270" s="14" t="str">
        <f>IFERROR(__xludf.DUMMYFUNCTION("""COMPUTED_VALUE"""),"八年級")</f>
        <v>八年級</v>
      </c>
      <c r="G2270" s="14" t="str">
        <f>IFERROR(__xludf.DUMMYFUNCTION("""COMPUTED_VALUE"""),"獎狀")</f>
        <v>獎狀</v>
      </c>
      <c r="H2270" s="8"/>
    </row>
    <row r="2271">
      <c r="A2271" s="18"/>
      <c r="B2271" s="14">
        <f>IFERROR(__xludf.DUMMYFUNCTION("""COMPUTED_VALUE"""),773850.0)</f>
        <v>773850</v>
      </c>
      <c r="C2271" s="14" t="str">
        <f>IFERROR(__xludf.DUMMYFUNCTION("""COMPUTED_VALUE"""),"李宜瑾")</f>
        <v>李宜瑾</v>
      </c>
      <c r="D2271" s="16" t="str">
        <f>IFERROR(__xludf.DUMMYFUNCTION("""COMPUTED_VALUE"""),"st1*****@skjhs.ntct.edu.tw")</f>
        <v>st1*****@skjhs.ntct.edu.tw</v>
      </c>
      <c r="E2271" s="17" t="str">
        <f>IFERROR(__xludf.DUMMYFUNCTION("""COMPUTED_VALUE"""),"南投縣立旭光高級中學附設國中部")</f>
        <v>南投縣立旭光高級中學附設國中部</v>
      </c>
      <c r="F2271" s="14" t="str">
        <f>IFERROR(__xludf.DUMMYFUNCTION("""COMPUTED_VALUE"""),"九年級")</f>
        <v>九年級</v>
      </c>
      <c r="G2271" s="14" t="str">
        <f>IFERROR(__xludf.DUMMYFUNCTION("""COMPUTED_VALUE"""),"●小禮物")</f>
        <v>●小禮物</v>
      </c>
      <c r="H2271" s="8"/>
    </row>
    <row r="2272">
      <c r="A2272" s="18"/>
      <c r="B2272" s="14">
        <f>IFERROR(__xludf.DUMMYFUNCTION("""COMPUTED_VALUE"""),472538.0)</f>
        <v>472538</v>
      </c>
      <c r="C2272" s="14" t="str">
        <f>IFERROR(__xludf.DUMMYFUNCTION("""COMPUTED_VALUE"""),"李峻澤")</f>
        <v>李峻澤</v>
      </c>
      <c r="D2272" s="16" t="str">
        <f>IFERROR(__xludf.DUMMYFUNCTION("""COMPUTED_VALUE"""),"s01*****@mail.edu.tw")</f>
        <v>s01*****@mail.edu.tw</v>
      </c>
      <c r="E2272" s="17" t="str">
        <f>IFERROR(__xludf.DUMMYFUNCTION("""COMPUTED_VALUE"""),"南投縣立草屯國民中學")</f>
        <v>南投縣立草屯國民中學</v>
      </c>
      <c r="F2272" s="14" t="str">
        <f>IFERROR(__xludf.DUMMYFUNCTION("""COMPUTED_VALUE"""),"八年級")</f>
        <v>八年級</v>
      </c>
      <c r="G2272" s="14" t="str">
        <f>IFERROR(__xludf.DUMMYFUNCTION("""COMPUTED_VALUE"""),"●小禮物")</f>
        <v>●小禮物</v>
      </c>
      <c r="H2272" s="8"/>
    </row>
    <row r="2273">
      <c r="A2273" s="18"/>
      <c r="B2273" s="14">
        <f>IFERROR(__xludf.DUMMYFUNCTION("""COMPUTED_VALUE"""),312073.0)</f>
        <v>312073</v>
      </c>
      <c r="C2273" s="14" t="str">
        <f>IFERROR(__xludf.DUMMYFUNCTION("""COMPUTED_VALUE"""),"洪知希")</f>
        <v>洪知希</v>
      </c>
      <c r="D2273" s="16" t="str">
        <f>IFERROR(__xludf.DUMMYFUNCTION("""COMPUTED_VALUE"""),"s01*****@mail.edu.tw")</f>
        <v>s01*****@mail.edu.tw</v>
      </c>
      <c r="E2273" s="17" t="str">
        <f>IFERROR(__xludf.DUMMYFUNCTION("""COMPUTED_VALUE"""),"南投縣立草屯國民中學")</f>
        <v>南投縣立草屯國民中學</v>
      </c>
      <c r="F2273" s="14" t="str">
        <f>IFERROR(__xludf.DUMMYFUNCTION("""COMPUTED_VALUE"""),"八年級")</f>
        <v>八年級</v>
      </c>
      <c r="G2273" s="14" t="str">
        <f>IFERROR(__xludf.DUMMYFUNCTION("""COMPUTED_VALUE"""),"●小禮物")</f>
        <v>●小禮物</v>
      </c>
      <c r="H2273" s="8"/>
    </row>
    <row r="2274">
      <c r="A2274" s="18"/>
      <c r="B2274" s="14">
        <f>IFERROR(__xludf.DUMMYFUNCTION("""COMPUTED_VALUE"""),472504.0)</f>
        <v>472504</v>
      </c>
      <c r="C2274" s="14" t="str">
        <f>IFERROR(__xludf.DUMMYFUNCTION("""COMPUTED_VALUE"""),"張耘睿")</f>
        <v>張耘睿</v>
      </c>
      <c r="D2274" s="16" t="str">
        <f>IFERROR(__xludf.DUMMYFUNCTION("""COMPUTED_VALUE"""),"s01*****@mail.edu.tw")</f>
        <v>s01*****@mail.edu.tw</v>
      </c>
      <c r="E2274" s="17" t="str">
        <f>IFERROR(__xludf.DUMMYFUNCTION("""COMPUTED_VALUE"""),"南投縣立草屯國民中學")</f>
        <v>南投縣立草屯國民中學</v>
      </c>
      <c r="F2274" s="14" t="str">
        <f>IFERROR(__xludf.DUMMYFUNCTION("""COMPUTED_VALUE"""),"八年級")</f>
        <v>八年級</v>
      </c>
      <c r="G2274" s="14" t="str">
        <f>IFERROR(__xludf.DUMMYFUNCTION("""COMPUTED_VALUE"""),"●小禮物")</f>
        <v>●小禮物</v>
      </c>
      <c r="H2274" s="8"/>
    </row>
    <row r="2275">
      <c r="A2275" s="18"/>
      <c r="B2275" s="14">
        <f>IFERROR(__xludf.DUMMYFUNCTION("""COMPUTED_VALUE"""),848843.0)</f>
        <v>848843</v>
      </c>
      <c r="C2275" s="14" t="str">
        <f>IFERROR(__xludf.DUMMYFUNCTION("""COMPUTED_VALUE"""),"劉澤龍")</f>
        <v>劉澤龍</v>
      </c>
      <c r="D2275" s="16" t="str">
        <f>IFERROR(__xludf.DUMMYFUNCTION("""COMPUTED_VALUE"""),"s01*****.boar@mail.edu.tw")</f>
        <v>s01*****.boar@mail.edu.tw</v>
      </c>
      <c r="E2275" s="17" t="str">
        <f>IFERROR(__xludf.DUMMYFUNCTION("""COMPUTED_VALUE"""),"南投縣立草屯國民中學")</f>
        <v>南投縣立草屯國民中學</v>
      </c>
      <c r="F2275" s="14" t="str">
        <f>IFERROR(__xludf.DUMMYFUNCTION("""COMPUTED_VALUE"""),"八年級")</f>
        <v>八年級</v>
      </c>
      <c r="G2275" s="14" t="str">
        <f>IFERROR(__xludf.DUMMYFUNCTION("""COMPUTED_VALUE"""),"●小禮物")</f>
        <v>●小禮物</v>
      </c>
      <c r="H2275" s="8"/>
    </row>
    <row r="2276">
      <c r="A2276" s="18"/>
      <c r="B2276" s="14">
        <f>IFERROR(__xludf.DUMMYFUNCTION("""COMPUTED_VALUE"""),847906.0)</f>
        <v>847906</v>
      </c>
      <c r="C2276" s="14" t="str">
        <f>IFERROR(__xludf.DUMMYFUNCTION("""COMPUTED_VALUE"""),"洪晨瑄")</f>
        <v>洪晨瑄</v>
      </c>
      <c r="D2276" s="16" t="str">
        <f>IFERROR(__xludf.DUMMYFUNCTION("""COMPUTED_VALUE"""),"s01*****@mail.edu.tw")</f>
        <v>s01*****@mail.edu.tw</v>
      </c>
      <c r="E2276" s="17" t="str">
        <f>IFERROR(__xludf.DUMMYFUNCTION("""COMPUTED_VALUE"""),"南投縣立草屯國民中學")</f>
        <v>南投縣立草屯國民中學</v>
      </c>
      <c r="F2276" s="14" t="str">
        <f>IFERROR(__xludf.DUMMYFUNCTION("""COMPUTED_VALUE"""),"八年級")</f>
        <v>八年級</v>
      </c>
      <c r="G2276" s="14" t="str">
        <f>IFERROR(__xludf.DUMMYFUNCTION("""COMPUTED_VALUE"""),"★禮券$200")</f>
        <v>★禮券$200</v>
      </c>
      <c r="H2276" s="8"/>
    </row>
    <row r="2277">
      <c r="A2277" s="18"/>
      <c r="B2277" s="14">
        <f>IFERROR(__xludf.DUMMYFUNCTION("""COMPUTED_VALUE"""),848844.0)</f>
        <v>848844</v>
      </c>
      <c r="C2277" s="14" t="str">
        <f>IFERROR(__xludf.DUMMYFUNCTION("""COMPUTED_VALUE"""),"黃佑涵")</f>
        <v>黃佑涵</v>
      </c>
      <c r="D2277" s="16" t="str">
        <f>IFERROR(__xludf.DUMMYFUNCTION("""COMPUTED_VALUE"""),"s01*****@mail.edu.tw")</f>
        <v>s01*****@mail.edu.tw</v>
      </c>
      <c r="E2277" s="17" t="str">
        <f>IFERROR(__xludf.DUMMYFUNCTION("""COMPUTED_VALUE"""),"南投縣立草屯國民中學")</f>
        <v>南投縣立草屯國民中學</v>
      </c>
      <c r="F2277" s="14" t="str">
        <f>IFERROR(__xludf.DUMMYFUNCTION("""COMPUTED_VALUE"""),"八年級")</f>
        <v>八年級</v>
      </c>
      <c r="G2277" s="14" t="str">
        <f>IFERROR(__xludf.DUMMYFUNCTION("""COMPUTED_VALUE"""),"★禮券$200")</f>
        <v>★禮券$200</v>
      </c>
      <c r="H2277" s="8"/>
    </row>
    <row r="2278">
      <c r="A2278" s="18"/>
      <c r="B2278" s="14">
        <f>IFERROR(__xludf.DUMMYFUNCTION("""COMPUTED_VALUE"""),1185802.0)</f>
        <v>1185802</v>
      </c>
      <c r="C2278" s="14" t="str">
        <f>IFERROR(__xludf.DUMMYFUNCTION("""COMPUTED_VALUE"""),"李岱錦")</f>
        <v>李岱錦</v>
      </c>
      <c r="D2278" s="16" t="str">
        <f>IFERROR(__xludf.DUMMYFUNCTION("""COMPUTED_VALUE"""),"s01*****@go.edu.tw")</f>
        <v>s01*****@go.edu.tw</v>
      </c>
      <c r="E2278" s="17" t="str">
        <f>IFERROR(__xludf.DUMMYFUNCTION("""COMPUTED_VALUE"""),"南投縣立草屯國民中學")</f>
        <v>南投縣立草屯國民中學</v>
      </c>
      <c r="F2278" s="14" t="str">
        <f>IFERROR(__xludf.DUMMYFUNCTION("""COMPUTED_VALUE"""),"八年級")</f>
        <v>八年級</v>
      </c>
      <c r="G2278" s="14" t="str">
        <f>IFERROR(__xludf.DUMMYFUNCTION("""COMPUTED_VALUE"""),"獎狀")</f>
        <v>獎狀</v>
      </c>
      <c r="H2278" s="8"/>
    </row>
    <row r="2279">
      <c r="A2279" s="18"/>
      <c r="B2279" s="14">
        <f>IFERROR(__xludf.DUMMYFUNCTION("""COMPUTED_VALUE"""),847877.0)</f>
        <v>847877</v>
      </c>
      <c r="C2279" s="14" t="str">
        <f>IFERROR(__xludf.DUMMYFUNCTION("""COMPUTED_VALUE"""),"林韋呈")</f>
        <v>林韋呈</v>
      </c>
      <c r="D2279" s="16" t="str">
        <f>IFERROR(__xludf.DUMMYFUNCTION("""COMPUTED_VALUE"""),"s01*****@mail.edu.tw")</f>
        <v>s01*****@mail.edu.tw</v>
      </c>
      <c r="E2279" s="17" t="str">
        <f>IFERROR(__xludf.DUMMYFUNCTION("""COMPUTED_VALUE"""),"南投縣立草屯國民中學")</f>
        <v>南投縣立草屯國民中學</v>
      </c>
      <c r="F2279" s="14" t="str">
        <f>IFERROR(__xludf.DUMMYFUNCTION("""COMPUTED_VALUE"""),"八年級")</f>
        <v>八年級</v>
      </c>
      <c r="G2279" s="14" t="str">
        <f>IFERROR(__xludf.DUMMYFUNCTION("""COMPUTED_VALUE"""),"獎狀")</f>
        <v>獎狀</v>
      </c>
      <c r="H2279" s="8"/>
    </row>
    <row r="2280">
      <c r="A2280" s="18"/>
      <c r="B2280" s="14">
        <f>IFERROR(__xludf.DUMMYFUNCTION("""COMPUTED_VALUE"""),847878.0)</f>
        <v>847878</v>
      </c>
      <c r="C2280" s="14" t="str">
        <f>IFERROR(__xludf.DUMMYFUNCTION("""COMPUTED_VALUE"""),"洪妍盈")</f>
        <v>洪妍盈</v>
      </c>
      <c r="D2280" s="16" t="str">
        <f>IFERROR(__xludf.DUMMYFUNCTION("""COMPUTED_VALUE"""),"s01*****@mail.edu.tw")</f>
        <v>s01*****@mail.edu.tw</v>
      </c>
      <c r="E2280" s="17" t="str">
        <f>IFERROR(__xludf.DUMMYFUNCTION("""COMPUTED_VALUE"""),"南投縣立草屯國民中學")</f>
        <v>南投縣立草屯國民中學</v>
      </c>
      <c r="F2280" s="14" t="str">
        <f>IFERROR(__xludf.DUMMYFUNCTION("""COMPUTED_VALUE"""),"八年級")</f>
        <v>八年級</v>
      </c>
      <c r="G2280" s="14" t="str">
        <f>IFERROR(__xludf.DUMMYFUNCTION("""COMPUTED_VALUE"""),"獎狀")</f>
        <v>獎狀</v>
      </c>
      <c r="H2280" s="8"/>
    </row>
    <row r="2281">
      <c r="A2281" s="18"/>
      <c r="B2281" s="14">
        <f>IFERROR(__xludf.DUMMYFUNCTION("""COMPUTED_VALUE"""),847875.0)</f>
        <v>847875</v>
      </c>
      <c r="C2281" s="14" t="str">
        <f>IFERROR(__xludf.DUMMYFUNCTION("""COMPUTED_VALUE"""),"洪銘鍾")</f>
        <v>洪銘鍾</v>
      </c>
      <c r="D2281" s="16" t="str">
        <f>IFERROR(__xludf.DUMMYFUNCTION("""COMPUTED_VALUE"""),"s01*****.ntct@mail.edu.tw")</f>
        <v>s01*****.ntct@mail.edu.tw</v>
      </c>
      <c r="E2281" s="17" t="str">
        <f>IFERROR(__xludf.DUMMYFUNCTION("""COMPUTED_VALUE"""),"南投縣立草屯國民中學")</f>
        <v>南投縣立草屯國民中學</v>
      </c>
      <c r="F2281" s="14" t="str">
        <f>IFERROR(__xludf.DUMMYFUNCTION("""COMPUTED_VALUE"""),"八年級")</f>
        <v>八年級</v>
      </c>
      <c r="G2281" s="14" t="str">
        <f>IFERROR(__xludf.DUMMYFUNCTION("""COMPUTED_VALUE"""),"獎狀")</f>
        <v>獎狀</v>
      </c>
      <c r="H2281" s="8"/>
    </row>
    <row r="2282">
      <c r="A2282" s="18"/>
      <c r="B2282" s="14">
        <f>IFERROR(__xludf.DUMMYFUNCTION("""COMPUTED_VALUE"""),1208031.0)</f>
        <v>1208031</v>
      </c>
      <c r="C2282" s="14" t="str">
        <f>IFERROR(__xludf.DUMMYFUNCTION("""COMPUTED_VALUE"""),"曾宣宜")</f>
        <v>曾宣宜</v>
      </c>
      <c r="D2282" s="16" t="str">
        <f>IFERROR(__xludf.DUMMYFUNCTION("""COMPUTED_VALUE"""),"s01*****.ntct@mail.edu.tw")</f>
        <v>s01*****.ntct@mail.edu.tw</v>
      </c>
      <c r="E2282" s="17" t="str">
        <f>IFERROR(__xludf.DUMMYFUNCTION("""COMPUTED_VALUE"""),"南投縣立草屯國民中學")</f>
        <v>南投縣立草屯國民中學</v>
      </c>
      <c r="F2282" s="14" t="str">
        <f>IFERROR(__xludf.DUMMYFUNCTION("""COMPUTED_VALUE"""),"八年級")</f>
        <v>八年級</v>
      </c>
      <c r="G2282" s="14" t="str">
        <f>IFERROR(__xludf.DUMMYFUNCTION("""COMPUTED_VALUE"""),"●小禮物")</f>
        <v>●小禮物</v>
      </c>
      <c r="H2282" s="8"/>
    </row>
    <row r="2283">
      <c r="A2283" s="18"/>
      <c r="B2283" s="14">
        <f>IFERROR(__xludf.DUMMYFUNCTION("""COMPUTED_VALUE"""),1184493.0)</f>
        <v>1184493</v>
      </c>
      <c r="C2283" s="14" t="str">
        <f>IFERROR(__xludf.DUMMYFUNCTION("""COMPUTED_VALUE"""),"葉宗勳")</f>
        <v>葉宗勳</v>
      </c>
      <c r="D2283" s="16" t="str">
        <f>IFERROR(__xludf.DUMMYFUNCTION("""COMPUTED_VALUE"""),"111*****mjh.ntct.edu.tw")</f>
        <v>111*****mjh.ntct.edu.tw</v>
      </c>
      <c r="E2283" s="17" t="str">
        <f>IFERROR(__xludf.DUMMYFUNCTION("""COMPUTED_VALUE"""),"南投縣立北梅國民中學")</f>
        <v>南投縣立北梅國民中學</v>
      </c>
      <c r="F2283" s="14" t="str">
        <f>IFERROR(__xludf.DUMMYFUNCTION("""COMPUTED_VALUE"""),"七年級")</f>
        <v>七年級</v>
      </c>
      <c r="G2283" s="14" t="str">
        <f>IFERROR(__xludf.DUMMYFUNCTION("""COMPUTED_VALUE"""),"●小禮物")</f>
        <v>●小禮物</v>
      </c>
      <c r="H2283" s="8"/>
    </row>
    <row r="2284">
      <c r="A2284" s="18"/>
      <c r="B2284" s="14">
        <f>IFERROR(__xludf.DUMMYFUNCTION("""COMPUTED_VALUE"""),1184489.0)</f>
        <v>1184489</v>
      </c>
      <c r="C2284" s="14" t="str">
        <f>IFERROR(__xludf.DUMMYFUNCTION("""COMPUTED_VALUE"""),"林姿妤")</f>
        <v>林姿妤</v>
      </c>
      <c r="D2284" s="16" t="str">
        <f>IFERROR(__xludf.DUMMYFUNCTION("""COMPUTED_VALUE"""),"111*****mjh.ntct.edu.tw")</f>
        <v>111*****mjh.ntct.edu.tw</v>
      </c>
      <c r="E2284" s="17" t="str">
        <f>IFERROR(__xludf.DUMMYFUNCTION("""COMPUTED_VALUE"""),"南投縣立北梅國民中學")</f>
        <v>南投縣立北梅國民中學</v>
      </c>
      <c r="F2284" s="14" t="str">
        <f>IFERROR(__xludf.DUMMYFUNCTION("""COMPUTED_VALUE"""),"七年級")</f>
        <v>七年級</v>
      </c>
      <c r="G2284" s="14" t="str">
        <f>IFERROR(__xludf.DUMMYFUNCTION("""COMPUTED_VALUE"""),"獎狀")</f>
        <v>獎狀</v>
      </c>
      <c r="H2284" s="8"/>
    </row>
    <row r="2285">
      <c r="A2285" s="18"/>
      <c r="B2285" s="14">
        <f>IFERROR(__xludf.DUMMYFUNCTION("""COMPUTED_VALUE"""),1184503.0)</f>
        <v>1184503</v>
      </c>
      <c r="C2285" s="14" t="str">
        <f>IFERROR(__xludf.DUMMYFUNCTION("""COMPUTED_VALUE"""),"邱于恩")</f>
        <v>邱于恩</v>
      </c>
      <c r="D2285" s="16" t="str">
        <f>IFERROR(__xludf.DUMMYFUNCTION("""COMPUTED_VALUE"""),"111*****mjh.ntct.edu.tw")</f>
        <v>111*****mjh.ntct.edu.tw</v>
      </c>
      <c r="E2285" s="17" t="str">
        <f>IFERROR(__xludf.DUMMYFUNCTION("""COMPUTED_VALUE"""),"南投縣立北梅國民中學")</f>
        <v>南投縣立北梅國民中學</v>
      </c>
      <c r="F2285" s="14" t="str">
        <f>IFERROR(__xludf.DUMMYFUNCTION("""COMPUTED_VALUE"""),"七年級")</f>
        <v>七年級</v>
      </c>
      <c r="G2285" s="14" t="str">
        <f>IFERROR(__xludf.DUMMYFUNCTION("""COMPUTED_VALUE"""),"獎狀")</f>
        <v>獎狀</v>
      </c>
      <c r="H2285" s="8"/>
    </row>
    <row r="2286">
      <c r="A2286" s="18"/>
      <c r="B2286" s="14">
        <f>IFERROR(__xludf.DUMMYFUNCTION("""COMPUTED_VALUE"""),1184524.0)</f>
        <v>1184524</v>
      </c>
      <c r="C2286" s="14" t="str">
        <f>IFERROR(__xludf.DUMMYFUNCTION("""COMPUTED_VALUE"""),"江建龍")</f>
        <v>江建龍</v>
      </c>
      <c r="D2286" s="16" t="str">
        <f>IFERROR(__xludf.DUMMYFUNCTION("""COMPUTED_VALUE"""),"111*****mjh.ntct.edu.tw")</f>
        <v>111*****mjh.ntct.edu.tw</v>
      </c>
      <c r="E2286" s="17" t="str">
        <f>IFERROR(__xludf.DUMMYFUNCTION("""COMPUTED_VALUE"""),"南投縣立北梅國民中學")</f>
        <v>南投縣立北梅國民中學</v>
      </c>
      <c r="F2286" s="14" t="str">
        <f>IFERROR(__xludf.DUMMYFUNCTION("""COMPUTED_VALUE"""),"七年級")</f>
        <v>七年級</v>
      </c>
      <c r="G2286" s="14" t="str">
        <f>IFERROR(__xludf.DUMMYFUNCTION("""COMPUTED_VALUE"""),"●小禮物")</f>
        <v>●小禮物</v>
      </c>
      <c r="H2286" s="8"/>
    </row>
    <row r="2287">
      <c r="A2287" s="18"/>
      <c r="B2287" s="14">
        <f>IFERROR(__xludf.DUMMYFUNCTION("""COMPUTED_VALUE"""),1184527.0)</f>
        <v>1184527</v>
      </c>
      <c r="C2287" s="14" t="str">
        <f>IFERROR(__xludf.DUMMYFUNCTION("""COMPUTED_VALUE"""),"桂冠軍")</f>
        <v>桂冠軍</v>
      </c>
      <c r="D2287" s="16" t="str">
        <f>IFERROR(__xludf.DUMMYFUNCTION("""COMPUTED_VALUE"""),"111*****mjh.ntct.edu.tw")</f>
        <v>111*****mjh.ntct.edu.tw</v>
      </c>
      <c r="E2287" s="17" t="str">
        <f>IFERROR(__xludf.DUMMYFUNCTION("""COMPUTED_VALUE"""),"南投縣立北梅國民中學")</f>
        <v>南投縣立北梅國民中學</v>
      </c>
      <c r="F2287" s="14" t="str">
        <f>IFERROR(__xludf.DUMMYFUNCTION("""COMPUTED_VALUE"""),"七年級")</f>
        <v>七年級</v>
      </c>
      <c r="G2287" s="14" t="str">
        <f>IFERROR(__xludf.DUMMYFUNCTION("""COMPUTED_VALUE"""),"獎狀")</f>
        <v>獎狀</v>
      </c>
      <c r="H2287" s="8"/>
    </row>
    <row r="2288">
      <c r="A2288" s="18"/>
      <c r="B2288" s="14">
        <f>IFERROR(__xludf.DUMMYFUNCTION("""COMPUTED_VALUE"""),1184504.0)</f>
        <v>1184504</v>
      </c>
      <c r="C2288" s="14" t="str">
        <f>IFERROR(__xludf.DUMMYFUNCTION("""COMPUTED_VALUE"""),"賴怡欣")</f>
        <v>賴怡欣</v>
      </c>
      <c r="D2288" s="16" t="str">
        <f>IFERROR(__xludf.DUMMYFUNCTION("""COMPUTED_VALUE"""),"111*****mjh.ntct.edu.tw")</f>
        <v>111*****mjh.ntct.edu.tw</v>
      </c>
      <c r="E2288" s="17" t="str">
        <f>IFERROR(__xludf.DUMMYFUNCTION("""COMPUTED_VALUE"""),"南投縣立北梅國民中學")</f>
        <v>南投縣立北梅國民中學</v>
      </c>
      <c r="F2288" s="14" t="str">
        <f>IFERROR(__xludf.DUMMYFUNCTION("""COMPUTED_VALUE"""),"七年級")</f>
        <v>七年級</v>
      </c>
      <c r="G2288" s="14" t="str">
        <f>IFERROR(__xludf.DUMMYFUNCTION("""COMPUTED_VALUE"""),"獎狀")</f>
        <v>獎狀</v>
      </c>
      <c r="H2288" s="8"/>
    </row>
    <row r="2289">
      <c r="A2289" s="18"/>
      <c r="B2289" s="14">
        <f>IFERROR(__xludf.DUMMYFUNCTION("""COMPUTED_VALUE"""),803099.0)</f>
        <v>803099</v>
      </c>
      <c r="C2289" s="14" t="str">
        <f>IFERROR(__xludf.DUMMYFUNCTION("""COMPUTED_VALUE"""),"邱國楨")</f>
        <v>邱國楨</v>
      </c>
      <c r="D2289" s="16" t="str">
        <f>IFERROR(__xludf.DUMMYFUNCTION("""COMPUTED_VALUE"""),"110*****mjh.ntct.edu.tw")</f>
        <v>110*****mjh.ntct.edu.tw</v>
      </c>
      <c r="E2289" s="17" t="str">
        <f>IFERROR(__xludf.DUMMYFUNCTION("""COMPUTED_VALUE"""),"南投縣立北梅國民中學")</f>
        <v>南投縣立北梅國民中學</v>
      </c>
      <c r="F2289" s="14" t="str">
        <f>IFERROR(__xludf.DUMMYFUNCTION("""COMPUTED_VALUE"""),"八年級")</f>
        <v>八年級</v>
      </c>
      <c r="G2289" s="14" t="str">
        <f>IFERROR(__xludf.DUMMYFUNCTION("""COMPUTED_VALUE"""),"●小禮物")</f>
        <v>●小禮物</v>
      </c>
      <c r="H2289" s="8"/>
    </row>
    <row r="2290">
      <c r="A2290" s="18"/>
      <c r="B2290" s="14">
        <f>IFERROR(__xludf.DUMMYFUNCTION("""COMPUTED_VALUE"""),803088.0)</f>
        <v>803088</v>
      </c>
      <c r="C2290" s="14" t="str">
        <f>IFERROR(__xludf.DUMMYFUNCTION("""COMPUTED_VALUE"""),"高培軒")</f>
        <v>高培軒</v>
      </c>
      <c r="D2290" s="16" t="str">
        <f>IFERROR(__xludf.DUMMYFUNCTION("""COMPUTED_VALUE"""),"110*****mjh.ntct.edu.tw")</f>
        <v>110*****mjh.ntct.edu.tw</v>
      </c>
      <c r="E2290" s="17" t="str">
        <f>IFERROR(__xludf.DUMMYFUNCTION("""COMPUTED_VALUE"""),"南投縣立北梅國民中學")</f>
        <v>南投縣立北梅國民中學</v>
      </c>
      <c r="F2290" s="14" t="str">
        <f>IFERROR(__xludf.DUMMYFUNCTION("""COMPUTED_VALUE"""),"八年級")</f>
        <v>八年級</v>
      </c>
      <c r="G2290" s="14" t="str">
        <f>IFERROR(__xludf.DUMMYFUNCTION("""COMPUTED_VALUE"""),"●小禮物")</f>
        <v>●小禮物</v>
      </c>
      <c r="H2290" s="8"/>
    </row>
    <row r="2291">
      <c r="A2291" s="18"/>
      <c r="B2291" s="14">
        <f>IFERROR(__xludf.DUMMYFUNCTION("""COMPUTED_VALUE"""),803103.0)</f>
        <v>803103</v>
      </c>
      <c r="C2291" s="14" t="str">
        <f>IFERROR(__xludf.DUMMYFUNCTION("""COMPUTED_VALUE"""),"葉韋欣")</f>
        <v>葉韋欣</v>
      </c>
      <c r="D2291" s="16" t="str">
        <f>IFERROR(__xludf.DUMMYFUNCTION("""COMPUTED_VALUE"""),"110*****mjh.ntct.edu.tw")</f>
        <v>110*****mjh.ntct.edu.tw</v>
      </c>
      <c r="E2291" s="17" t="str">
        <f>IFERROR(__xludf.DUMMYFUNCTION("""COMPUTED_VALUE"""),"南投縣立北梅國民中學")</f>
        <v>南投縣立北梅國民中學</v>
      </c>
      <c r="F2291" s="14" t="str">
        <f>IFERROR(__xludf.DUMMYFUNCTION("""COMPUTED_VALUE"""),"八年級")</f>
        <v>八年級</v>
      </c>
      <c r="G2291" s="14" t="str">
        <f>IFERROR(__xludf.DUMMYFUNCTION("""COMPUTED_VALUE"""),"●小禮物")</f>
        <v>●小禮物</v>
      </c>
      <c r="H2291" s="8"/>
    </row>
    <row r="2292">
      <c r="A2292" s="18"/>
      <c r="B2292" s="14">
        <f>IFERROR(__xludf.DUMMYFUNCTION("""COMPUTED_VALUE"""),803089.0)</f>
        <v>803089</v>
      </c>
      <c r="C2292" s="14" t="str">
        <f>IFERROR(__xludf.DUMMYFUNCTION("""COMPUTED_VALUE"""),"劉邦樂")</f>
        <v>劉邦樂</v>
      </c>
      <c r="D2292" s="16" t="str">
        <f>IFERROR(__xludf.DUMMYFUNCTION("""COMPUTED_VALUE"""),"110*****mjh.ntct.edu.tw")</f>
        <v>110*****mjh.ntct.edu.tw</v>
      </c>
      <c r="E2292" s="17" t="str">
        <f>IFERROR(__xludf.DUMMYFUNCTION("""COMPUTED_VALUE"""),"南投縣立北梅國民中學")</f>
        <v>南投縣立北梅國民中學</v>
      </c>
      <c r="F2292" s="14" t="str">
        <f>IFERROR(__xludf.DUMMYFUNCTION("""COMPUTED_VALUE"""),"八年級")</f>
        <v>八年級</v>
      </c>
      <c r="G2292" s="14" t="str">
        <f>IFERROR(__xludf.DUMMYFUNCTION("""COMPUTED_VALUE"""),"●小禮物")</f>
        <v>●小禮物</v>
      </c>
      <c r="H2292" s="8"/>
    </row>
    <row r="2293">
      <c r="A2293" s="18"/>
      <c r="B2293" s="14">
        <f>IFERROR(__xludf.DUMMYFUNCTION("""COMPUTED_VALUE"""),803087.0)</f>
        <v>803087</v>
      </c>
      <c r="C2293" s="14" t="str">
        <f>IFERROR(__xludf.DUMMYFUNCTION("""COMPUTED_VALUE"""),"盧富傳")</f>
        <v>盧富傳</v>
      </c>
      <c r="D2293" s="16" t="str">
        <f>IFERROR(__xludf.DUMMYFUNCTION("""COMPUTED_VALUE"""),"110*****mjh.ntct.edu.tw")</f>
        <v>110*****mjh.ntct.edu.tw</v>
      </c>
      <c r="E2293" s="17" t="str">
        <f>IFERROR(__xludf.DUMMYFUNCTION("""COMPUTED_VALUE"""),"南投縣立北梅國民中學")</f>
        <v>南投縣立北梅國民中學</v>
      </c>
      <c r="F2293" s="14" t="str">
        <f>IFERROR(__xludf.DUMMYFUNCTION("""COMPUTED_VALUE"""),"八年級")</f>
        <v>八年級</v>
      </c>
      <c r="G2293" s="14" t="str">
        <f>IFERROR(__xludf.DUMMYFUNCTION("""COMPUTED_VALUE"""),"●小禮物")</f>
        <v>●小禮物</v>
      </c>
      <c r="H2293" s="8"/>
    </row>
    <row r="2294">
      <c r="A2294" s="18"/>
      <c r="B2294" s="14">
        <f>IFERROR(__xludf.DUMMYFUNCTION("""COMPUTED_VALUE"""),803102.0)</f>
        <v>803102</v>
      </c>
      <c r="C2294" s="14" t="str">
        <f>IFERROR(__xludf.DUMMYFUNCTION("""COMPUTED_VALUE"""),"卓妤婕")</f>
        <v>卓妤婕</v>
      </c>
      <c r="D2294" s="16" t="str">
        <f>IFERROR(__xludf.DUMMYFUNCTION("""COMPUTED_VALUE"""),"110*****mjh.ntct.edu.tw")</f>
        <v>110*****mjh.ntct.edu.tw</v>
      </c>
      <c r="E2294" s="17" t="str">
        <f>IFERROR(__xludf.DUMMYFUNCTION("""COMPUTED_VALUE"""),"南投縣立北梅國民中學")</f>
        <v>南投縣立北梅國民中學</v>
      </c>
      <c r="F2294" s="14" t="str">
        <f>IFERROR(__xludf.DUMMYFUNCTION("""COMPUTED_VALUE"""),"八年級")</f>
        <v>八年級</v>
      </c>
      <c r="G2294" s="14" t="str">
        <f>IFERROR(__xludf.DUMMYFUNCTION("""COMPUTED_VALUE"""),"獎狀")</f>
        <v>獎狀</v>
      </c>
      <c r="H2294" s="8"/>
    </row>
    <row r="2295">
      <c r="A2295" s="18"/>
      <c r="B2295" s="14">
        <f>IFERROR(__xludf.DUMMYFUNCTION("""COMPUTED_VALUE"""),803116.0)</f>
        <v>803116</v>
      </c>
      <c r="C2295" s="14" t="str">
        <f>IFERROR(__xludf.DUMMYFUNCTION("""COMPUTED_VALUE"""),"周宥維")</f>
        <v>周宥維</v>
      </c>
      <c r="D2295" s="16" t="str">
        <f>IFERROR(__xludf.DUMMYFUNCTION("""COMPUTED_VALUE"""),"110*****mjh.ntct.edu.tw")</f>
        <v>110*****mjh.ntct.edu.tw</v>
      </c>
      <c r="E2295" s="17" t="str">
        <f>IFERROR(__xludf.DUMMYFUNCTION("""COMPUTED_VALUE"""),"南投縣立北梅國民中學")</f>
        <v>南投縣立北梅國民中學</v>
      </c>
      <c r="F2295" s="14" t="str">
        <f>IFERROR(__xludf.DUMMYFUNCTION("""COMPUTED_VALUE"""),"八年級")</f>
        <v>八年級</v>
      </c>
      <c r="G2295" s="14" t="str">
        <f>IFERROR(__xludf.DUMMYFUNCTION("""COMPUTED_VALUE"""),"獎狀")</f>
        <v>獎狀</v>
      </c>
      <c r="H2295" s="8"/>
    </row>
    <row r="2296">
      <c r="A2296" s="18"/>
      <c r="B2296" s="14">
        <f>IFERROR(__xludf.DUMMYFUNCTION("""COMPUTED_VALUE"""),803092.0)</f>
        <v>803092</v>
      </c>
      <c r="C2296" s="14" t="str">
        <f>IFERROR(__xludf.DUMMYFUNCTION("""COMPUTED_VALUE"""),"楊程宇")</f>
        <v>楊程宇</v>
      </c>
      <c r="D2296" s="16" t="str">
        <f>IFERROR(__xludf.DUMMYFUNCTION("""COMPUTED_VALUE"""),"110*****mjh.ntct.edu.tw")</f>
        <v>110*****mjh.ntct.edu.tw</v>
      </c>
      <c r="E2296" s="17" t="str">
        <f>IFERROR(__xludf.DUMMYFUNCTION("""COMPUTED_VALUE"""),"南投縣立北梅國民中學")</f>
        <v>南投縣立北梅國民中學</v>
      </c>
      <c r="F2296" s="14" t="str">
        <f>IFERROR(__xludf.DUMMYFUNCTION("""COMPUTED_VALUE"""),"八年級")</f>
        <v>八年級</v>
      </c>
      <c r="G2296" s="14" t="str">
        <f>IFERROR(__xludf.DUMMYFUNCTION("""COMPUTED_VALUE"""),"獎狀")</f>
        <v>獎狀</v>
      </c>
      <c r="H2296" s="8"/>
    </row>
    <row r="2297">
      <c r="A2297" s="18"/>
      <c r="B2297" s="14">
        <f>IFERROR(__xludf.DUMMYFUNCTION("""COMPUTED_VALUE"""),464287.0)</f>
        <v>464287</v>
      </c>
      <c r="C2297" s="14" t="str">
        <f>IFERROR(__xludf.DUMMYFUNCTION("""COMPUTED_VALUE"""),"林昀萱")</f>
        <v>林昀萱</v>
      </c>
      <c r="D2297" s="16" t="str">
        <f>IFERROR(__xludf.DUMMYFUNCTION("""COMPUTED_VALUE"""),"s01*****.ntct@mail.edu.tw")</f>
        <v>s01*****.ntct@mail.edu.tw</v>
      </c>
      <c r="E2297" s="17" t="str">
        <f>IFERROR(__xludf.DUMMYFUNCTION("""COMPUTED_VALUE"""),"南投縣立北梅國民中學")</f>
        <v>南投縣立北梅國民中學</v>
      </c>
      <c r="F2297" s="14" t="str">
        <f>IFERROR(__xludf.DUMMYFUNCTION("""COMPUTED_VALUE"""),"九年級")</f>
        <v>九年級</v>
      </c>
      <c r="G2297" s="14" t="str">
        <f>IFERROR(__xludf.DUMMYFUNCTION("""COMPUTED_VALUE"""),"●小禮物")</f>
        <v>●小禮物</v>
      </c>
      <c r="H2297" s="8"/>
    </row>
    <row r="2298">
      <c r="A2298" s="18"/>
      <c r="B2298" s="14">
        <f>IFERROR(__xludf.DUMMYFUNCTION("""COMPUTED_VALUE"""),452983.0)</f>
        <v>452983</v>
      </c>
      <c r="C2298" s="14" t="str">
        <f>IFERROR(__xludf.DUMMYFUNCTION("""COMPUTED_VALUE"""),"羅以妍")</f>
        <v>羅以妍</v>
      </c>
      <c r="D2298" s="16" t="str">
        <f>IFERROR(__xludf.DUMMYFUNCTION("""COMPUTED_VALUE"""),"s01*****.ntct@mail.edu.tw")</f>
        <v>s01*****.ntct@mail.edu.tw</v>
      </c>
      <c r="E2298" s="17" t="str">
        <f>IFERROR(__xludf.DUMMYFUNCTION("""COMPUTED_VALUE"""),"南投縣立北梅國民中學")</f>
        <v>南投縣立北梅國民中學</v>
      </c>
      <c r="F2298" s="14" t="str">
        <f>IFERROR(__xludf.DUMMYFUNCTION("""COMPUTED_VALUE"""),"九年級")</f>
        <v>九年級</v>
      </c>
      <c r="G2298" s="14" t="str">
        <f>IFERROR(__xludf.DUMMYFUNCTION("""COMPUTED_VALUE"""),"●小禮物")</f>
        <v>●小禮物</v>
      </c>
      <c r="H2298" s="8"/>
    </row>
    <row r="2299">
      <c r="A2299" s="18"/>
      <c r="B2299" s="14">
        <f>IFERROR(__xludf.DUMMYFUNCTION("""COMPUTED_VALUE"""),452984.0)</f>
        <v>452984</v>
      </c>
      <c r="C2299" s="14" t="str">
        <f>IFERROR(__xludf.DUMMYFUNCTION("""COMPUTED_VALUE"""),"張澔")</f>
        <v>張澔</v>
      </c>
      <c r="D2299" s="16" t="str">
        <f>IFERROR(__xludf.DUMMYFUNCTION("""COMPUTED_VALUE"""),"s01*****.ntct@mail.edu.tw")</f>
        <v>s01*****.ntct@mail.edu.tw</v>
      </c>
      <c r="E2299" s="17" t="str">
        <f>IFERROR(__xludf.DUMMYFUNCTION("""COMPUTED_VALUE"""),"南投縣立北梅國民中學")</f>
        <v>南投縣立北梅國民中學</v>
      </c>
      <c r="F2299" s="14" t="str">
        <f>IFERROR(__xludf.DUMMYFUNCTION("""COMPUTED_VALUE"""),"九年級")</f>
        <v>九年級</v>
      </c>
      <c r="G2299" s="14" t="str">
        <f>IFERROR(__xludf.DUMMYFUNCTION("""COMPUTED_VALUE"""),"獎狀")</f>
        <v>獎狀</v>
      </c>
      <c r="H2299" s="8"/>
    </row>
    <row r="2300">
      <c r="A2300" s="18"/>
      <c r="B2300" s="14">
        <f>IFERROR(__xludf.DUMMYFUNCTION("""COMPUTED_VALUE"""),367152.0)</f>
        <v>367152</v>
      </c>
      <c r="C2300" s="14" t="str">
        <f>IFERROR(__xludf.DUMMYFUNCTION("""COMPUTED_VALUE"""),"林莀筑")</f>
        <v>林莀筑</v>
      </c>
      <c r="D2300" s="16" t="str">
        <f>IFERROR(__xludf.DUMMYFUNCTION("""COMPUTED_VALUE"""),"lcc*****gmail.com")</f>
        <v>lcc*****gmail.com</v>
      </c>
      <c r="E2300" s="17" t="str">
        <f>IFERROR(__xludf.DUMMYFUNCTION("""COMPUTED_VALUE"""),"南投縣立大成國民中學")</f>
        <v>南投縣立大成國民中學</v>
      </c>
      <c r="F2300" s="14" t="str">
        <f>IFERROR(__xludf.DUMMYFUNCTION("""COMPUTED_VALUE"""),"七年級")</f>
        <v>七年級</v>
      </c>
      <c r="G2300" s="14" t="str">
        <f>IFERROR(__xludf.DUMMYFUNCTION("""COMPUTED_VALUE"""),"獎狀")</f>
        <v>獎狀</v>
      </c>
      <c r="H2300" s="8"/>
    </row>
    <row r="2301">
      <c r="A2301" s="18"/>
      <c r="B2301" s="14">
        <f>IFERROR(__xludf.DUMMYFUNCTION("""COMPUTED_VALUE"""),903417.0)</f>
        <v>903417</v>
      </c>
      <c r="C2301" s="14" t="str">
        <f>IFERROR(__xludf.DUMMYFUNCTION("""COMPUTED_VALUE"""),"古沅翰")</f>
        <v>古沅翰</v>
      </c>
      <c r="D2301" s="16" t="str">
        <f>IFERROR(__xludf.DUMMYFUNCTION("""COMPUTED_VALUE"""),"s01*****.ntct@go.edu.tw")</f>
        <v>s01*****.ntct@go.edu.tw</v>
      </c>
      <c r="E2301" s="17" t="str">
        <f>IFERROR(__xludf.DUMMYFUNCTION("""COMPUTED_VALUE"""),"南投縣立埔里國民中學")</f>
        <v>南投縣立埔里國民中學</v>
      </c>
      <c r="F2301" s="14" t="str">
        <f>IFERROR(__xludf.DUMMYFUNCTION("""COMPUTED_VALUE"""),"八年級")</f>
        <v>八年級</v>
      </c>
      <c r="G2301" s="14" t="str">
        <f>IFERROR(__xludf.DUMMYFUNCTION("""COMPUTED_VALUE"""),"●小禮物")</f>
        <v>●小禮物</v>
      </c>
      <c r="H2301" s="8"/>
    </row>
    <row r="2302">
      <c r="A2302" s="18"/>
      <c r="B2302" s="14">
        <f>IFERROR(__xludf.DUMMYFUNCTION("""COMPUTED_VALUE"""),1157188.0)</f>
        <v>1157188</v>
      </c>
      <c r="C2302" s="14" t="str">
        <f>IFERROR(__xludf.DUMMYFUNCTION("""COMPUTED_VALUE"""),"江旻翰")</f>
        <v>江旻翰</v>
      </c>
      <c r="D2302" s="16" t="str">
        <f>IFERROR(__xludf.DUMMYFUNCTION("""COMPUTED_VALUE"""),"s01*****@mail.edu.tw")</f>
        <v>s01*****@mail.edu.tw</v>
      </c>
      <c r="E2302" s="17" t="str">
        <f>IFERROR(__xludf.DUMMYFUNCTION("""COMPUTED_VALUE"""),"南投縣立埔里國民中學")</f>
        <v>南投縣立埔里國民中學</v>
      </c>
      <c r="F2302" s="14" t="str">
        <f>IFERROR(__xludf.DUMMYFUNCTION("""COMPUTED_VALUE"""),"八年級")</f>
        <v>八年級</v>
      </c>
      <c r="G2302" s="14" t="str">
        <f>IFERROR(__xludf.DUMMYFUNCTION("""COMPUTED_VALUE"""),"●小禮物")</f>
        <v>●小禮物</v>
      </c>
      <c r="H2302" s="8"/>
    </row>
    <row r="2303">
      <c r="A2303" s="18"/>
      <c r="B2303" s="14">
        <f>IFERROR(__xludf.DUMMYFUNCTION("""COMPUTED_VALUE"""),1157185.0)</f>
        <v>1157185</v>
      </c>
      <c r="C2303" s="14" t="str">
        <f>IFERROR(__xludf.DUMMYFUNCTION("""COMPUTED_VALUE"""),"何宜甄")</f>
        <v>何宜甄</v>
      </c>
      <c r="D2303" s="16" t="str">
        <f>IFERROR(__xludf.DUMMYFUNCTION("""COMPUTED_VALUE"""),"s01*****.ntct@mail.edu.tw")</f>
        <v>s01*****.ntct@mail.edu.tw</v>
      </c>
      <c r="E2303" s="17" t="str">
        <f>IFERROR(__xludf.DUMMYFUNCTION("""COMPUTED_VALUE"""),"南投縣立埔里國民中學")</f>
        <v>南投縣立埔里國民中學</v>
      </c>
      <c r="F2303" s="14" t="str">
        <f>IFERROR(__xludf.DUMMYFUNCTION("""COMPUTED_VALUE"""),"八年級")</f>
        <v>八年級</v>
      </c>
      <c r="G2303" s="14" t="str">
        <f>IFERROR(__xludf.DUMMYFUNCTION("""COMPUTED_VALUE"""),"●小禮物")</f>
        <v>●小禮物</v>
      </c>
      <c r="H2303" s="8"/>
    </row>
    <row r="2304">
      <c r="A2304" s="18"/>
      <c r="B2304" s="14">
        <f>IFERROR(__xludf.DUMMYFUNCTION("""COMPUTED_VALUE"""),1157180.0)</f>
        <v>1157180</v>
      </c>
      <c r="C2304" s="14" t="str">
        <f>IFERROR(__xludf.DUMMYFUNCTION("""COMPUTED_VALUE"""),"陳人輔")</f>
        <v>陳人輔</v>
      </c>
      <c r="D2304" s="16" t="str">
        <f>IFERROR(__xludf.DUMMYFUNCTION("""COMPUTED_VALUE"""),"s01*****.ntct@mail.edu.tw")</f>
        <v>s01*****.ntct@mail.edu.tw</v>
      </c>
      <c r="E2304" s="17" t="str">
        <f>IFERROR(__xludf.DUMMYFUNCTION("""COMPUTED_VALUE"""),"南投縣立埔里國民中學")</f>
        <v>南投縣立埔里國民中學</v>
      </c>
      <c r="F2304" s="14" t="str">
        <f>IFERROR(__xludf.DUMMYFUNCTION("""COMPUTED_VALUE"""),"八年級")</f>
        <v>八年級</v>
      </c>
      <c r="G2304" s="14" t="str">
        <f>IFERROR(__xludf.DUMMYFUNCTION("""COMPUTED_VALUE"""),"●小禮物")</f>
        <v>●小禮物</v>
      </c>
      <c r="H2304" s="8"/>
    </row>
    <row r="2305">
      <c r="A2305" s="18"/>
      <c r="B2305" s="14">
        <f>IFERROR(__xludf.DUMMYFUNCTION("""COMPUTED_VALUE"""),1182112.0)</f>
        <v>1182112</v>
      </c>
      <c r="C2305" s="14" t="str">
        <f>IFERROR(__xludf.DUMMYFUNCTION("""COMPUTED_VALUE"""),"陳姿錞")</f>
        <v>陳姿錞</v>
      </c>
      <c r="D2305" s="16" t="str">
        <f>IFERROR(__xludf.DUMMYFUNCTION("""COMPUTED_VALUE"""),"ts1*****@go.edu.tw")</f>
        <v>ts1*****@go.edu.tw</v>
      </c>
      <c r="E2305" s="17" t="str">
        <f>IFERROR(__xludf.DUMMYFUNCTION("""COMPUTED_VALUE"""),"南投縣立埔里國民中學")</f>
        <v>南投縣立埔里國民中學</v>
      </c>
      <c r="F2305" s="14" t="str">
        <f>IFERROR(__xludf.DUMMYFUNCTION("""COMPUTED_VALUE"""),"八年級")</f>
        <v>八年級</v>
      </c>
      <c r="G2305" s="14" t="str">
        <f>IFERROR(__xludf.DUMMYFUNCTION("""COMPUTED_VALUE"""),"●小禮物")</f>
        <v>●小禮物</v>
      </c>
      <c r="H2305" s="8"/>
    </row>
    <row r="2306">
      <c r="A2306" s="18"/>
      <c r="B2306" s="14">
        <f>IFERROR(__xludf.DUMMYFUNCTION("""COMPUTED_VALUE"""),1157179.0)</f>
        <v>1157179</v>
      </c>
      <c r="C2306" s="14" t="str">
        <f>IFERROR(__xludf.DUMMYFUNCTION("""COMPUTED_VALUE"""),"黃筱晏")</f>
        <v>黃筱晏</v>
      </c>
      <c r="D2306" s="16" t="str">
        <f>IFERROR(__xludf.DUMMYFUNCTION("""COMPUTED_VALUE"""),"s01*****@mail.edu.tw")</f>
        <v>s01*****@mail.edu.tw</v>
      </c>
      <c r="E2306" s="17" t="str">
        <f>IFERROR(__xludf.DUMMYFUNCTION("""COMPUTED_VALUE"""),"南投縣立埔里國民中學")</f>
        <v>南投縣立埔里國民中學</v>
      </c>
      <c r="F2306" s="14" t="str">
        <f>IFERROR(__xludf.DUMMYFUNCTION("""COMPUTED_VALUE"""),"八年級")</f>
        <v>八年級</v>
      </c>
      <c r="G2306" s="14" t="str">
        <f>IFERROR(__xludf.DUMMYFUNCTION("""COMPUTED_VALUE"""),"●小禮物")</f>
        <v>●小禮物</v>
      </c>
      <c r="H2306" s="8"/>
    </row>
    <row r="2307">
      <c r="A2307" s="18"/>
      <c r="B2307" s="14">
        <f>IFERROR(__xludf.DUMMYFUNCTION("""COMPUTED_VALUE"""),894021.0)</f>
        <v>894021</v>
      </c>
      <c r="C2307" s="14" t="str">
        <f>IFERROR(__xludf.DUMMYFUNCTION("""COMPUTED_VALUE"""),"趙席墨")</f>
        <v>趙席墨</v>
      </c>
      <c r="D2307" s="16" t="str">
        <f>IFERROR(__xludf.DUMMYFUNCTION("""COMPUTED_VALUE"""),"s01*****.eagel@go.edu.tw")</f>
        <v>s01*****.eagel@go.edu.tw</v>
      </c>
      <c r="E2307" s="17" t="str">
        <f>IFERROR(__xludf.DUMMYFUNCTION("""COMPUTED_VALUE"""),"南投縣立埔里國民中學")</f>
        <v>南投縣立埔里國民中學</v>
      </c>
      <c r="F2307" s="14" t="str">
        <f>IFERROR(__xludf.DUMMYFUNCTION("""COMPUTED_VALUE"""),"八年級")</f>
        <v>八年級</v>
      </c>
      <c r="G2307" s="14" t="str">
        <f>IFERROR(__xludf.DUMMYFUNCTION("""COMPUTED_VALUE"""),"●小禮物")</f>
        <v>●小禮物</v>
      </c>
      <c r="H2307" s="8"/>
    </row>
    <row r="2308">
      <c r="A2308" s="18"/>
      <c r="B2308" s="14">
        <f>IFERROR(__xludf.DUMMYFUNCTION("""COMPUTED_VALUE"""),870017.0)</f>
        <v>870017</v>
      </c>
      <c r="C2308" s="14" t="str">
        <f>IFERROR(__xludf.DUMMYFUNCTION("""COMPUTED_VALUE"""),"陳欣宜")</f>
        <v>陳欣宜</v>
      </c>
      <c r="D2308" s="16" t="str">
        <f>IFERROR(__xludf.DUMMYFUNCTION("""COMPUTED_VALUE"""),"s01*****.ntct@mail.edu.tw")</f>
        <v>s01*****.ntct@mail.edu.tw</v>
      </c>
      <c r="E2308" s="17" t="str">
        <f>IFERROR(__xludf.DUMMYFUNCTION("""COMPUTED_VALUE"""),"南投縣立埔里國民中學")</f>
        <v>南投縣立埔里國民中學</v>
      </c>
      <c r="F2308" s="14" t="str">
        <f>IFERROR(__xludf.DUMMYFUNCTION("""COMPUTED_VALUE"""),"八年級")</f>
        <v>八年級</v>
      </c>
      <c r="G2308" s="14" t="str">
        <f>IFERROR(__xludf.DUMMYFUNCTION("""COMPUTED_VALUE"""),"★禮券$200")</f>
        <v>★禮券$200</v>
      </c>
      <c r="H2308" s="8"/>
    </row>
    <row r="2309">
      <c r="A2309" s="18"/>
      <c r="B2309" s="14">
        <f>IFERROR(__xludf.DUMMYFUNCTION("""COMPUTED_VALUE"""),903414.0)</f>
        <v>903414</v>
      </c>
      <c r="C2309" s="14" t="str">
        <f>IFERROR(__xludf.DUMMYFUNCTION("""COMPUTED_VALUE"""),"江苡慈")</f>
        <v>江苡慈</v>
      </c>
      <c r="D2309" s="16" t="str">
        <f>IFERROR(__xludf.DUMMYFUNCTION("""COMPUTED_VALUE"""),"s01*****.bacon@go.edu.tw")</f>
        <v>s01*****.bacon@go.edu.tw</v>
      </c>
      <c r="E2309" s="17" t="str">
        <f>IFERROR(__xludf.DUMMYFUNCTION("""COMPUTED_VALUE"""),"南投縣立埔里國民中學")</f>
        <v>南投縣立埔里國民中學</v>
      </c>
      <c r="F2309" s="14" t="str">
        <f>IFERROR(__xludf.DUMMYFUNCTION("""COMPUTED_VALUE"""),"八年級")</f>
        <v>八年級</v>
      </c>
      <c r="G2309" s="14" t="str">
        <f>IFERROR(__xludf.DUMMYFUNCTION("""COMPUTED_VALUE"""),"獎狀")</f>
        <v>獎狀</v>
      </c>
      <c r="H2309" s="8"/>
    </row>
    <row r="2310">
      <c r="A2310" s="18"/>
      <c r="B2310" s="14">
        <f>IFERROR(__xludf.DUMMYFUNCTION("""COMPUTED_VALUE"""),1157182.0)</f>
        <v>1157182</v>
      </c>
      <c r="C2310" s="14" t="str">
        <f>IFERROR(__xludf.DUMMYFUNCTION("""COMPUTED_VALUE"""),"巫峻碩")</f>
        <v>巫峻碩</v>
      </c>
      <c r="D2310" s="16" t="str">
        <f>IFERROR(__xludf.DUMMYFUNCTION("""COMPUTED_VALUE"""),"s01*****@mail.edu.tw")</f>
        <v>s01*****@mail.edu.tw</v>
      </c>
      <c r="E2310" s="17" t="str">
        <f>IFERROR(__xludf.DUMMYFUNCTION("""COMPUTED_VALUE"""),"南投縣立埔里國民中學")</f>
        <v>南投縣立埔里國民中學</v>
      </c>
      <c r="F2310" s="14" t="str">
        <f>IFERROR(__xludf.DUMMYFUNCTION("""COMPUTED_VALUE"""),"八年級")</f>
        <v>八年級</v>
      </c>
      <c r="G2310" s="14" t="str">
        <f>IFERROR(__xludf.DUMMYFUNCTION("""COMPUTED_VALUE"""),"獎狀")</f>
        <v>獎狀</v>
      </c>
      <c r="H2310" s="8"/>
    </row>
    <row r="2311">
      <c r="A2311" s="18"/>
      <c r="B2311" s="14">
        <f>IFERROR(__xludf.DUMMYFUNCTION("""COMPUTED_VALUE"""),1157187.0)</f>
        <v>1157187</v>
      </c>
      <c r="C2311" s="14" t="str">
        <f>IFERROR(__xludf.DUMMYFUNCTION("""COMPUTED_VALUE"""),"李純鳳")</f>
        <v>李純鳳</v>
      </c>
      <c r="D2311" s="16" t="str">
        <f>IFERROR(__xludf.DUMMYFUNCTION("""COMPUTED_VALUE"""),"s01*****.ntct@mail.edu.tw")</f>
        <v>s01*****.ntct@mail.edu.tw</v>
      </c>
      <c r="E2311" s="17" t="str">
        <f>IFERROR(__xludf.DUMMYFUNCTION("""COMPUTED_VALUE"""),"南投縣立埔里國民中學")</f>
        <v>南投縣立埔里國民中學</v>
      </c>
      <c r="F2311" s="14" t="str">
        <f>IFERROR(__xludf.DUMMYFUNCTION("""COMPUTED_VALUE"""),"八年級")</f>
        <v>八年級</v>
      </c>
      <c r="G2311" s="14" t="str">
        <f>IFERROR(__xludf.DUMMYFUNCTION("""COMPUTED_VALUE"""),"獎狀")</f>
        <v>獎狀</v>
      </c>
      <c r="H2311" s="8"/>
    </row>
    <row r="2312">
      <c r="A2312" s="18"/>
      <c r="B2312" s="14">
        <f>IFERROR(__xludf.DUMMYFUNCTION("""COMPUTED_VALUE"""),1157181.0)</f>
        <v>1157181</v>
      </c>
      <c r="C2312" s="14" t="str">
        <f>IFERROR(__xludf.DUMMYFUNCTION("""COMPUTED_VALUE"""),"林暐傑")</f>
        <v>林暐傑</v>
      </c>
      <c r="D2312" s="16" t="str">
        <f>IFERROR(__xludf.DUMMYFUNCTION("""COMPUTED_VALUE"""),"dc1*****@mail.edu.tw")</f>
        <v>dc1*****@mail.edu.tw</v>
      </c>
      <c r="E2312" s="17" t="str">
        <f>IFERROR(__xludf.DUMMYFUNCTION("""COMPUTED_VALUE"""),"南投縣立埔里國民中學")</f>
        <v>南投縣立埔里國民中學</v>
      </c>
      <c r="F2312" s="14" t="str">
        <f>IFERROR(__xludf.DUMMYFUNCTION("""COMPUTED_VALUE"""),"八年級")</f>
        <v>八年級</v>
      </c>
      <c r="G2312" s="14" t="str">
        <f>IFERROR(__xludf.DUMMYFUNCTION("""COMPUTED_VALUE"""),"獎狀")</f>
        <v>獎狀</v>
      </c>
      <c r="H2312" s="8"/>
    </row>
    <row r="2313">
      <c r="A2313" s="18"/>
      <c r="B2313" s="14">
        <f>IFERROR(__xludf.DUMMYFUNCTION("""COMPUTED_VALUE"""),1155936.0)</f>
        <v>1155936</v>
      </c>
      <c r="C2313" s="14" t="str">
        <f>IFERROR(__xludf.DUMMYFUNCTION("""COMPUTED_VALUE"""),"陳樂倫")</f>
        <v>陳樂倫</v>
      </c>
      <c r="D2313" s="16" t="str">
        <f>IFERROR(__xludf.DUMMYFUNCTION("""COMPUTED_VALUE"""),"s01*****.ntct@mail.edu.tw")</f>
        <v>s01*****.ntct@mail.edu.tw</v>
      </c>
      <c r="E2313" s="17" t="str">
        <f>IFERROR(__xludf.DUMMYFUNCTION("""COMPUTED_VALUE"""),"南投縣立埔里國民中學")</f>
        <v>南投縣立埔里國民中學</v>
      </c>
      <c r="F2313" s="14" t="str">
        <f>IFERROR(__xludf.DUMMYFUNCTION("""COMPUTED_VALUE"""),"八年級")</f>
        <v>八年級</v>
      </c>
      <c r="G2313" s="14" t="str">
        <f>IFERROR(__xludf.DUMMYFUNCTION("""COMPUTED_VALUE"""),"獎狀")</f>
        <v>獎狀</v>
      </c>
      <c r="H2313" s="8"/>
    </row>
    <row r="2314">
      <c r="A2314" s="18"/>
      <c r="B2314" s="14">
        <f>IFERROR(__xludf.DUMMYFUNCTION("""COMPUTED_VALUE"""),1156019.0)</f>
        <v>1156019</v>
      </c>
      <c r="C2314" s="14" t="str">
        <f>IFERROR(__xludf.DUMMYFUNCTION("""COMPUTED_VALUE"""),"謝佳君")</f>
        <v>謝佳君</v>
      </c>
      <c r="D2314" s="16" t="str">
        <f>IFERROR(__xludf.DUMMYFUNCTION("""COMPUTED_VALUE"""),"s01*****.ntct@mail.edu.tw")</f>
        <v>s01*****.ntct@mail.edu.tw</v>
      </c>
      <c r="E2314" s="17" t="str">
        <f>IFERROR(__xludf.DUMMYFUNCTION("""COMPUTED_VALUE"""),"南投縣立埔里國民中學")</f>
        <v>南投縣立埔里國民中學</v>
      </c>
      <c r="F2314" s="14" t="str">
        <f>IFERROR(__xludf.DUMMYFUNCTION("""COMPUTED_VALUE"""),"八年級")</f>
        <v>八年級</v>
      </c>
      <c r="G2314" s="14" t="str">
        <f>IFERROR(__xludf.DUMMYFUNCTION("""COMPUTED_VALUE"""),"獎狀")</f>
        <v>獎狀</v>
      </c>
      <c r="H2314" s="8"/>
    </row>
    <row r="2315">
      <c r="A2315" s="18"/>
      <c r="B2315" s="14">
        <f>IFERROR(__xludf.DUMMYFUNCTION("""COMPUTED_VALUE"""),823355.0)</f>
        <v>823355</v>
      </c>
      <c r="C2315" s="14" t="str">
        <f>IFERROR(__xludf.DUMMYFUNCTION("""COMPUTED_VALUE"""),"王妤菲")</f>
        <v>王妤菲</v>
      </c>
      <c r="D2315" s="16" t="str">
        <f>IFERROR(__xludf.DUMMYFUNCTION("""COMPUTED_VALUE"""),"s01*****@mail.edu.tw")</f>
        <v>s01*****@mail.edu.tw</v>
      </c>
      <c r="E2315" s="17" t="str">
        <f>IFERROR(__xludf.DUMMYFUNCTION("""COMPUTED_VALUE"""),"南投縣立埔里國民中學")</f>
        <v>南投縣立埔里國民中學</v>
      </c>
      <c r="F2315" s="14" t="str">
        <f>IFERROR(__xludf.DUMMYFUNCTION("""COMPUTED_VALUE"""),"八年級")</f>
        <v>八年級</v>
      </c>
      <c r="G2315" s="14" t="str">
        <f>IFERROR(__xludf.DUMMYFUNCTION("""COMPUTED_VALUE"""),"●小禮物")</f>
        <v>●小禮物</v>
      </c>
      <c r="H2315" s="8"/>
    </row>
    <row r="2316">
      <c r="A2316" s="18"/>
      <c r="B2316" s="14">
        <f>IFERROR(__xludf.DUMMYFUNCTION("""COMPUTED_VALUE"""),362831.0)</f>
        <v>362831</v>
      </c>
      <c r="C2316" s="14" t="str">
        <f>IFERROR(__xludf.DUMMYFUNCTION("""COMPUTED_VALUE"""),"巫宥陞")</f>
        <v>巫宥陞</v>
      </c>
      <c r="D2316" s="16" t="str">
        <f>IFERROR(__xludf.DUMMYFUNCTION("""COMPUTED_VALUE"""),"mon*****ail.edu.tw")</f>
        <v>mon*****ail.edu.tw</v>
      </c>
      <c r="E2316" s="17" t="str">
        <f>IFERROR(__xludf.DUMMYFUNCTION("""COMPUTED_VALUE"""),"南投縣立埔里國民中學")</f>
        <v>南投縣立埔里國民中學</v>
      </c>
      <c r="F2316" s="14" t="str">
        <f>IFERROR(__xludf.DUMMYFUNCTION("""COMPUTED_VALUE"""),"八年級")</f>
        <v>八年級</v>
      </c>
      <c r="G2316" s="14" t="str">
        <f>IFERROR(__xludf.DUMMYFUNCTION("""COMPUTED_VALUE"""),"●小禮物")</f>
        <v>●小禮物</v>
      </c>
      <c r="H2316" s="8"/>
    </row>
    <row r="2317">
      <c r="A2317" s="18"/>
      <c r="B2317" s="14">
        <f>IFERROR(__xludf.DUMMYFUNCTION("""COMPUTED_VALUE"""),823356.0)</f>
        <v>823356</v>
      </c>
      <c r="C2317" s="14" t="str">
        <f>IFERROR(__xludf.DUMMYFUNCTION("""COMPUTED_VALUE"""),"巫宥蓁")</f>
        <v>巫宥蓁</v>
      </c>
      <c r="D2317" s="16" t="str">
        <f>IFERROR(__xludf.DUMMYFUNCTION("""COMPUTED_VALUE"""),"s01*****.ntct@mail.edu.tw")</f>
        <v>s01*****.ntct@mail.edu.tw</v>
      </c>
      <c r="E2317" s="17" t="str">
        <f>IFERROR(__xludf.DUMMYFUNCTION("""COMPUTED_VALUE"""),"南投縣立埔里國民中學")</f>
        <v>南投縣立埔里國民中學</v>
      </c>
      <c r="F2317" s="14" t="str">
        <f>IFERROR(__xludf.DUMMYFUNCTION("""COMPUTED_VALUE"""),"八年級")</f>
        <v>八年級</v>
      </c>
      <c r="G2317" s="14" t="str">
        <f>IFERROR(__xludf.DUMMYFUNCTION("""COMPUTED_VALUE"""),"●小禮物")</f>
        <v>●小禮物</v>
      </c>
      <c r="H2317" s="8"/>
    </row>
    <row r="2318">
      <c r="A2318" s="18"/>
      <c r="B2318" s="14">
        <f>IFERROR(__xludf.DUMMYFUNCTION("""COMPUTED_VALUE"""),220637.0)</f>
        <v>220637</v>
      </c>
      <c r="C2318" s="14" t="str">
        <f>IFERROR(__xludf.DUMMYFUNCTION("""COMPUTED_VALUE"""),"李映諄")</f>
        <v>李映諄</v>
      </c>
      <c r="D2318" s="16" t="str">
        <f>IFERROR(__xludf.DUMMYFUNCTION("""COMPUTED_VALUE"""),"s01*****.ntct@mail.edu.tw")</f>
        <v>s01*****.ntct@mail.edu.tw</v>
      </c>
      <c r="E2318" s="17" t="str">
        <f>IFERROR(__xludf.DUMMYFUNCTION("""COMPUTED_VALUE"""),"南投縣立埔里國民中學")</f>
        <v>南投縣立埔里國民中學</v>
      </c>
      <c r="F2318" s="14" t="str">
        <f>IFERROR(__xludf.DUMMYFUNCTION("""COMPUTED_VALUE"""),"八年級")</f>
        <v>八年級</v>
      </c>
      <c r="G2318" s="14" t="str">
        <f>IFERROR(__xludf.DUMMYFUNCTION("""COMPUTED_VALUE"""),"●小禮物")</f>
        <v>●小禮物</v>
      </c>
      <c r="H2318" s="8"/>
    </row>
    <row r="2319">
      <c r="A2319" s="18"/>
      <c r="B2319" s="14">
        <f>IFERROR(__xludf.DUMMYFUNCTION("""COMPUTED_VALUE"""),823345.0)</f>
        <v>823345</v>
      </c>
      <c r="C2319" s="14" t="str">
        <f>IFERROR(__xludf.DUMMYFUNCTION("""COMPUTED_VALUE"""),"沈晏如")</f>
        <v>沈晏如</v>
      </c>
      <c r="D2319" s="16" t="str">
        <f>IFERROR(__xludf.DUMMYFUNCTION("""COMPUTED_VALUE"""),"s01*****.ntct@mail.edu.tw")</f>
        <v>s01*****.ntct@mail.edu.tw</v>
      </c>
      <c r="E2319" s="17" t="str">
        <f>IFERROR(__xludf.DUMMYFUNCTION("""COMPUTED_VALUE"""),"南投縣立埔里國民中學")</f>
        <v>南投縣立埔里國民中學</v>
      </c>
      <c r="F2319" s="14" t="str">
        <f>IFERROR(__xludf.DUMMYFUNCTION("""COMPUTED_VALUE"""),"八年級")</f>
        <v>八年級</v>
      </c>
      <c r="G2319" s="14" t="str">
        <f>IFERROR(__xludf.DUMMYFUNCTION("""COMPUTED_VALUE"""),"●小禮物")</f>
        <v>●小禮物</v>
      </c>
      <c r="H2319" s="8"/>
    </row>
    <row r="2320">
      <c r="A2320" s="18"/>
      <c r="B2320" s="14">
        <f>IFERROR(__xludf.DUMMYFUNCTION("""COMPUTED_VALUE"""),823352.0)</f>
        <v>823352</v>
      </c>
      <c r="C2320" s="14" t="str">
        <f>IFERROR(__xludf.DUMMYFUNCTION("""COMPUTED_VALUE"""),"林函臻")</f>
        <v>林函臻</v>
      </c>
      <c r="D2320" s="16" t="str">
        <f>IFERROR(__xludf.DUMMYFUNCTION("""COMPUTED_VALUE"""),"s01*****.ntct@mail.edu.tw")</f>
        <v>s01*****.ntct@mail.edu.tw</v>
      </c>
      <c r="E2320" s="17" t="str">
        <f>IFERROR(__xludf.DUMMYFUNCTION("""COMPUTED_VALUE"""),"南投縣立埔里國民中學")</f>
        <v>南投縣立埔里國民中學</v>
      </c>
      <c r="F2320" s="14" t="str">
        <f>IFERROR(__xludf.DUMMYFUNCTION("""COMPUTED_VALUE"""),"八年級")</f>
        <v>八年級</v>
      </c>
      <c r="G2320" s="14" t="str">
        <f>IFERROR(__xludf.DUMMYFUNCTION("""COMPUTED_VALUE"""),"●小禮物")</f>
        <v>●小禮物</v>
      </c>
      <c r="H2320" s="8"/>
    </row>
    <row r="2321">
      <c r="A2321" s="18"/>
      <c r="B2321" s="14">
        <f>IFERROR(__xludf.DUMMYFUNCTION("""COMPUTED_VALUE"""),742991.0)</f>
        <v>742991</v>
      </c>
      <c r="C2321" s="14" t="str">
        <f>IFERROR(__xludf.DUMMYFUNCTION("""COMPUTED_VALUE"""),"徐愷呈")</f>
        <v>徐愷呈</v>
      </c>
      <c r="D2321" s="16" t="str">
        <f>IFERROR(__xludf.DUMMYFUNCTION("""COMPUTED_VALUE"""),"s01*****.ntct@mail.edu.tw")</f>
        <v>s01*****.ntct@mail.edu.tw</v>
      </c>
      <c r="E2321" s="17" t="str">
        <f>IFERROR(__xludf.DUMMYFUNCTION("""COMPUTED_VALUE"""),"南投縣立埔里國民中學")</f>
        <v>南投縣立埔里國民中學</v>
      </c>
      <c r="F2321" s="14" t="str">
        <f>IFERROR(__xludf.DUMMYFUNCTION("""COMPUTED_VALUE"""),"八年級")</f>
        <v>八年級</v>
      </c>
      <c r="G2321" s="14" t="str">
        <f>IFERROR(__xludf.DUMMYFUNCTION("""COMPUTED_VALUE"""),"●小禮物")</f>
        <v>●小禮物</v>
      </c>
      <c r="H2321" s="8"/>
    </row>
    <row r="2322">
      <c r="A2322" s="18"/>
      <c r="B2322" s="14">
        <f>IFERROR(__xludf.DUMMYFUNCTION("""COMPUTED_VALUE"""),362900.0)</f>
        <v>362900</v>
      </c>
      <c r="C2322" s="14" t="str">
        <f>IFERROR(__xludf.DUMMYFUNCTION("""COMPUTED_VALUE"""),"陳斾沂")</f>
        <v>陳斾沂</v>
      </c>
      <c r="D2322" s="16" t="str">
        <f>IFERROR(__xludf.DUMMYFUNCTION("""COMPUTED_VALUE"""),"s01*****@mail.edu.tw")</f>
        <v>s01*****@mail.edu.tw</v>
      </c>
      <c r="E2322" s="17" t="str">
        <f>IFERROR(__xludf.DUMMYFUNCTION("""COMPUTED_VALUE"""),"南投縣立埔里國民中學")</f>
        <v>南投縣立埔里國民中學</v>
      </c>
      <c r="F2322" s="14" t="str">
        <f>IFERROR(__xludf.DUMMYFUNCTION("""COMPUTED_VALUE"""),"八年級")</f>
        <v>八年級</v>
      </c>
      <c r="G2322" s="14" t="str">
        <f>IFERROR(__xludf.DUMMYFUNCTION("""COMPUTED_VALUE"""),"●小禮物")</f>
        <v>●小禮物</v>
      </c>
      <c r="H2322" s="8"/>
    </row>
    <row r="2323">
      <c r="A2323" s="18"/>
      <c r="B2323" s="14">
        <f>IFERROR(__xludf.DUMMYFUNCTION("""COMPUTED_VALUE"""),823351.0)</f>
        <v>823351</v>
      </c>
      <c r="C2323" s="14" t="str">
        <f>IFERROR(__xludf.DUMMYFUNCTION("""COMPUTED_VALUE"""),"陳歆諭")</f>
        <v>陳歆諭</v>
      </c>
      <c r="D2323" s="16" t="str">
        <f>IFERROR(__xludf.DUMMYFUNCTION("""COMPUTED_VALUE"""),"s01*****.ntct@mail.edu.tw")</f>
        <v>s01*****.ntct@mail.edu.tw</v>
      </c>
      <c r="E2323" s="17" t="str">
        <f>IFERROR(__xludf.DUMMYFUNCTION("""COMPUTED_VALUE"""),"南投縣立埔里國民中學")</f>
        <v>南投縣立埔里國民中學</v>
      </c>
      <c r="F2323" s="14" t="str">
        <f>IFERROR(__xludf.DUMMYFUNCTION("""COMPUTED_VALUE"""),"八年級")</f>
        <v>八年級</v>
      </c>
      <c r="G2323" s="14" t="str">
        <f>IFERROR(__xludf.DUMMYFUNCTION("""COMPUTED_VALUE"""),"●小禮物")</f>
        <v>●小禮物</v>
      </c>
      <c r="H2323" s="8"/>
    </row>
    <row r="2324">
      <c r="A2324" s="18"/>
      <c r="B2324" s="14">
        <f>IFERROR(__xludf.DUMMYFUNCTION("""COMPUTED_VALUE"""),823346.0)</f>
        <v>823346</v>
      </c>
      <c r="C2324" s="14" t="str">
        <f>IFERROR(__xludf.DUMMYFUNCTION("""COMPUTED_VALUE"""),"蔡秀臻")</f>
        <v>蔡秀臻</v>
      </c>
      <c r="D2324" s="16" t="str">
        <f>IFERROR(__xludf.DUMMYFUNCTION("""COMPUTED_VALUE"""),"s01*****.ntct@mail.edu.tw")</f>
        <v>s01*****.ntct@mail.edu.tw</v>
      </c>
      <c r="E2324" s="17" t="str">
        <f>IFERROR(__xludf.DUMMYFUNCTION("""COMPUTED_VALUE"""),"南投縣立埔里國民中學")</f>
        <v>南投縣立埔里國民中學</v>
      </c>
      <c r="F2324" s="14" t="str">
        <f>IFERROR(__xludf.DUMMYFUNCTION("""COMPUTED_VALUE"""),"八年級")</f>
        <v>八年級</v>
      </c>
      <c r="G2324" s="14" t="str">
        <f>IFERROR(__xludf.DUMMYFUNCTION("""COMPUTED_VALUE"""),"●小禮物")</f>
        <v>●小禮物</v>
      </c>
      <c r="H2324" s="8"/>
    </row>
    <row r="2325">
      <c r="A2325" s="18"/>
      <c r="B2325" s="14">
        <f>IFERROR(__xludf.DUMMYFUNCTION("""COMPUTED_VALUE"""),816790.0)</f>
        <v>816790</v>
      </c>
      <c r="C2325" s="14" t="str">
        <f>IFERROR(__xludf.DUMMYFUNCTION("""COMPUTED_VALUE"""),"鄭喬仁")</f>
        <v>鄭喬仁</v>
      </c>
      <c r="D2325" s="16" t="str">
        <f>IFERROR(__xludf.DUMMYFUNCTION("""COMPUTED_VALUE"""),"s01*****.ntct@mail.edu.tw")</f>
        <v>s01*****.ntct@mail.edu.tw</v>
      </c>
      <c r="E2325" s="17" t="str">
        <f>IFERROR(__xludf.DUMMYFUNCTION("""COMPUTED_VALUE"""),"南投縣立埔里國民中學")</f>
        <v>南投縣立埔里國民中學</v>
      </c>
      <c r="F2325" s="14" t="str">
        <f>IFERROR(__xludf.DUMMYFUNCTION("""COMPUTED_VALUE"""),"八年級")</f>
        <v>八年級</v>
      </c>
      <c r="G2325" s="14" t="str">
        <f>IFERROR(__xludf.DUMMYFUNCTION("""COMPUTED_VALUE"""),"●小禮物")</f>
        <v>●小禮物</v>
      </c>
      <c r="H2325" s="8"/>
    </row>
    <row r="2326">
      <c r="A2326" s="18"/>
      <c r="B2326" s="14">
        <f>IFERROR(__xludf.DUMMYFUNCTION("""COMPUTED_VALUE"""),823376.0)</f>
        <v>823376</v>
      </c>
      <c r="C2326" s="14" t="str">
        <f>IFERROR(__xludf.DUMMYFUNCTION("""COMPUTED_VALUE"""),"吳勝偉")</f>
        <v>吳勝偉</v>
      </c>
      <c r="D2326" s="16" t="str">
        <f>IFERROR(__xludf.DUMMYFUNCTION("""COMPUTED_VALUE"""),"s01*****.ntct@mail.edu.tw")</f>
        <v>s01*****.ntct@mail.edu.tw</v>
      </c>
      <c r="E2326" s="17" t="str">
        <f>IFERROR(__xludf.DUMMYFUNCTION("""COMPUTED_VALUE"""),"南投縣立埔里國民中學")</f>
        <v>南投縣立埔里國民中學</v>
      </c>
      <c r="F2326" s="14" t="str">
        <f>IFERROR(__xludf.DUMMYFUNCTION("""COMPUTED_VALUE"""),"八年級")</f>
        <v>八年級</v>
      </c>
      <c r="G2326" s="14" t="str">
        <f>IFERROR(__xludf.DUMMYFUNCTION("""COMPUTED_VALUE"""),"★禮券$500")</f>
        <v>★禮券$500</v>
      </c>
      <c r="H2326" s="8"/>
    </row>
    <row r="2327">
      <c r="A2327" s="18"/>
      <c r="B2327" s="14">
        <f>IFERROR(__xludf.DUMMYFUNCTION("""COMPUTED_VALUE"""),823344.0)</f>
        <v>823344</v>
      </c>
      <c r="C2327" s="14" t="str">
        <f>IFERROR(__xludf.DUMMYFUNCTION("""COMPUTED_VALUE"""),"吳妤婷")</f>
        <v>吳妤婷</v>
      </c>
      <c r="D2327" s="16" t="str">
        <f>IFERROR(__xludf.DUMMYFUNCTION("""COMPUTED_VALUE"""),"s01*****.ntct@mail.edu.tw")</f>
        <v>s01*****.ntct@mail.edu.tw</v>
      </c>
      <c r="E2327" s="17" t="str">
        <f>IFERROR(__xludf.DUMMYFUNCTION("""COMPUTED_VALUE"""),"南投縣立埔里國民中學")</f>
        <v>南投縣立埔里國民中學</v>
      </c>
      <c r="F2327" s="14" t="str">
        <f>IFERROR(__xludf.DUMMYFUNCTION("""COMPUTED_VALUE"""),"八年級")</f>
        <v>八年級</v>
      </c>
      <c r="G2327" s="14" t="str">
        <f>IFERROR(__xludf.DUMMYFUNCTION("""COMPUTED_VALUE"""),"獎狀")</f>
        <v>獎狀</v>
      </c>
      <c r="H2327" s="8"/>
    </row>
    <row r="2328">
      <c r="A2328" s="18"/>
      <c r="B2328" s="14">
        <f>IFERROR(__xludf.DUMMYFUNCTION("""COMPUTED_VALUE"""),816783.0)</f>
        <v>816783</v>
      </c>
      <c r="C2328" s="14" t="str">
        <f>IFERROR(__xludf.DUMMYFUNCTION("""COMPUTED_VALUE"""),"李沂芸")</f>
        <v>李沂芸</v>
      </c>
      <c r="D2328" s="16" t="str">
        <f>IFERROR(__xludf.DUMMYFUNCTION("""COMPUTED_VALUE"""),"s01*****.ntct@mail.edu.tw")</f>
        <v>s01*****.ntct@mail.edu.tw</v>
      </c>
      <c r="E2328" s="17" t="str">
        <f>IFERROR(__xludf.DUMMYFUNCTION("""COMPUTED_VALUE"""),"南投縣立埔里國民中學")</f>
        <v>南投縣立埔里國民中學</v>
      </c>
      <c r="F2328" s="14" t="str">
        <f>IFERROR(__xludf.DUMMYFUNCTION("""COMPUTED_VALUE"""),"八年級")</f>
        <v>八年級</v>
      </c>
      <c r="G2328" s="14" t="str">
        <f>IFERROR(__xludf.DUMMYFUNCTION("""COMPUTED_VALUE"""),"獎狀")</f>
        <v>獎狀</v>
      </c>
      <c r="H2328" s="8"/>
    </row>
    <row r="2329">
      <c r="A2329" s="18"/>
      <c r="B2329" s="14">
        <f>IFERROR(__xludf.DUMMYFUNCTION("""COMPUTED_VALUE"""),823381.0)</f>
        <v>823381</v>
      </c>
      <c r="C2329" s="14" t="str">
        <f>IFERROR(__xludf.DUMMYFUNCTION("""COMPUTED_VALUE"""),"林恩予")</f>
        <v>林恩予</v>
      </c>
      <c r="D2329" s="16" t="str">
        <f>IFERROR(__xludf.DUMMYFUNCTION("""COMPUTED_VALUE"""),"mic*****in980705@mail.edu.tw")</f>
        <v>mic*****in980705@mail.edu.tw</v>
      </c>
      <c r="E2329" s="17" t="str">
        <f>IFERROR(__xludf.DUMMYFUNCTION("""COMPUTED_VALUE"""),"南投縣立埔里國民中學")</f>
        <v>南投縣立埔里國民中學</v>
      </c>
      <c r="F2329" s="14" t="str">
        <f>IFERROR(__xludf.DUMMYFUNCTION("""COMPUTED_VALUE"""),"八年級")</f>
        <v>八年級</v>
      </c>
      <c r="G2329" s="14" t="str">
        <f>IFERROR(__xludf.DUMMYFUNCTION("""COMPUTED_VALUE"""),"獎狀")</f>
        <v>獎狀</v>
      </c>
      <c r="H2329" s="8"/>
    </row>
    <row r="2330">
      <c r="A2330" s="18"/>
      <c r="B2330" s="14">
        <f>IFERROR(__xludf.DUMMYFUNCTION("""COMPUTED_VALUE"""),816789.0)</f>
        <v>816789</v>
      </c>
      <c r="C2330" s="14" t="str">
        <f>IFERROR(__xludf.DUMMYFUNCTION("""COMPUTED_VALUE"""),"洪啟文")</f>
        <v>洪啟文</v>
      </c>
      <c r="D2330" s="16" t="str">
        <f>IFERROR(__xludf.DUMMYFUNCTION("""COMPUTED_VALUE"""),"s01*****.ntct@mail.edu.tw")</f>
        <v>s01*****.ntct@mail.edu.tw</v>
      </c>
      <c r="E2330" s="17" t="str">
        <f>IFERROR(__xludf.DUMMYFUNCTION("""COMPUTED_VALUE"""),"南投縣立埔里國民中學")</f>
        <v>南投縣立埔里國民中學</v>
      </c>
      <c r="F2330" s="14" t="str">
        <f>IFERROR(__xludf.DUMMYFUNCTION("""COMPUTED_VALUE"""),"八年級")</f>
        <v>八年級</v>
      </c>
      <c r="G2330" s="14" t="str">
        <f>IFERROR(__xludf.DUMMYFUNCTION("""COMPUTED_VALUE"""),"獎狀")</f>
        <v>獎狀</v>
      </c>
      <c r="H2330" s="8"/>
    </row>
    <row r="2331">
      <c r="A2331" s="18"/>
      <c r="B2331" s="14">
        <f>IFERROR(__xludf.DUMMYFUNCTION("""COMPUTED_VALUE"""),816792.0)</f>
        <v>816792</v>
      </c>
      <c r="C2331" s="14" t="str">
        <f>IFERROR(__xludf.DUMMYFUNCTION("""COMPUTED_VALUE"""),"馬嘉偉")</f>
        <v>馬嘉偉</v>
      </c>
      <c r="D2331" s="16" t="str">
        <f>IFERROR(__xludf.DUMMYFUNCTION("""COMPUTED_VALUE"""),"s01*****.ntct@mail.edu.tw")</f>
        <v>s01*****.ntct@mail.edu.tw</v>
      </c>
      <c r="E2331" s="17" t="str">
        <f>IFERROR(__xludf.DUMMYFUNCTION("""COMPUTED_VALUE"""),"南投縣立埔里國民中學")</f>
        <v>南投縣立埔里國民中學</v>
      </c>
      <c r="F2331" s="14" t="str">
        <f>IFERROR(__xludf.DUMMYFUNCTION("""COMPUTED_VALUE"""),"八年級")</f>
        <v>八年級</v>
      </c>
      <c r="G2331" s="14" t="str">
        <f>IFERROR(__xludf.DUMMYFUNCTION("""COMPUTED_VALUE"""),"獎狀")</f>
        <v>獎狀</v>
      </c>
      <c r="H2331" s="8"/>
    </row>
    <row r="2332">
      <c r="A2332" s="18"/>
      <c r="B2332" s="14">
        <f>IFERROR(__xludf.DUMMYFUNCTION("""COMPUTED_VALUE"""),816784.0)</f>
        <v>816784</v>
      </c>
      <c r="C2332" s="14" t="str">
        <f>IFERROR(__xludf.DUMMYFUNCTION("""COMPUTED_VALUE"""),"游芸蓁")</f>
        <v>游芸蓁</v>
      </c>
      <c r="D2332" s="16" t="str">
        <f>IFERROR(__xludf.DUMMYFUNCTION("""COMPUTED_VALUE"""),"s01*****.ntct@mail.edu.tw")</f>
        <v>s01*****.ntct@mail.edu.tw</v>
      </c>
      <c r="E2332" s="17" t="str">
        <f>IFERROR(__xludf.DUMMYFUNCTION("""COMPUTED_VALUE"""),"南投縣立埔里國民中學")</f>
        <v>南投縣立埔里國民中學</v>
      </c>
      <c r="F2332" s="14" t="str">
        <f>IFERROR(__xludf.DUMMYFUNCTION("""COMPUTED_VALUE"""),"八年級")</f>
        <v>八年級</v>
      </c>
      <c r="G2332" s="14" t="str">
        <f>IFERROR(__xludf.DUMMYFUNCTION("""COMPUTED_VALUE"""),"獎狀")</f>
        <v>獎狀</v>
      </c>
      <c r="H2332" s="8"/>
    </row>
    <row r="2333">
      <c r="A2333" s="18"/>
      <c r="B2333" s="14">
        <f>IFERROR(__xludf.DUMMYFUNCTION("""COMPUTED_VALUE"""),823349.0)</f>
        <v>823349</v>
      </c>
      <c r="C2333" s="14" t="str">
        <f>IFERROR(__xludf.DUMMYFUNCTION("""COMPUTED_VALUE"""),"羅翊珊")</f>
        <v>羅翊珊</v>
      </c>
      <c r="D2333" s="16" t="str">
        <f>IFERROR(__xludf.DUMMYFUNCTION("""COMPUTED_VALUE"""),"dc1*****@mail.edu.tw")</f>
        <v>dc1*****@mail.edu.tw</v>
      </c>
      <c r="E2333" s="17" t="str">
        <f>IFERROR(__xludf.DUMMYFUNCTION("""COMPUTED_VALUE"""),"南投縣立埔里國民中學")</f>
        <v>南投縣立埔里國民中學</v>
      </c>
      <c r="F2333" s="14" t="str">
        <f>IFERROR(__xludf.DUMMYFUNCTION("""COMPUTED_VALUE"""),"八年級")</f>
        <v>八年級</v>
      </c>
      <c r="G2333" s="14" t="str">
        <f>IFERROR(__xludf.DUMMYFUNCTION("""COMPUTED_VALUE"""),"獎狀")</f>
        <v>獎狀</v>
      </c>
      <c r="H2333" s="8"/>
    </row>
    <row r="2334">
      <c r="A2334" s="18"/>
      <c r="B2334" s="14">
        <f>IFERROR(__xludf.DUMMYFUNCTION("""COMPUTED_VALUE"""),1003114.0)</f>
        <v>1003114</v>
      </c>
      <c r="C2334" s="14" t="str">
        <f>IFERROR(__xludf.DUMMYFUNCTION("""COMPUTED_VALUE"""),"阮奕涵")</f>
        <v>阮奕涵</v>
      </c>
      <c r="D2334" s="16" t="str">
        <f>IFERROR(__xludf.DUMMYFUNCTION("""COMPUTED_VALUE"""),"s01*****@mail.edu.tw")</f>
        <v>s01*****@mail.edu.tw</v>
      </c>
      <c r="E2334" s="17" t="str">
        <f>IFERROR(__xludf.DUMMYFUNCTION("""COMPUTED_VALUE"""),"南投縣立埔里國民中學")</f>
        <v>南投縣立埔里國民中學</v>
      </c>
      <c r="F2334" s="14" t="str">
        <f>IFERROR(__xludf.DUMMYFUNCTION("""COMPUTED_VALUE"""),"八年級")</f>
        <v>八年級</v>
      </c>
      <c r="G2334" s="14" t="str">
        <f>IFERROR(__xludf.DUMMYFUNCTION("""COMPUTED_VALUE"""),"●小禮物")</f>
        <v>●小禮物</v>
      </c>
      <c r="H2334" s="8"/>
    </row>
    <row r="2335">
      <c r="A2335" s="18"/>
      <c r="B2335" s="14">
        <f>IFERROR(__xludf.DUMMYFUNCTION("""COMPUTED_VALUE"""),610191.0)</f>
        <v>610191</v>
      </c>
      <c r="C2335" s="14" t="str">
        <f>IFERROR(__xludf.DUMMYFUNCTION("""COMPUTED_VALUE"""),"林于晴")</f>
        <v>林于晴</v>
      </c>
      <c r="D2335" s="16" t="str">
        <f>IFERROR(__xludf.DUMMYFUNCTION("""COMPUTED_VALUE"""),"s01*****.ntct@mail.edu.tw")</f>
        <v>s01*****.ntct@mail.edu.tw</v>
      </c>
      <c r="E2335" s="17" t="str">
        <f>IFERROR(__xludf.DUMMYFUNCTION("""COMPUTED_VALUE"""),"南投縣立埔里國民中學")</f>
        <v>南投縣立埔里國民中學</v>
      </c>
      <c r="F2335" s="14" t="str">
        <f>IFERROR(__xludf.DUMMYFUNCTION("""COMPUTED_VALUE"""),"八年級")</f>
        <v>八年級</v>
      </c>
      <c r="G2335" s="14" t="str">
        <f>IFERROR(__xludf.DUMMYFUNCTION("""COMPUTED_VALUE"""),"●小禮物")</f>
        <v>●小禮物</v>
      </c>
      <c r="H2335" s="8"/>
    </row>
    <row r="2336">
      <c r="A2336" s="18"/>
      <c r="B2336" s="14">
        <f>IFERROR(__xludf.DUMMYFUNCTION("""COMPUTED_VALUE"""),1161459.0)</f>
        <v>1161459</v>
      </c>
      <c r="C2336" s="14" t="str">
        <f>IFERROR(__xludf.DUMMYFUNCTION("""COMPUTED_VALUE"""),"范亞欣")</f>
        <v>范亞欣</v>
      </c>
      <c r="D2336" s="16" t="str">
        <f>IFERROR(__xludf.DUMMYFUNCTION("""COMPUTED_VALUE"""),"s01*****@mail.edu.tw")</f>
        <v>s01*****@mail.edu.tw</v>
      </c>
      <c r="E2336" s="17" t="str">
        <f>IFERROR(__xludf.DUMMYFUNCTION("""COMPUTED_VALUE"""),"南投縣立埔里國民中學")</f>
        <v>南投縣立埔里國民中學</v>
      </c>
      <c r="F2336" s="14" t="str">
        <f>IFERROR(__xludf.DUMMYFUNCTION("""COMPUTED_VALUE"""),"八年級")</f>
        <v>八年級</v>
      </c>
      <c r="G2336" s="14" t="str">
        <f>IFERROR(__xludf.DUMMYFUNCTION("""COMPUTED_VALUE"""),"●小禮物")</f>
        <v>●小禮物</v>
      </c>
      <c r="H2336" s="8"/>
    </row>
    <row r="2337">
      <c r="A2337" s="18"/>
      <c r="B2337" s="14">
        <f>IFERROR(__xludf.DUMMYFUNCTION("""COMPUTED_VALUE"""),1187938.0)</f>
        <v>1187938</v>
      </c>
      <c r="C2337" s="14" t="str">
        <f>IFERROR(__xludf.DUMMYFUNCTION("""COMPUTED_VALUE"""),"高語婕")</f>
        <v>高語婕</v>
      </c>
      <c r="D2337" s="16" t="str">
        <f>IFERROR(__xludf.DUMMYFUNCTION("""COMPUTED_VALUE"""),"s01*****.ntct@go.edu.tw")</f>
        <v>s01*****.ntct@go.edu.tw</v>
      </c>
      <c r="E2337" s="17" t="str">
        <f>IFERROR(__xludf.DUMMYFUNCTION("""COMPUTED_VALUE"""),"南投縣立埔里國民中學")</f>
        <v>南投縣立埔里國民中學</v>
      </c>
      <c r="F2337" s="14" t="str">
        <f>IFERROR(__xludf.DUMMYFUNCTION("""COMPUTED_VALUE"""),"八年級")</f>
        <v>八年級</v>
      </c>
      <c r="G2337" s="14" t="str">
        <f>IFERROR(__xludf.DUMMYFUNCTION("""COMPUTED_VALUE"""),"●小禮物")</f>
        <v>●小禮物</v>
      </c>
      <c r="H2337" s="8"/>
    </row>
    <row r="2338">
      <c r="A2338" s="18"/>
      <c r="B2338" s="14">
        <f>IFERROR(__xludf.DUMMYFUNCTION("""COMPUTED_VALUE"""),1156348.0)</f>
        <v>1156348</v>
      </c>
      <c r="C2338" s="14" t="str">
        <f>IFERROR(__xludf.DUMMYFUNCTION("""COMPUTED_VALUE"""),"張峻豪")</f>
        <v>張峻豪</v>
      </c>
      <c r="D2338" s="16" t="str">
        <f>IFERROR(__xludf.DUMMYFUNCTION("""COMPUTED_VALUE"""),"s01*****.ntct@mail.edu.tw")</f>
        <v>s01*****.ntct@mail.edu.tw</v>
      </c>
      <c r="E2338" s="17" t="str">
        <f>IFERROR(__xludf.DUMMYFUNCTION("""COMPUTED_VALUE"""),"南投縣立埔里國民中學")</f>
        <v>南投縣立埔里國民中學</v>
      </c>
      <c r="F2338" s="14" t="str">
        <f>IFERROR(__xludf.DUMMYFUNCTION("""COMPUTED_VALUE"""),"八年級")</f>
        <v>八年級</v>
      </c>
      <c r="G2338" s="14" t="str">
        <f>IFERROR(__xludf.DUMMYFUNCTION("""COMPUTED_VALUE"""),"●小禮物")</f>
        <v>●小禮物</v>
      </c>
      <c r="H2338" s="8"/>
    </row>
    <row r="2339">
      <c r="A2339" s="18"/>
      <c r="B2339" s="14">
        <f>IFERROR(__xludf.DUMMYFUNCTION("""COMPUTED_VALUE"""),1155967.0)</f>
        <v>1155967</v>
      </c>
      <c r="C2339" s="14" t="str">
        <f>IFERROR(__xludf.DUMMYFUNCTION("""COMPUTED_VALUE"""),"陳奕叡")</f>
        <v>陳奕叡</v>
      </c>
      <c r="D2339" s="16" t="str">
        <f>IFERROR(__xludf.DUMMYFUNCTION("""COMPUTED_VALUE"""),"s01*****.ntct@mail.edu.tw")</f>
        <v>s01*****.ntct@mail.edu.tw</v>
      </c>
      <c r="E2339" s="17" t="str">
        <f>IFERROR(__xludf.DUMMYFUNCTION("""COMPUTED_VALUE"""),"南投縣立埔里國民中學")</f>
        <v>南投縣立埔里國民中學</v>
      </c>
      <c r="F2339" s="14" t="str">
        <f>IFERROR(__xludf.DUMMYFUNCTION("""COMPUTED_VALUE"""),"八年級")</f>
        <v>八年級</v>
      </c>
      <c r="G2339" s="14" t="str">
        <f>IFERROR(__xludf.DUMMYFUNCTION("""COMPUTED_VALUE"""),"●小禮物")</f>
        <v>●小禮物</v>
      </c>
      <c r="H2339" s="8"/>
    </row>
    <row r="2340">
      <c r="A2340" s="18"/>
      <c r="B2340" s="14">
        <f>IFERROR(__xludf.DUMMYFUNCTION("""COMPUTED_VALUE"""),1161452.0)</f>
        <v>1161452</v>
      </c>
      <c r="C2340" s="14" t="str">
        <f>IFERROR(__xludf.DUMMYFUNCTION("""COMPUTED_VALUE"""),"陸秉沂")</f>
        <v>陸秉沂</v>
      </c>
      <c r="D2340" s="16" t="str">
        <f>IFERROR(__xludf.DUMMYFUNCTION("""COMPUTED_VALUE"""),"s01*****.ntct@mail.edu.tw")</f>
        <v>s01*****.ntct@mail.edu.tw</v>
      </c>
      <c r="E2340" s="17" t="str">
        <f>IFERROR(__xludf.DUMMYFUNCTION("""COMPUTED_VALUE"""),"南投縣立埔里國民中學")</f>
        <v>南投縣立埔里國民中學</v>
      </c>
      <c r="F2340" s="14" t="str">
        <f>IFERROR(__xludf.DUMMYFUNCTION("""COMPUTED_VALUE"""),"八年級")</f>
        <v>八年級</v>
      </c>
      <c r="G2340" s="14" t="str">
        <f>IFERROR(__xludf.DUMMYFUNCTION("""COMPUTED_VALUE"""),"●小禮物")</f>
        <v>●小禮物</v>
      </c>
      <c r="H2340" s="8"/>
    </row>
    <row r="2341">
      <c r="A2341" s="18"/>
      <c r="B2341" s="14">
        <f>IFERROR(__xludf.DUMMYFUNCTION("""COMPUTED_VALUE"""),1161453.0)</f>
        <v>1161453</v>
      </c>
      <c r="C2341" s="14" t="str">
        <f>IFERROR(__xludf.DUMMYFUNCTION("""COMPUTED_VALUE"""),"黃韋琇")</f>
        <v>黃韋琇</v>
      </c>
      <c r="D2341" s="16" t="str">
        <f>IFERROR(__xludf.DUMMYFUNCTION("""COMPUTED_VALUE"""),"s01*****.ntct@mail.edu.tw")</f>
        <v>s01*****.ntct@mail.edu.tw</v>
      </c>
      <c r="E2341" s="17" t="str">
        <f>IFERROR(__xludf.DUMMYFUNCTION("""COMPUTED_VALUE"""),"南投縣立埔里國民中學")</f>
        <v>南投縣立埔里國民中學</v>
      </c>
      <c r="F2341" s="14" t="str">
        <f>IFERROR(__xludf.DUMMYFUNCTION("""COMPUTED_VALUE"""),"八年級")</f>
        <v>八年級</v>
      </c>
      <c r="G2341" s="14" t="str">
        <f>IFERROR(__xludf.DUMMYFUNCTION("""COMPUTED_VALUE"""),"●小禮物")</f>
        <v>●小禮物</v>
      </c>
      <c r="H2341" s="8"/>
    </row>
    <row r="2342">
      <c r="A2342" s="18"/>
      <c r="B2342" s="14">
        <f>IFERROR(__xludf.DUMMYFUNCTION("""COMPUTED_VALUE"""),1161448.0)</f>
        <v>1161448</v>
      </c>
      <c r="C2342" s="14" t="str">
        <f>IFERROR(__xludf.DUMMYFUNCTION("""COMPUTED_VALUE"""),"潘仕昌")</f>
        <v>潘仕昌</v>
      </c>
      <c r="D2342" s="16" t="str">
        <f>IFERROR(__xludf.DUMMYFUNCTION("""COMPUTED_VALUE"""),"s01*****.ntct@mail.edu.tw")</f>
        <v>s01*****.ntct@mail.edu.tw</v>
      </c>
      <c r="E2342" s="17" t="str">
        <f>IFERROR(__xludf.DUMMYFUNCTION("""COMPUTED_VALUE"""),"南投縣立埔里國民中學")</f>
        <v>南投縣立埔里國民中學</v>
      </c>
      <c r="F2342" s="14" t="str">
        <f>IFERROR(__xludf.DUMMYFUNCTION("""COMPUTED_VALUE"""),"八年級")</f>
        <v>八年級</v>
      </c>
      <c r="G2342" s="14" t="str">
        <f>IFERROR(__xludf.DUMMYFUNCTION("""COMPUTED_VALUE"""),"●小禮物")</f>
        <v>●小禮物</v>
      </c>
      <c r="H2342" s="8"/>
    </row>
    <row r="2343">
      <c r="A2343" s="18"/>
      <c r="B2343" s="14">
        <f>IFERROR(__xludf.DUMMYFUNCTION("""COMPUTED_VALUE"""),1161451.0)</f>
        <v>1161451</v>
      </c>
      <c r="C2343" s="14" t="str">
        <f>IFERROR(__xludf.DUMMYFUNCTION("""COMPUTED_VALUE"""),"鄭光硯")</f>
        <v>鄭光硯</v>
      </c>
      <c r="D2343" s="16" t="str">
        <f>IFERROR(__xludf.DUMMYFUNCTION("""COMPUTED_VALUE"""),"edw*****0605@mail.edu.tw")</f>
        <v>edw*****0605@mail.edu.tw</v>
      </c>
      <c r="E2343" s="17" t="str">
        <f>IFERROR(__xludf.DUMMYFUNCTION("""COMPUTED_VALUE"""),"南投縣立埔里國民中學")</f>
        <v>南投縣立埔里國民中學</v>
      </c>
      <c r="F2343" s="14" t="str">
        <f>IFERROR(__xludf.DUMMYFUNCTION("""COMPUTED_VALUE"""),"八年級")</f>
        <v>八年級</v>
      </c>
      <c r="G2343" s="14" t="str">
        <f>IFERROR(__xludf.DUMMYFUNCTION("""COMPUTED_VALUE"""),"●小禮物")</f>
        <v>●小禮物</v>
      </c>
      <c r="H2343" s="8"/>
    </row>
    <row r="2344">
      <c r="A2344" s="18"/>
      <c r="B2344" s="14">
        <f>IFERROR(__xludf.DUMMYFUNCTION("""COMPUTED_VALUE"""),602105.0)</f>
        <v>602105</v>
      </c>
      <c r="C2344" s="14" t="str">
        <f>IFERROR(__xludf.DUMMYFUNCTION("""COMPUTED_VALUE"""),"孫銓")</f>
        <v>孫銓</v>
      </c>
      <c r="D2344" s="16" t="str">
        <f>IFERROR(__xludf.DUMMYFUNCTION("""COMPUTED_VALUE"""),"s01*****@mail.edu.tw")</f>
        <v>s01*****@mail.edu.tw</v>
      </c>
      <c r="E2344" s="17" t="str">
        <f>IFERROR(__xludf.DUMMYFUNCTION("""COMPUTED_VALUE"""),"南投縣立埔里國民中學")</f>
        <v>南投縣立埔里國民中學</v>
      </c>
      <c r="F2344" s="14" t="str">
        <f>IFERROR(__xludf.DUMMYFUNCTION("""COMPUTED_VALUE"""),"八年級")</f>
        <v>八年級</v>
      </c>
      <c r="G2344" s="14" t="str">
        <f>IFERROR(__xludf.DUMMYFUNCTION("""COMPUTED_VALUE"""),"獎狀")</f>
        <v>獎狀</v>
      </c>
      <c r="H2344" s="8"/>
    </row>
    <row r="2345">
      <c r="A2345" s="18"/>
      <c r="B2345" s="14">
        <f>IFERROR(__xludf.DUMMYFUNCTION("""COMPUTED_VALUE"""),602108.0)</f>
        <v>602108</v>
      </c>
      <c r="C2345" s="14" t="str">
        <f>IFERROR(__xludf.DUMMYFUNCTION("""COMPUTED_VALUE"""),"張晉豪")</f>
        <v>張晉豪</v>
      </c>
      <c r="D2345" s="16" t="str">
        <f>IFERROR(__xludf.DUMMYFUNCTION("""COMPUTED_VALUE"""),"s01*****@mail.edu.tw")</f>
        <v>s01*****@mail.edu.tw</v>
      </c>
      <c r="E2345" s="17" t="str">
        <f>IFERROR(__xludf.DUMMYFUNCTION("""COMPUTED_VALUE"""),"南投縣立埔里國民中學")</f>
        <v>南投縣立埔里國民中學</v>
      </c>
      <c r="F2345" s="14" t="str">
        <f>IFERROR(__xludf.DUMMYFUNCTION("""COMPUTED_VALUE"""),"八年級")</f>
        <v>八年級</v>
      </c>
      <c r="G2345" s="14" t="str">
        <f>IFERROR(__xludf.DUMMYFUNCTION("""COMPUTED_VALUE"""),"獎狀")</f>
        <v>獎狀</v>
      </c>
      <c r="H2345" s="8"/>
    </row>
    <row r="2346">
      <c r="A2346" s="18"/>
      <c r="B2346" s="14">
        <f>IFERROR(__xludf.DUMMYFUNCTION("""COMPUTED_VALUE"""),1161474.0)</f>
        <v>1161474</v>
      </c>
      <c r="C2346" s="14" t="str">
        <f>IFERROR(__xludf.DUMMYFUNCTION("""COMPUTED_VALUE"""),"張媛婷")</f>
        <v>張媛婷</v>
      </c>
      <c r="D2346" s="16" t="str">
        <f>IFERROR(__xludf.DUMMYFUNCTION("""COMPUTED_VALUE"""),"s01*****.ntct@mail.edu.tw")</f>
        <v>s01*****.ntct@mail.edu.tw</v>
      </c>
      <c r="E2346" s="17" t="str">
        <f>IFERROR(__xludf.DUMMYFUNCTION("""COMPUTED_VALUE"""),"南投縣立埔里國民中學")</f>
        <v>南投縣立埔里國民中學</v>
      </c>
      <c r="F2346" s="14" t="str">
        <f>IFERROR(__xludf.DUMMYFUNCTION("""COMPUTED_VALUE"""),"八年級")</f>
        <v>八年級</v>
      </c>
      <c r="G2346" s="14" t="str">
        <f>IFERROR(__xludf.DUMMYFUNCTION("""COMPUTED_VALUE"""),"獎狀")</f>
        <v>獎狀</v>
      </c>
      <c r="H2346" s="8"/>
    </row>
    <row r="2347">
      <c r="A2347" s="18"/>
      <c r="B2347" s="14">
        <f>IFERROR(__xludf.DUMMYFUNCTION("""COMPUTED_VALUE"""),362898.0)</f>
        <v>362898</v>
      </c>
      <c r="C2347" s="14" t="str">
        <f>IFERROR(__xludf.DUMMYFUNCTION("""COMPUTED_VALUE"""),"許蜿秦")</f>
        <v>許蜿秦</v>
      </c>
      <c r="D2347" s="16" t="str">
        <f>IFERROR(__xludf.DUMMYFUNCTION("""COMPUTED_VALUE"""),"s01*****@mail.edu.tw")</f>
        <v>s01*****@mail.edu.tw</v>
      </c>
      <c r="E2347" s="17" t="str">
        <f>IFERROR(__xludf.DUMMYFUNCTION("""COMPUTED_VALUE"""),"南投縣立埔里國民中學")</f>
        <v>南投縣立埔里國民中學</v>
      </c>
      <c r="F2347" s="14" t="str">
        <f>IFERROR(__xludf.DUMMYFUNCTION("""COMPUTED_VALUE"""),"八年級")</f>
        <v>八年級</v>
      </c>
      <c r="G2347" s="14" t="str">
        <f>IFERROR(__xludf.DUMMYFUNCTION("""COMPUTED_VALUE"""),"獎狀")</f>
        <v>獎狀</v>
      </c>
      <c r="H2347" s="8"/>
    </row>
    <row r="2348">
      <c r="A2348" s="18"/>
      <c r="B2348" s="14">
        <f>IFERROR(__xludf.DUMMYFUNCTION("""COMPUTED_VALUE"""),1003116.0)</f>
        <v>1003116</v>
      </c>
      <c r="C2348" s="14" t="str">
        <f>IFERROR(__xludf.DUMMYFUNCTION("""COMPUTED_VALUE"""),"傅立丞")</f>
        <v>傅立丞</v>
      </c>
      <c r="D2348" s="16" t="str">
        <f>IFERROR(__xludf.DUMMYFUNCTION("""COMPUTED_VALUE"""),"s09*****793.ntct@mail.edu.tw")</f>
        <v>s09*****793.ntct@mail.edu.tw</v>
      </c>
      <c r="E2348" s="17" t="str">
        <f>IFERROR(__xludf.DUMMYFUNCTION("""COMPUTED_VALUE"""),"南投縣立埔里國民中學")</f>
        <v>南投縣立埔里國民中學</v>
      </c>
      <c r="F2348" s="14" t="str">
        <f>IFERROR(__xludf.DUMMYFUNCTION("""COMPUTED_VALUE"""),"八年級")</f>
        <v>八年級</v>
      </c>
      <c r="G2348" s="14" t="str">
        <f>IFERROR(__xludf.DUMMYFUNCTION("""COMPUTED_VALUE"""),"獎狀")</f>
        <v>獎狀</v>
      </c>
      <c r="H2348" s="8"/>
    </row>
    <row r="2349">
      <c r="A2349" s="18"/>
      <c r="B2349" s="14">
        <f>IFERROR(__xludf.DUMMYFUNCTION("""COMPUTED_VALUE"""),1161472.0)</f>
        <v>1161472</v>
      </c>
      <c r="C2349" s="14" t="str">
        <f>IFERROR(__xludf.DUMMYFUNCTION("""COMPUTED_VALUE"""),"劉羽婷")</f>
        <v>劉羽婷</v>
      </c>
      <c r="D2349" s="16" t="str">
        <f>IFERROR(__xludf.DUMMYFUNCTION("""COMPUTED_VALUE"""),"s01*****.ntct@mail.edu.tw")</f>
        <v>s01*****.ntct@mail.edu.tw</v>
      </c>
      <c r="E2349" s="17" t="str">
        <f>IFERROR(__xludf.DUMMYFUNCTION("""COMPUTED_VALUE"""),"南投縣立埔里國民中學")</f>
        <v>南投縣立埔里國民中學</v>
      </c>
      <c r="F2349" s="14" t="str">
        <f>IFERROR(__xludf.DUMMYFUNCTION("""COMPUTED_VALUE"""),"八年級")</f>
        <v>八年級</v>
      </c>
      <c r="G2349" s="14" t="str">
        <f>IFERROR(__xludf.DUMMYFUNCTION("""COMPUTED_VALUE"""),"獎狀")</f>
        <v>獎狀</v>
      </c>
      <c r="H2349" s="8"/>
    </row>
    <row r="2350">
      <c r="A2350" s="18"/>
      <c r="B2350" s="14">
        <f>IFERROR(__xludf.DUMMYFUNCTION("""COMPUTED_VALUE"""),1161473.0)</f>
        <v>1161473</v>
      </c>
      <c r="C2350" s="14" t="str">
        <f>IFERROR(__xludf.DUMMYFUNCTION("""COMPUTED_VALUE"""),"羅芊淇")</f>
        <v>羅芊淇</v>
      </c>
      <c r="D2350" s="16" t="str">
        <f>IFERROR(__xludf.DUMMYFUNCTION("""COMPUTED_VALUE"""),"s01*****.ntct@mail.edu.tw")</f>
        <v>s01*****.ntct@mail.edu.tw</v>
      </c>
      <c r="E2350" s="17" t="str">
        <f>IFERROR(__xludf.DUMMYFUNCTION("""COMPUTED_VALUE"""),"南投縣立埔里國民中學")</f>
        <v>南投縣立埔里國民中學</v>
      </c>
      <c r="F2350" s="14" t="str">
        <f>IFERROR(__xludf.DUMMYFUNCTION("""COMPUTED_VALUE"""),"八年級")</f>
        <v>八年級</v>
      </c>
      <c r="G2350" s="14" t="str">
        <f>IFERROR(__xludf.DUMMYFUNCTION("""COMPUTED_VALUE"""),"獎狀")</f>
        <v>獎狀</v>
      </c>
      <c r="H2350" s="8"/>
    </row>
    <row r="2351">
      <c r="A2351" s="18"/>
      <c r="B2351" s="14">
        <f>IFERROR(__xludf.DUMMYFUNCTION("""COMPUTED_VALUE"""),1161454.0)</f>
        <v>1161454</v>
      </c>
      <c r="C2351" s="14" t="str">
        <f>IFERROR(__xludf.DUMMYFUNCTION("""COMPUTED_VALUE"""),"鐘宣紋")</f>
        <v>鐘宣紋</v>
      </c>
      <c r="D2351" s="16" t="str">
        <f>IFERROR(__xludf.DUMMYFUNCTION("""COMPUTED_VALUE"""),"s01*****.ntct@mail.edu.tw")</f>
        <v>s01*****.ntct@mail.edu.tw</v>
      </c>
      <c r="E2351" s="17" t="str">
        <f>IFERROR(__xludf.DUMMYFUNCTION("""COMPUTED_VALUE"""),"南投縣立埔里國民中學")</f>
        <v>南投縣立埔里國民中學</v>
      </c>
      <c r="F2351" s="14" t="str">
        <f>IFERROR(__xludf.DUMMYFUNCTION("""COMPUTED_VALUE"""),"八年級")</f>
        <v>八年級</v>
      </c>
      <c r="G2351" s="14" t="str">
        <f>IFERROR(__xludf.DUMMYFUNCTION("""COMPUTED_VALUE"""),"獎狀")</f>
        <v>獎狀</v>
      </c>
      <c r="H2351" s="8"/>
    </row>
    <row r="2352">
      <c r="A2352" s="18"/>
      <c r="B2352" s="14">
        <f>IFERROR(__xludf.DUMMYFUNCTION("""COMPUTED_VALUE"""),1180641.0)</f>
        <v>1180641</v>
      </c>
      <c r="C2352" s="14" t="str">
        <f>IFERROR(__xludf.DUMMYFUNCTION("""COMPUTED_VALUE"""),"吉澈芝")</f>
        <v>吉澈芝</v>
      </c>
      <c r="D2352" s="16" t="str">
        <f>IFERROR(__xludf.DUMMYFUNCTION("""COMPUTED_VALUE"""),"s01*****@go.edu.tw")</f>
        <v>s01*****@go.edu.tw</v>
      </c>
      <c r="E2352" s="17" t="str">
        <f>IFERROR(__xludf.DUMMYFUNCTION("""COMPUTED_VALUE"""),"南投縣立埔里國民中學")</f>
        <v>南投縣立埔里國民中學</v>
      </c>
      <c r="F2352" s="14" t="str">
        <f>IFERROR(__xludf.DUMMYFUNCTION("""COMPUTED_VALUE"""),"八年級")</f>
        <v>八年級</v>
      </c>
      <c r="G2352" s="14" t="str">
        <f>IFERROR(__xludf.DUMMYFUNCTION("""COMPUTED_VALUE"""),"●小禮物")</f>
        <v>●小禮物</v>
      </c>
      <c r="H2352" s="8"/>
    </row>
    <row r="2353">
      <c r="A2353" s="18"/>
      <c r="B2353" s="14">
        <f>IFERROR(__xludf.DUMMYFUNCTION("""COMPUTED_VALUE"""),821723.0)</f>
        <v>821723</v>
      </c>
      <c r="C2353" s="14" t="str">
        <f>IFERROR(__xludf.DUMMYFUNCTION("""COMPUTED_VALUE"""),"江威廷")</f>
        <v>江威廷</v>
      </c>
      <c r="D2353" s="16" t="str">
        <f>IFERROR(__xludf.DUMMYFUNCTION("""COMPUTED_VALUE"""),"s01*****.ntct@mail.edu.tw")</f>
        <v>s01*****.ntct@mail.edu.tw</v>
      </c>
      <c r="E2353" s="17" t="str">
        <f>IFERROR(__xludf.DUMMYFUNCTION("""COMPUTED_VALUE"""),"南投縣立埔里國民中學")</f>
        <v>南投縣立埔里國民中學</v>
      </c>
      <c r="F2353" s="14" t="str">
        <f>IFERROR(__xludf.DUMMYFUNCTION("""COMPUTED_VALUE"""),"八年級")</f>
        <v>八年級</v>
      </c>
      <c r="G2353" s="14" t="str">
        <f>IFERROR(__xludf.DUMMYFUNCTION("""COMPUTED_VALUE"""),"●小禮物")</f>
        <v>●小禮物</v>
      </c>
      <c r="H2353" s="8"/>
    </row>
    <row r="2354">
      <c r="A2354" s="18"/>
      <c r="B2354" s="14">
        <f>IFERROR(__xludf.DUMMYFUNCTION("""COMPUTED_VALUE"""),821713.0)</f>
        <v>821713</v>
      </c>
      <c r="C2354" s="14" t="str">
        <f>IFERROR(__xludf.DUMMYFUNCTION("""COMPUTED_VALUE"""),"邱世安")</f>
        <v>邱世安</v>
      </c>
      <c r="D2354" s="16" t="str">
        <f>IFERROR(__xludf.DUMMYFUNCTION("""COMPUTED_VALUE"""),"s01*****.ntct@mail.edu.tw")</f>
        <v>s01*****.ntct@mail.edu.tw</v>
      </c>
      <c r="E2354" s="17" t="str">
        <f>IFERROR(__xludf.DUMMYFUNCTION("""COMPUTED_VALUE"""),"南投縣立埔里國民中學")</f>
        <v>南投縣立埔里國民中學</v>
      </c>
      <c r="F2354" s="14" t="str">
        <f>IFERROR(__xludf.DUMMYFUNCTION("""COMPUTED_VALUE"""),"八年級")</f>
        <v>八年級</v>
      </c>
      <c r="G2354" s="14" t="str">
        <f>IFERROR(__xludf.DUMMYFUNCTION("""COMPUTED_VALUE"""),"●小禮物")</f>
        <v>●小禮物</v>
      </c>
      <c r="H2354" s="8"/>
    </row>
    <row r="2355">
      <c r="A2355" s="18"/>
      <c r="B2355" s="14">
        <f>IFERROR(__xludf.DUMMYFUNCTION("""COMPUTED_VALUE"""),467033.0)</f>
        <v>467033</v>
      </c>
      <c r="C2355" s="14" t="str">
        <f>IFERROR(__xludf.DUMMYFUNCTION("""COMPUTED_VALUE"""),"陳奕菁")</f>
        <v>陳奕菁</v>
      </c>
      <c r="D2355" s="16" t="str">
        <f>IFERROR(__xludf.DUMMYFUNCTION("""COMPUTED_VALUE"""),"s01*****@mail.edu.tw")</f>
        <v>s01*****@mail.edu.tw</v>
      </c>
      <c r="E2355" s="17" t="str">
        <f>IFERROR(__xludf.DUMMYFUNCTION("""COMPUTED_VALUE"""),"南投縣立埔里國民中學")</f>
        <v>南投縣立埔里國民中學</v>
      </c>
      <c r="F2355" s="14" t="str">
        <f>IFERROR(__xludf.DUMMYFUNCTION("""COMPUTED_VALUE"""),"八年級")</f>
        <v>八年級</v>
      </c>
      <c r="G2355" s="14" t="str">
        <f>IFERROR(__xludf.DUMMYFUNCTION("""COMPUTED_VALUE"""),"●小禮物")</f>
        <v>●小禮物</v>
      </c>
      <c r="H2355" s="8"/>
    </row>
    <row r="2356">
      <c r="A2356" s="18"/>
      <c r="B2356" s="14">
        <f>IFERROR(__xludf.DUMMYFUNCTION("""COMPUTED_VALUE"""),905266.0)</f>
        <v>905266</v>
      </c>
      <c r="C2356" s="14" t="str">
        <f>IFERROR(__xludf.DUMMYFUNCTION("""COMPUTED_VALUE"""),"童琦涵")</f>
        <v>童琦涵</v>
      </c>
      <c r="D2356" s="16" t="str">
        <f>IFERROR(__xludf.DUMMYFUNCTION("""COMPUTED_VALUE"""),"s01*****.ntct@mail.edu.tw")</f>
        <v>s01*****.ntct@mail.edu.tw</v>
      </c>
      <c r="E2356" s="17" t="str">
        <f>IFERROR(__xludf.DUMMYFUNCTION("""COMPUTED_VALUE"""),"南投縣立埔里國民中學")</f>
        <v>南投縣立埔里國民中學</v>
      </c>
      <c r="F2356" s="14" t="str">
        <f>IFERROR(__xludf.DUMMYFUNCTION("""COMPUTED_VALUE"""),"八年級")</f>
        <v>八年級</v>
      </c>
      <c r="G2356" s="14" t="str">
        <f>IFERROR(__xludf.DUMMYFUNCTION("""COMPUTED_VALUE"""),"●小禮物")</f>
        <v>●小禮物</v>
      </c>
      <c r="H2356" s="8"/>
    </row>
    <row r="2357">
      <c r="A2357" s="18"/>
      <c r="B2357" s="14">
        <f>IFERROR(__xludf.DUMMYFUNCTION("""COMPUTED_VALUE"""),821731.0)</f>
        <v>821731</v>
      </c>
      <c r="C2357" s="14" t="str">
        <f>IFERROR(__xludf.DUMMYFUNCTION("""COMPUTED_VALUE"""),"黃妍蓁")</f>
        <v>黃妍蓁</v>
      </c>
      <c r="D2357" s="16" t="str">
        <f>IFERROR(__xludf.DUMMYFUNCTION("""COMPUTED_VALUE"""),"s01*****.ntct@mail.edu.tw")</f>
        <v>s01*****.ntct@mail.edu.tw</v>
      </c>
      <c r="E2357" s="17" t="str">
        <f>IFERROR(__xludf.DUMMYFUNCTION("""COMPUTED_VALUE"""),"南投縣立埔里國民中學")</f>
        <v>南投縣立埔里國民中學</v>
      </c>
      <c r="F2357" s="14" t="str">
        <f>IFERROR(__xludf.DUMMYFUNCTION("""COMPUTED_VALUE"""),"八年級")</f>
        <v>八年級</v>
      </c>
      <c r="G2357" s="14" t="str">
        <f>IFERROR(__xludf.DUMMYFUNCTION("""COMPUTED_VALUE"""),"●小禮物")</f>
        <v>●小禮物</v>
      </c>
      <c r="H2357" s="8"/>
    </row>
    <row r="2358">
      <c r="A2358" s="18"/>
      <c r="B2358" s="14">
        <f>IFERROR(__xludf.DUMMYFUNCTION("""COMPUTED_VALUE"""),905265.0)</f>
        <v>905265</v>
      </c>
      <c r="C2358" s="14" t="str">
        <f>IFERROR(__xludf.DUMMYFUNCTION("""COMPUTED_VALUE"""),"塗家葳")</f>
        <v>塗家葳</v>
      </c>
      <c r="D2358" s="16" t="str">
        <f>IFERROR(__xludf.DUMMYFUNCTION("""COMPUTED_VALUE"""),"s01*****.ntct@mail.edu.tw")</f>
        <v>s01*****.ntct@mail.edu.tw</v>
      </c>
      <c r="E2358" s="17" t="str">
        <f>IFERROR(__xludf.DUMMYFUNCTION("""COMPUTED_VALUE"""),"南投縣立埔里國民中學")</f>
        <v>南投縣立埔里國民中學</v>
      </c>
      <c r="F2358" s="14" t="str">
        <f>IFERROR(__xludf.DUMMYFUNCTION("""COMPUTED_VALUE"""),"八年級")</f>
        <v>八年級</v>
      </c>
      <c r="G2358" s="14" t="str">
        <f>IFERROR(__xludf.DUMMYFUNCTION("""COMPUTED_VALUE"""),"●小禮物")</f>
        <v>●小禮物</v>
      </c>
      <c r="H2358" s="8"/>
    </row>
    <row r="2359">
      <c r="A2359" s="18"/>
      <c r="B2359" s="14">
        <f>IFERROR(__xludf.DUMMYFUNCTION("""COMPUTED_VALUE"""),362847.0)</f>
        <v>362847</v>
      </c>
      <c r="C2359" s="14" t="str">
        <f>IFERROR(__xludf.DUMMYFUNCTION("""COMPUTED_VALUE"""),"葉語澄")</f>
        <v>葉語澄</v>
      </c>
      <c r="D2359" s="16" t="str">
        <f>IFERROR(__xludf.DUMMYFUNCTION("""COMPUTED_VALUE"""),"s01*****@mail.edu.tw")</f>
        <v>s01*****@mail.edu.tw</v>
      </c>
      <c r="E2359" s="17" t="str">
        <f>IFERROR(__xludf.DUMMYFUNCTION("""COMPUTED_VALUE"""),"南投縣立埔里國民中學")</f>
        <v>南投縣立埔里國民中學</v>
      </c>
      <c r="F2359" s="14" t="str">
        <f>IFERROR(__xludf.DUMMYFUNCTION("""COMPUTED_VALUE"""),"八年級")</f>
        <v>八年級</v>
      </c>
      <c r="G2359" s="14" t="str">
        <f>IFERROR(__xludf.DUMMYFUNCTION("""COMPUTED_VALUE"""),"●小禮物")</f>
        <v>●小禮物</v>
      </c>
      <c r="H2359" s="8"/>
    </row>
    <row r="2360">
      <c r="A2360" s="18"/>
      <c r="B2360" s="14">
        <f>IFERROR(__xludf.DUMMYFUNCTION("""COMPUTED_VALUE"""),1180608.0)</f>
        <v>1180608</v>
      </c>
      <c r="C2360" s="14" t="str">
        <f>IFERROR(__xludf.DUMMYFUNCTION("""COMPUTED_VALUE"""),"林依葇")</f>
        <v>林依葇</v>
      </c>
      <c r="D2360" s="16" t="str">
        <f>IFERROR(__xludf.DUMMYFUNCTION("""COMPUTED_VALUE"""),"s01*****.ntct@go.edu.tw")</f>
        <v>s01*****.ntct@go.edu.tw</v>
      </c>
      <c r="E2360" s="17" t="str">
        <f>IFERROR(__xludf.DUMMYFUNCTION("""COMPUTED_VALUE"""),"南投縣立埔里國民中學")</f>
        <v>南投縣立埔里國民中學</v>
      </c>
      <c r="F2360" s="14" t="str">
        <f>IFERROR(__xludf.DUMMYFUNCTION("""COMPUTED_VALUE"""),"八年級")</f>
        <v>八年級</v>
      </c>
      <c r="G2360" s="14" t="str">
        <f>IFERROR(__xludf.DUMMYFUNCTION("""COMPUTED_VALUE"""),"獎狀")</f>
        <v>獎狀</v>
      </c>
      <c r="H2360" s="8"/>
    </row>
    <row r="2361">
      <c r="A2361" s="18"/>
      <c r="B2361" s="14">
        <f>IFERROR(__xludf.DUMMYFUNCTION("""COMPUTED_VALUE"""),821711.0)</f>
        <v>821711</v>
      </c>
      <c r="C2361" s="14" t="str">
        <f>IFERROR(__xludf.DUMMYFUNCTION("""COMPUTED_VALUE"""),"林軒卉")</f>
        <v>林軒卉</v>
      </c>
      <c r="D2361" s="16" t="str">
        <f>IFERROR(__xludf.DUMMYFUNCTION("""COMPUTED_VALUE"""),"s01*****@go.edu.tw")</f>
        <v>s01*****@go.edu.tw</v>
      </c>
      <c r="E2361" s="17" t="str">
        <f>IFERROR(__xludf.DUMMYFUNCTION("""COMPUTED_VALUE"""),"南投縣立埔里國民中學")</f>
        <v>南投縣立埔里國民中學</v>
      </c>
      <c r="F2361" s="14" t="str">
        <f>IFERROR(__xludf.DUMMYFUNCTION("""COMPUTED_VALUE"""),"八年級")</f>
        <v>八年級</v>
      </c>
      <c r="G2361" s="14" t="str">
        <f>IFERROR(__xludf.DUMMYFUNCTION("""COMPUTED_VALUE"""),"獎狀")</f>
        <v>獎狀</v>
      </c>
      <c r="H2361" s="8"/>
    </row>
    <row r="2362">
      <c r="A2362" s="18"/>
      <c r="B2362" s="14">
        <f>IFERROR(__xludf.DUMMYFUNCTION("""COMPUTED_VALUE"""),821721.0)</f>
        <v>821721</v>
      </c>
      <c r="C2362" s="14" t="str">
        <f>IFERROR(__xludf.DUMMYFUNCTION("""COMPUTED_VALUE"""),"陳姿錡")</f>
        <v>陳姿錡</v>
      </c>
      <c r="D2362" s="16" t="str">
        <f>IFERROR(__xludf.DUMMYFUNCTION("""COMPUTED_VALUE"""),"ts1*****@mail.edu.tw")</f>
        <v>ts1*****@mail.edu.tw</v>
      </c>
      <c r="E2362" s="17" t="str">
        <f>IFERROR(__xludf.DUMMYFUNCTION("""COMPUTED_VALUE"""),"南投縣立埔里國民中學")</f>
        <v>南投縣立埔里國民中學</v>
      </c>
      <c r="F2362" s="14" t="str">
        <f>IFERROR(__xludf.DUMMYFUNCTION("""COMPUTED_VALUE"""),"八年級")</f>
        <v>八年級</v>
      </c>
      <c r="G2362" s="14" t="str">
        <f>IFERROR(__xludf.DUMMYFUNCTION("""COMPUTED_VALUE"""),"獎狀")</f>
        <v>獎狀</v>
      </c>
      <c r="H2362" s="8"/>
    </row>
    <row r="2363">
      <c r="A2363" s="18"/>
      <c r="B2363" s="14">
        <f>IFERROR(__xludf.DUMMYFUNCTION("""COMPUTED_VALUE"""),1180625.0)</f>
        <v>1180625</v>
      </c>
      <c r="C2363" s="14" t="str">
        <f>IFERROR(__xludf.DUMMYFUNCTION("""COMPUTED_VALUE"""),"黃鉦詠")</f>
        <v>黃鉦詠</v>
      </c>
      <c r="D2363" s="16" t="str">
        <f>IFERROR(__xludf.DUMMYFUNCTION("""COMPUTED_VALUE"""),"s01*****.ntct@go.edu.tw")</f>
        <v>s01*****.ntct@go.edu.tw</v>
      </c>
      <c r="E2363" s="17" t="str">
        <f>IFERROR(__xludf.DUMMYFUNCTION("""COMPUTED_VALUE"""),"南投縣立埔里國民中學")</f>
        <v>南投縣立埔里國民中學</v>
      </c>
      <c r="F2363" s="14" t="str">
        <f>IFERROR(__xludf.DUMMYFUNCTION("""COMPUTED_VALUE"""),"八年級")</f>
        <v>八年級</v>
      </c>
      <c r="G2363" s="14" t="str">
        <f>IFERROR(__xludf.DUMMYFUNCTION("""COMPUTED_VALUE"""),"獎狀")</f>
        <v>獎狀</v>
      </c>
      <c r="H2363" s="8"/>
    </row>
    <row r="2364">
      <c r="A2364" s="18"/>
      <c r="B2364" s="14">
        <f>IFERROR(__xludf.DUMMYFUNCTION("""COMPUTED_VALUE"""),821719.0)</f>
        <v>821719</v>
      </c>
      <c r="C2364" s="14" t="str">
        <f>IFERROR(__xludf.DUMMYFUNCTION("""COMPUTED_VALUE"""),"詹詠茜")</f>
        <v>詹詠茜</v>
      </c>
      <c r="D2364" s="16" t="str">
        <f>IFERROR(__xludf.DUMMYFUNCTION("""COMPUTED_VALUE"""),"s01*****.ntct@mail.edu.tw")</f>
        <v>s01*****.ntct@mail.edu.tw</v>
      </c>
      <c r="E2364" s="17" t="str">
        <f>IFERROR(__xludf.DUMMYFUNCTION("""COMPUTED_VALUE"""),"南投縣立埔里國民中學")</f>
        <v>南投縣立埔里國民中學</v>
      </c>
      <c r="F2364" s="14" t="str">
        <f>IFERROR(__xludf.DUMMYFUNCTION("""COMPUTED_VALUE"""),"八年級")</f>
        <v>八年級</v>
      </c>
      <c r="G2364" s="14" t="str">
        <f>IFERROR(__xludf.DUMMYFUNCTION("""COMPUTED_VALUE"""),"獎狀")</f>
        <v>獎狀</v>
      </c>
      <c r="H2364" s="8"/>
    </row>
    <row r="2365">
      <c r="A2365" s="18"/>
      <c r="B2365" s="14">
        <f>IFERROR(__xludf.DUMMYFUNCTION("""COMPUTED_VALUE"""),905268.0)</f>
        <v>905268</v>
      </c>
      <c r="C2365" s="14" t="str">
        <f>IFERROR(__xludf.DUMMYFUNCTION("""COMPUTED_VALUE"""),"魏佑竹")</f>
        <v>魏佑竹</v>
      </c>
      <c r="D2365" s="16" t="str">
        <f>IFERROR(__xludf.DUMMYFUNCTION("""COMPUTED_VALUE"""),"s01*****.ntct@mail.edu.tw")</f>
        <v>s01*****.ntct@mail.edu.tw</v>
      </c>
      <c r="E2365" s="17" t="str">
        <f>IFERROR(__xludf.DUMMYFUNCTION("""COMPUTED_VALUE"""),"南投縣立埔里國民中學")</f>
        <v>南投縣立埔里國民中學</v>
      </c>
      <c r="F2365" s="14" t="str">
        <f>IFERROR(__xludf.DUMMYFUNCTION("""COMPUTED_VALUE"""),"八年級")</f>
        <v>八年級</v>
      </c>
      <c r="G2365" s="14" t="str">
        <f>IFERROR(__xludf.DUMMYFUNCTION("""COMPUTED_VALUE"""),"獎狀")</f>
        <v>獎狀</v>
      </c>
      <c r="H2365" s="8"/>
    </row>
    <row r="2366">
      <c r="A2366" s="18"/>
      <c r="B2366" s="14">
        <f>IFERROR(__xludf.DUMMYFUNCTION("""COMPUTED_VALUE"""),322431.0)</f>
        <v>322431</v>
      </c>
      <c r="C2366" s="14" t="str">
        <f>IFERROR(__xludf.DUMMYFUNCTION("""COMPUTED_VALUE"""),"王宏鈞")</f>
        <v>王宏鈞</v>
      </c>
      <c r="D2366" s="16" t="str">
        <f>IFERROR(__xludf.DUMMYFUNCTION("""COMPUTED_VALUE"""),"s01*****@mail.edu.tw")</f>
        <v>s01*****@mail.edu.tw</v>
      </c>
      <c r="E2366" s="17" t="str">
        <f>IFERROR(__xludf.DUMMYFUNCTION("""COMPUTED_VALUE"""),"南投縣立埔里國民中學")</f>
        <v>南投縣立埔里國民中學</v>
      </c>
      <c r="F2366" s="14" t="str">
        <f>IFERROR(__xludf.DUMMYFUNCTION("""COMPUTED_VALUE"""),"八年級")</f>
        <v>八年級</v>
      </c>
      <c r="G2366" s="14" t="str">
        <f>IFERROR(__xludf.DUMMYFUNCTION("""COMPUTED_VALUE"""),"●小禮物")</f>
        <v>●小禮物</v>
      </c>
      <c r="H2366" s="8"/>
    </row>
    <row r="2367">
      <c r="A2367" s="18"/>
      <c r="B2367" s="14">
        <f>IFERROR(__xludf.DUMMYFUNCTION("""COMPUTED_VALUE"""),322423.0)</f>
        <v>322423</v>
      </c>
      <c r="C2367" s="14" t="str">
        <f>IFERROR(__xludf.DUMMYFUNCTION("""COMPUTED_VALUE"""),"王侑鈞")</f>
        <v>王侑鈞</v>
      </c>
      <c r="D2367" s="16" t="str">
        <f>IFERROR(__xludf.DUMMYFUNCTION("""COMPUTED_VALUE"""),"s01*****@mail.edu.tw")</f>
        <v>s01*****@mail.edu.tw</v>
      </c>
      <c r="E2367" s="17" t="str">
        <f>IFERROR(__xludf.DUMMYFUNCTION("""COMPUTED_VALUE"""),"南投縣立埔里國民中學")</f>
        <v>南投縣立埔里國民中學</v>
      </c>
      <c r="F2367" s="14" t="str">
        <f>IFERROR(__xludf.DUMMYFUNCTION("""COMPUTED_VALUE"""),"八年級")</f>
        <v>八年級</v>
      </c>
      <c r="G2367" s="14" t="str">
        <f>IFERROR(__xludf.DUMMYFUNCTION("""COMPUTED_VALUE"""),"●小禮物")</f>
        <v>●小禮物</v>
      </c>
      <c r="H2367" s="8"/>
    </row>
    <row r="2368">
      <c r="A2368" s="18"/>
      <c r="B2368" s="14">
        <f>IFERROR(__xludf.DUMMYFUNCTION("""COMPUTED_VALUE"""),883071.0)</f>
        <v>883071</v>
      </c>
      <c r="C2368" s="14" t="str">
        <f>IFERROR(__xludf.DUMMYFUNCTION("""COMPUTED_VALUE"""),"王姿方")</f>
        <v>王姿方</v>
      </c>
      <c r="D2368" s="16" t="str">
        <f>IFERROR(__xludf.DUMMYFUNCTION("""COMPUTED_VALUE"""),"s01*****.ntct@mail.edu.tw")</f>
        <v>s01*****.ntct@mail.edu.tw</v>
      </c>
      <c r="E2368" s="17" t="str">
        <f>IFERROR(__xludf.DUMMYFUNCTION("""COMPUTED_VALUE"""),"南投縣立埔里國民中學")</f>
        <v>南投縣立埔里國民中學</v>
      </c>
      <c r="F2368" s="14" t="str">
        <f>IFERROR(__xludf.DUMMYFUNCTION("""COMPUTED_VALUE"""),"八年級")</f>
        <v>八年級</v>
      </c>
      <c r="G2368" s="14" t="str">
        <f>IFERROR(__xludf.DUMMYFUNCTION("""COMPUTED_VALUE"""),"●小禮物")</f>
        <v>●小禮物</v>
      </c>
      <c r="H2368" s="8"/>
    </row>
    <row r="2369">
      <c r="A2369" s="18"/>
      <c r="B2369" s="14">
        <f>IFERROR(__xludf.DUMMYFUNCTION("""COMPUTED_VALUE"""),870103.0)</f>
        <v>870103</v>
      </c>
      <c r="C2369" s="14" t="str">
        <f>IFERROR(__xludf.DUMMYFUNCTION("""COMPUTED_VALUE"""),"王嫄甄")</f>
        <v>王嫄甄</v>
      </c>
      <c r="D2369" s="16" t="str">
        <f>IFERROR(__xludf.DUMMYFUNCTION("""COMPUTED_VALUE"""),"s01*****@mail.edu.tw")</f>
        <v>s01*****@mail.edu.tw</v>
      </c>
      <c r="E2369" s="17" t="str">
        <f>IFERROR(__xludf.DUMMYFUNCTION("""COMPUTED_VALUE"""),"南投縣立埔里國民中學")</f>
        <v>南投縣立埔里國民中學</v>
      </c>
      <c r="F2369" s="14" t="str">
        <f>IFERROR(__xludf.DUMMYFUNCTION("""COMPUTED_VALUE"""),"八年級")</f>
        <v>八年級</v>
      </c>
      <c r="G2369" s="14" t="str">
        <f>IFERROR(__xludf.DUMMYFUNCTION("""COMPUTED_VALUE"""),"●小禮物")</f>
        <v>●小禮物</v>
      </c>
      <c r="H2369" s="8"/>
    </row>
    <row r="2370">
      <c r="A2370" s="18"/>
      <c r="B2370" s="14">
        <f>IFERROR(__xludf.DUMMYFUNCTION("""COMPUTED_VALUE"""),904922.0)</f>
        <v>904922</v>
      </c>
      <c r="C2370" s="14" t="str">
        <f>IFERROR(__xludf.DUMMYFUNCTION("""COMPUTED_VALUE"""),"朱映璇")</f>
        <v>朱映璇</v>
      </c>
      <c r="D2370" s="16" t="str">
        <f>IFERROR(__xludf.DUMMYFUNCTION("""COMPUTED_VALUE"""),"s01*****.ntct@mail.edu.tw")</f>
        <v>s01*****.ntct@mail.edu.tw</v>
      </c>
      <c r="E2370" s="17" t="str">
        <f>IFERROR(__xludf.DUMMYFUNCTION("""COMPUTED_VALUE"""),"南投縣立埔里國民中學")</f>
        <v>南投縣立埔里國民中學</v>
      </c>
      <c r="F2370" s="14" t="str">
        <f>IFERROR(__xludf.DUMMYFUNCTION("""COMPUTED_VALUE"""),"八年級")</f>
        <v>八年級</v>
      </c>
      <c r="G2370" s="14" t="str">
        <f>IFERROR(__xludf.DUMMYFUNCTION("""COMPUTED_VALUE"""),"●小禮物")</f>
        <v>●小禮物</v>
      </c>
      <c r="H2370" s="8"/>
    </row>
    <row r="2371">
      <c r="A2371" s="18"/>
      <c r="B2371" s="14">
        <f>IFERROR(__xludf.DUMMYFUNCTION("""COMPUTED_VALUE"""),889173.0)</f>
        <v>889173</v>
      </c>
      <c r="C2371" s="14" t="str">
        <f>IFERROR(__xludf.DUMMYFUNCTION("""COMPUTED_VALUE"""),"林邱豐")</f>
        <v>林邱豐</v>
      </c>
      <c r="D2371" s="16" t="str">
        <f>IFERROR(__xludf.DUMMYFUNCTION("""COMPUTED_VALUE"""),"s01*****.ntct@mail.edu.tw")</f>
        <v>s01*****.ntct@mail.edu.tw</v>
      </c>
      <c r="E2371" s="17" t="str">
        <f>IFERROR(__xludf.DUMMYFUNCTION("""COMPUTED_VALUE"""),"南投縣立埔里國民中學")</f>
        <v>南投縣立埔里國民中學</v>
      </c>
      <c r="F2371" s="14" t="str">
        <f>IFERROR(__xludf.DUMMYFUNCTION("""COMPUTED_VALUE"""),"八年級")</f>
        <v>八年級</v>
      </c>
      <c r="G2371" s="14" t="str">
        <f>IFERROR(__xludf.DUMMYFUNCTION("""COMPUTED_VALUE"""),"●小禮物")</f>
        <v>●小禮物</v>
      </c>
      <c r="H2371" s="8"/>
    </row>
    <row r="2372">
      <c r="A2372" s="18"/>
      <c r="B2372" s="14">
        <f>IFERROR(__xludf.DUMMYFUNCTION("""COMPUTED_VALUE"""),625377.0)</f>
        <v>625377</v>
      </c>
      <c r="C2372" s="14" t="str">
        <f>IFERROR(__xludf.DUMMYFUNCTION("""COMPUTED_VALUE"""),"林聖婕")</f>
        <v>林聖婕</v>
      </c>
      <c r="D2372" s="16" t="str">
        <f>IFERROR(__xludf.DUMMYFUNCTION("""COMPUTED_VALUE"""),"s01*****.ntct@mail.edu.tw")</f>
        <v>s01*****.ntct@mail.edu.tw</v>
      </c>
      <c r="E2372" s="17" t="str">
        <f>IFERROR(__xludf.DUMMYFUNCTION("""COMPUTED_VALUE"""),"南投縣立埔里國民中學")</f>
        <v>南投縣立埔里國民中學</v>
      </c>
      <c r="F2372" s="14" t="str">
        <f>IFERROR(__xludf.DUMMYFUNCTION("""COMPUTED_VALUE"""),"八年級")</f>
        <v>八年級</v>
      </c>
      <c r="G2372" s="14" t="str">
        <f>IFERROR(__xludf.DUMMYFUNCTION("""COMPUTED_VALUE"""),"●小禮物")</f>
        <v>●小禮物</v>
      </c>
      <c r="H2372" s="8"/>
    </row>
    <row r="2373">
      <c r="A2373" s="18"/>
      <c r="B2373" s="14">
        <f>IFERROR(__xludf.DUMMYFUNCTION("""COMPUTED_VALUE"""),870270.0)</f>
        <v>870270</v>
      </c>
      <c r="C2373" s="14" t="str">
        <f>IFERROR(__xludf.DUMMYFUNCTION("""COMPUTED_VALUE"""),"林鈺珊")</f>
        <v>林鈺珊</v>
      </c>
      <c r="D2373" s="16" t="str">
        <f>IFERROR(__xludf.DUMMYFUNCTION("""COMPUTED_VALUE"""),"s01*****.ntct@mail.edu.tw")</f>
        <v>s01*****.ntct@mail.edu.tw</v>
      </c>
      <c r="E2373" s="17" t="str">
        <f>IFERROR(__xludf.DUMMYFUNCTION("""COMPUTED_VALUE"""),"南投縣立埔里國民中學")</f>
        <v>南投縣立埔里國民中學</v>
      </c>
      <c r="F2373" s="14" t="str">
        <f>IFERROR(__xludf.DUMMYFUNCTION("""COMPUTED_VALUE"""),"八年級")</f>
        <v>八年級</v>
      </c>
      <c r="G2373" s="14" t="str">
        <f>IFERROR(__xludf.DUMMYFUNCTION("""COMPUTED_VALUE"""),"●小禮物")</f>
        <v>●小禮物</v>
      </c>
      <c r="H2373" s="8"/>
    </row>
    <row r="2374">
      <c r="A2374" s="18"/>
      <c r="B2374" s="14">
        <f>IFERROR(__xludf.DUMMYFUNCTION("""COMPUTED_VALUE"""),362888.0)</f>
        <v>362888</v>
      </c>
      <c r="C2374" s="14" t="str">
        <f>IFERROR(__xludf.DUMMYFUNCTION("""COMPUTED_VALUE"""),"袁筱筑")</f>
        <v>袁筱筑</v>
      </c>
      <c r="D2374" s="16" t="str">
        <f>IFERROR(__xludf.DUMMYFUNCTION("""COMPUTED_VALUE"""),"wwo*****mail.edu.tw")</f>
        <v>wwo*****mail.edu.tw</v>
      </c>
      <c r="E2374" s="17" t="str">
        <f>IFERROR(__xludf.DUMMYFUNCTION("""COMPUTED_VALUE"""),"南投縣立埔里國民中學")</f>
        <v>南投縣立埔里國民中學</v>
      </c>
      <c r="F2374" s="14" t="str">
        <f>IFERROR(__xludf.DUMMYFUNCTION("""COMPUTED_VALUE"""),"八年級")</f>
        <v>八年級</v>
      </c>
      <c r="G2374" s="14" t="str">
        <f>IFERROR(__xludf.DUMMYFUNCTION("""COMPUTED_VALUE"""),"●小禮物")</f>
        <v>●小禮物</v>
      </c>
      <c r="H2374" s="8"/>
    </row>
    <row r="2375">
      <c r="A2375" s="18"/>
      <c r="B2375" s="14">
        <f>IFERROR(__xludf.DUMMYFUNCTION("""COMPUTED_VALUE"""),866559.0)</f>
        <v>866559</v>
      </c>
      <c r="C2375" s="14" t="str">
        <f>IFERROR(__xludf.DUMMYFUNCTION("""COMPUTED_VALUE"""),"劉弈頡")</f>
        <v>劉弈頡</v>
      </c>
      <c r="D2375" s="16" t="str">
        <f>IFERROR(__xludf.DUMMYFUNCTION("""COMPUTED_VALUE"""),"qui*****80219@mail.edu.tw")</f>
        <v>qui*****80219@mail.edu.tw</v>
      </c>
      <c r="E2375" s="17" t="str">
        <f>IFERROR(__xludf.DUMMYFUNCTION("""COMPUTED_VALUE"""),"南投縣立埔里國民中學")</f>
        <v>南投縣立埔里國民中學</v>
      </c>
      <c r="F2375" s="14" t="str">
        <f>IFERROR(__xludf.DUMMYFUNCTION("""COMPUTED_VALUE"""),"八年級")</f>
        <v>八年級</v>
      </c>
      <c r="G2375" s="14" t="str">
        <f>IFERROR(__xludf.DUMMYFUNCTION("""COMPUTED_VALUE"""),"●小禮物")</f>
        <v>●小禮物</v>
      </c>
      <c r="H2375" s="8"/>
    </row>
    <row r="2376">
      <c r="A2376" s="18"/>
      <c r="B2376" s="14">
        <f>IFERROR(__xludf.DUMMYFUNCTION("""COMPUTED_VALUE"""),904914.0)</f>
        <v>904914</v>
      </c>
      <c r="C2376" s="14" t="str">
        <f>IFERROR(__xludf.DUMMYFUNCTION("""COMPUTED_VALUE"""),"潘柔靜")</f>
        <v>潘柔靜</v>
      </c>
      <c r="D2376" s="16" t="str">
        <f>IFERROR(__xludf.DUMMYFUNCTION("""COMPUTED_VALUE"""),"s01*****@mail.edu.tw")</f>
        <v>s01*****@mail.edu.tw</v>
      </c>
      <c r="E2376" s="17" t="str">
        <f>IFERROR(__xludf.DUMMYFUNCTION("""COMPUTED_VALUE"""),"南投縣立埔里國民中學")</f>
        <v>南投縣立埔里國民中學</v>
      </c>
      <c r="F2376" s="14" t="str">
        <f>IFERROR(__xludf.DUMMYFUNCTION("""COMPUTED_VALUE"""),"八年級")</f>
        <v>八年級</v>
      </c>
      <c r="G2376" s="14" t="str">
        <f>IFERROR(__xludf.DUMMYFUNCTION("""COMPUTED_VALUE"""),"●小禮物")</f>
        <v>●小禮物</v>
      </c>
      <c r="H2376" s="8"/>
    </row>
    <row r="2377">
      <c r="A2377" s="18"/>
      <c r="B2377" s="14">
        <f>IFERROR(__xludf.DUMMYFUNCTION("""COMPUTED_VALUE"""),859434.0)</f>
        <v>859434</v>
      </c>
      <c r="C2377" s="14" t="str">
        <f>IFERROR(__xludf.DUMMYFUNCTION("""COMPUTED_VALUE"""),"蔡侑真")</f>
        <v>蔡侑真</v>
      </c>
      <c r="D2377" s="16" t="str">
        <f>IFERROR(__xludf.DUMMYFUNCTION("""COMPUTED_VALUE"""),"s01*****.ntct@mail.edu.tw")</f>
        <v>s01*****.ntct@mail.edu.tw</v>
      </c>
      <c r="E2377" s="17" t="str">
        <f>IFERROR(__xludf.DUMMYFUNCTION("""COMPUTED_VALUE"""),"南投縣立埔里國民中學")</f>
        <v>南投縣立埔里國民中學</v>
      </c>
      <c r="F2377" s="14" t="str">
        <f>IFERROR(__xludf.DUMMYFUNCTION("""COMPUTED_VALUE"""),"八年級")</f>
        <v>八年級</v>
      </c>
      <c r="G2377" s="14" t="str">
        <f>IFERROR(__xludf.DUMMYFUNCTION("""COMPUTED_VALUE"""),"●小禮物")</f>
        <v>●小禮物</v>
      </c>
      <c r="H2377" s="8"/>
    </row>
    <row r="2378">
      <c r="A2378" s="18"/>
      <c r="B2378" s="14">
        <f>IFERROR(__xludf.DUMMYFUNCTION("""COMPUTED_VALUE"""),866668.0)</f>
        <v>866668</v>
      </c>
      <c r="C2378" s="14" t="str">
        <f>IFERROR(__xludf.DUMMYFUNCTION("""COMPUTED_VALUE"""),"謝旭恩")</f>
        <v>謝旭恩</v>
      </c>
      <c r="D2378" s="16" t="str">
        <f>IFERROR(__xludf.DUMMYFUNCTION("""COMPUTED_VALUE"""),"s01*****.ntct@mail.edu.tw")</f>
        <v>s01*****.ntct@mail.edu.tw</v>
      </c>
      <c r="E2378" s="17" t="str">
        <f>IFERROR(__xludf.DUMMYFUNCTION("""COMPUTED_VALUE"""),"南投縣立埔里國民中學")</f>
        <v>南投縣立埔里國民中學</v>
      </c>
      <c r="F2378" s="14" t="str">
        <f>IFERROR(__xludf.DUMMYFUNCTION("""COMPUTED_VALUE"""),"八年級")</f>
        <v>八年級</v>
      </c>
      <c r="G2378" s="14" t="str">
        <f>IFERROR(__xludf.DUMMYFUNCTION("""COMPUTED_VALUE"""),"●小禮物")</f>
        <v>●小禮物</v>
      </c>
      <c r="H2378" s="8"/>
    </row>
    <row r="2379">
      <c r="A2379" s="18"/>
      <c r="B2379" s="14">
        <f>IFERROR(__xludf.DUMMYFUNCTION("""COMPUTED_VALUE"""),467024.0)</f>
        <v>467024</v>
      </c>
      <c r="C2379" s="14" t="str">
        <f>IFERROR(__xludf.DUMMYFUNCTION("""COMPUTED_VALUE"""),"徐士軒")</f>
        <v>徐士軒</v>
      </c>
      <c r="D2379" s="16" t="str">
        <f>IFERROR(__xludf.DUMMYFUNCTION("""COMPUTED_VALUE"""),"s01*****@mail.edu.tw")</f>
        <v>s01*****@mail.edu.tw</v>
      </c>
      <c r="E2379" s="17" t="str">
        <f>IFERROR(__xludf.DUMMYFUNCTION("""COMPUTED_VALUE"""),"南投縣立埔里國民中學")</f>
        <v>南投縣立埔里國民中學</v>
      </c>
      <c r="F2379" s="14" t="str">
        <f>IFERROR(__xludf.DUMMYFUNCTION("""COMPUTED_VALUE"""),"八年級")</f>
        <v>八年級</v>
      </c>
      <c r="G2379" s="14" t="str">
        <f>IFERROR(__xludf.DUMMYFUNCTION("""COMPUTED_VALUE"""),"★禮券$1000")</f>
        <v>★禮券$1000</v>
      </c>
      <c r="H2379" s="8"/>
    </row>
    <row r="2380">
      <c r="A2380" s="18"/>
      <c r="B2380" s="14">
        <f>IFERROR(__xludf.DUMMYFUNCTION("""COMPUTED_VALUE"""),904915.0)</f>
        <v>904915</v>
      </c>
      <c r="C2380" s="14" t="str">
        <f>IFERROR(__xludf.DUMMYFUNCTION("""COMPUTED_VALUE"""),"全子鈺")</f>
        <v>全子鈺</v>
      </c>
      <c r="D2380" s="16" t="str">
        <f>IFERROR(__xludf.DUMMYFUNCTION("""COMPUTED_VALUE"""),"s01*****.ntct@mail.edu.tw")</f>
        <v>s01*****.ntct@mail.edu.tw</v>
      </c>
      <c r="E2380" s="17" t="str">
        <f>IFERROR(__xludf.DUMMYFUNCTION("""COMPUTED_VALUE"""),"南投縣立埔里國民中學")</f>
        <v>南投縣立埔里國民中學</v>
      </c>
      <c r="F2380" s="14" t="str">
        <f>IFERROR(__xludf.DUMMYFUNCTION("""COMPUTED_VALUE"""),"八年級")</f>
        <v>八年級</v>
      </c>
      <c r="G2380" s="14" t="str">
        <f>IFERROR(__xludf.DUMMYFUNCTION("""COMPUTED_VALUE"""),"獎狀")</f>
        <v>獎狀</v>
      </c>
      <c r="H2380" s="8"/>
    </row>
    <row r="2381">
      <c r="A2381" s="18"/>
      <c r="B2381" s="14">
        <f>IFERROR(__xludf.DUMMYFUNCTION("""COMPUTED_VALUE"""),175368.0)</f>
        <v>175368</v>
      </c>
      <c r="C2381" s="14" t="str">
        <f>IFERROR(__xludf.DUMMYFUNCTION("""COMPUTED_VALUE"""),"周政逸")</f>
        <v>周政逸</v>
      </c>
      <c r="D2381" s="16" t="str">
        <f>IFERROR(__xludf.DUMMYFUNCTION("""COMPUTED_VALUE"""),"s01*****@mail.edu.tw")</f>
        <v>s01*****@mail.edu.tw</v>
      </c>
      <c r="E2381" s="17" t="str">
        <f>IFERROR(__xludf.DUMMYFUNCTION("""COMPUTED_VALUE"""),"南投縣立埔里國民中學")</f>
        <v>南投縣立埔里國民中學</v>
      </c>
      <c r="F2381" s="14" t="str">
        <f>IFERROR(__xludf.DUMMYFUNCTION("""COMPUTED_VALUE"""),"八年級")</f>
        <v>八年級</v>
      </c>
      <c r="G2381" s="14" t="str">
        <f>IFERROR(__xludf.DUMMYFUNCTION("""COMPUTED_VALUE"""),"獎狀")</f>
        <v>獎狀</v>
      </c>
      <c r="H2381" s="8"/>
    </row>
    <row r="2382">
      <c r="A2382" s="18"/>
      <c r="B2382" s="14">
        <f>IFERROR(__xludf.DUMMYFUNCTION("""COMPUTED_VALUE"""),905115.0)</f>
        <v>905115</v>
      </c>
      <c r="C2382" s="14" t="str">
        <f>IFERROR(__xludf.DUMMYFUNCTION("""COMPUTED_VALUE"""),"邱哲誠")</f>
        <v>邱哲誠</v>
      </c>
      <c r="D2382" s="16" t="str">
        <f>IFERROR(__xludf.DUMMYFUNCTION("""COMPUTED_VALUE"""),"s01*****.ntct@mail.edu.tw")</f>
        <v>s01*****.ntct@mail.edu.tw</v>
      </c>
      <c r="E2382" s="17" t="str">
        <f>IFERROR(__xludf.DUMMYFUNCTION("""COMPUTED_VALUE"""),"南投縣立埔里國民中學")</f>
        <v>南投縣立埔里國民中學</v>
      </c>
      <c r="F2382" s="14" t="str">
        <f>IFERROR(__xludf.DUMMYFUNCTION("""COMPUTED_VALUE"""),"八年級")</f>
        <v>八年級</v>
      </c>
      <c r="G2382" s="14" t="str">
        <f>IFERROR(__xludf.DUMMYFUNCTION("""COMPUTED_VALUE"""),"獎狀")</f>
        <v>獎狀</v>
      </c>
      <c r="H2382" s="8"/>
    </row>
    <row r="2383">
      <c r="A2383" s="18"/>
      <c r="B2383" s="14">
        <f>IFERROR(__xludf.DUMMYFUNCTION("""COMPUTED_VALUE"""),1194720.0)</f>
        <v>1194720</v>
      </c>
      <c r="C2383" s="14" t="str">
        <f>IFERROR(__xludf.DUMMYFUNCTION("""COMPUTED_VALUE"""),"范邵繁")</f>
        <v>范邵繁</v>
      </c>
      <c r="D2383" s="16" t="str">
        <f>IFERROR(__xludf.DUMMYFUNCTION("""COMPUTED_VALUE"""),"s01*****.ntct@mail.edu.tw")</f>
        <v>s01*****.ntct@mail.edu.tw</v>
      </c>
      <c r="E2383" s="17" t="str">
        <f>IFERROR(__xludf.DUMMYFUNCTION("""COMPUTED_VALUE"""),"南投縣立埔里國民中學")</f>
        <v>南投縣立埔里國民中學</v>
      </c>
      <c r="F2383" s="14" t="str">
        <f>IFERROR(__xludf.DUMMYFUNCTION("""COMPUTED_VALUE"""),"八年級")</f>
        <v>八年級</v>
      </c>
      <c r="G2383" s="14" t="str">
        <f>IFERROR(__xludf.DUMMYFUNCTION("""COMPUTED_VALUE"""),"獎狀")</f>
        <v>獎狀</v>
      </c>
      <c r="H2383" s="8"/>
    </row>
    <row r="2384">
      <c r="A2384" s="18"/>
      <c r="B2384" s="14">
        <f>IFERROR(__xludf.DUMMYFUNCTION("""COMPUTED_VALUE"""),861239.0)</f>
        <v>861239</v>
      </c>
      <c r="C2384" s="14" t="str">
        <f>IFERROR(__xludf.DUMMYFUNCTION("""COMPUTED_VALUE"""),"許友溱")</f>
        <v>許友溱</v>
      </c>
      <c r="D2384" s="16" t="str">
        <f>IFERROR(__xludf.DUMMYFUNCTION("""COMPUTED_VALUE"""),"s01*****.ntct@mail.edu.tw")</f>
        <v>s01*****.ntct@mail.edu.tw</v>
      </c>
      <c r="E2384" s="17" t="str">
        <f>IFERROR(__xludf.DUMMYFUNCTION("""COMPUTED_VALUE"""),"南投縣立埔里國民中學")</f>
        <v>南投縣立埔里國民中學</v>
      </c>
      <c r="F2384" s="14" t="str">
        <f>IFERROR(__xludf.DUMMYFUNCTION("""COMPUTED_VALUE"""),"八年級")</f>
        <v>八年級</v>
      </c>
      <c r="G2384" s="14" t="str">
        <f>IFERROR(__xludf.DUMMYFUNCTION("""COMPUTED_VALUE"""),"獎狀")</f>
        <v>獎狀</v>
      </c>
      <c r="H2384" s="8"/>
    </row>
    <row r="2385">
      <c r="A2385" s="18"/>
      <c r="B2385" s="14">
        <f>IFERROR(__xludf.DUMMYFUNCTION("""COMPUTED_VALUE"""),871777.0)</f>
        <v>871777</v>
      </c>
      <c r="C2385" s="14" t="str">
        <f>IFERROR(__xludf.DUMMYFUNCTION("""COMPUTED_VALUE"""),"許雅晶")</f>
        <v>許雅晶</v>
      </c>
      <c r="D2385" s="16" t="str">
        <f>IFERROR(__xludf.DUMMYFUNCTION("""COMPUTED_VALUE"""),"s01*****.ntct@mail.edu.tw")</f>
        <v>s01*****.ntct@mail.edu.tw</v>
      </c>
      <c r="E2385" s="17" t="str">
        <f>IFERROR(__xludf.DUMMYFUNCTION("""COMPUTED_VALUE"""),"南投縣立埔里國民中學")</f>
        <v>南投縣立埔里國民中學</v>
      </c>
      <c r="F2385" s="14" t="str">
        <f>IFERROR(__xludf.DUMMYFUNCTION("""COMPUTED_VALUE"""),"八年級")</f>
        <v>八年級</v>
      </c>
      <c r="G2385" s="14" t="str">
        <f>IFERROR(__xludf.DUMMYFUNCTION("""COMPUTED_VALUE"""),"獎狀")</f>
        <v>獎狀</v>
      </c>
      <c r="H2385" s="8"/>
    </row>
    <row r="2386">
      <c r="A2386" s="18"/>
      <c r="B2386" s="14">
        <f>IFERROR(__xludf.DUMMYFUNCTION("""COMPUTED_VALUE"""),1194731.0)</f>
        <v>1194731</v>
      </c>
      <c r="C2386" s="14" t="str">
        <f>IFERROR(__xludf.DUMMYFUNCTION("""COMPUTED_VALUE"""),"陳冠銘")</f>
        <v>陳冠銘</v>
      </c>
      <c r="D2386" s="16" t="str">
        <f>IFERROR(__xludf.DUMMYFUNCTION("""COMPUTED_VALUE"""),"s01*****.eagel@mail.edu.tw")</f>
        <v>s01*****.eagel@mail.edu.tw</v>
      </c>
      <c r="E2386" s="17" t="str">
        <f>IFERROR(__xludf.DUMMYFUNCTION("""COMPUTED_VALUE"""),"南投縣立埔里國民中學")</f>
        <v>南投縣立埔里國民中學</v>
      </c>
      <c r="F2386" s="14" t="str">
        <f>IFERROR(__xludf.DUMMYFUNCTION("""COMPUTED_VALUE"""),"八年級")</f>
        <v>八年級</v>
      </c>
      <c r="G2386" s="14" t="str">
        <f>IFERROR(__xludf.DUMMYFUNCTION("""COMPUTED_VALUE"""),"獎狀")</f>
        <v>獎狀</v>
      </c>
      <c r="H2386" s="8"/>
    </row>
    <row r="2387">
      <c r="A2387" s="18"/>
      <c r="B2387" s="14">
        <f>IFERROR(__xludf.DUMMYFUNCTION("""COMPUTED_VALUE"""),905099.0)</f>
        <v>905099</v>
      </c>
      <c r="C2387" s="14" t="str">
        <f>IFERROR(__xludf.DUMMYFUNCTION("""COMPUTED_VALUE"""),"潘晧哲")</f>
        <v>潘晧哲</v>
      </c>
      <c r="D2387" s="16" t="str">
        <f>IFERROR(__xludf.DUMMYFUNCTION("""COMPUTED_VALUE"""),"s01*****.ntct@mail.edu.tw")</f>
        <v>s01*****.ntct@mail.edu.tw</v>
      </c>
      <c r="E2387" s="17" t="str">
        <f>IFERROR(__xludf.DUMMYFUNCTION("""COMPUTED_VALUE"""),"南投縣立埔里國民中學")</f>
        <v>南投縣立埔里國民中學</v>
      </c>
      <c r="F2387" s="14" t="str">
        <f>IFERROR(__xludf.DUMMYFUNCTION("""COMPUTED_VALUE"""),"八年級")</f>
        <v>八年級</v>
      </c>
      <c r="G2387" s="14" t="str">
        <f>IFERROR(__xludf.DUMMYFUNCTION("""COMPUTED_VALUE"""),"獎狀")</f>
        <v>獎狀</v>
      </c>
      <c r="H2387" s="8"/>
    </row>
    <row r="2388">
      <c r="A2388" s="18"/>
      <c r="B2388" s="14">
        <f>IFERROR(__xludf.DUMMYFUNCTION("""COMPUTED_VALUE"""),904909.0)</f>
        <v>904909</v>
      </c>
      <c r="C2388" s="14" t="str">
        <f>IFERROR(__xludf.DUMMYFUNCTION("""COMPUTED_VALUE"""),"蕭靖穎")</f>
        <v>蕭靖穎</v>
      </c>
      <c r="D2388" s="16" t="str">
        <f>IFERROR(__xludf.DUMMYFUNCTION("""COMPUTED_VALUE"""),"s01*****.ntct@mail.edu.tw")</f>
        <v>s01*****.ntct@mail.edu.tw</v>
      </c>
      <c r="E2388" s="17" t="str">
        <f>IFERROR(__xludf.DUMMYFUNCTION("""COMPUTED_VALUE"""),"南投縣立埔里國民中學")</f>
        <v>南投縣立埔里國民中學</v>
      </c>
      <c r="F2388" s="14" t="str">
        <f>IFERROR(__xludf.DUMMYFUNCTION("""COMPUTED_VALUE"""),"八年級")</f>
        <v>八年級</v>
      </c>
      <c r="G2388" s="14" t="str">
        <f>IFERROR(__xludf.DUMMYFUNCTION("""COMPUTED_VALUE"""),"獎狀")</f>
        <v>獎狀</v>
      </c>
      <c r="H2388" s="8"/>
    </row>
    <row r="2389">
      <c r="A2389" s="18"/>
      <c r="B2389" s="14">
        <f>IFERROR(__xludf.DUMMYFUNCTION("""COMPUTED_VALUE"""),1180607.0)</f>
        <v>1180607</v>
      </c>
      <c r="C2389" s="14" t="str">
        <f>IFERROR(__xludf.DUMMYFUNCTION("""COMPUTED_VALUE"""),"張淳恩")</f>
        <v>張淳恩</v>
      </c>
      <c r="D2389" s="16" t="str">
        <f>IFERROR(__xludf.DUMMYFUNCTION("""COMPUTED_VALUE"""),"s01*****.ntct@go.edu.tw")</f>
        <v>s01*****.ntct@go.edu.tw</v>
      </c>
      <c r="E2389" s="17" t="str">
        <f>IFERROR(__xludf.DUMMYFUNCTION("""COMPUTED_VALUE"""),"南投縣立埔里國民中學")</f>
        <v>南投縣立埔里國民中學</v>
      </c>
      <c r="F2389" s="14" t="str">
        <f>IFERROR(__xludf.DUMMYFUNCTION("""COMPUTED_VALUE"""),"八年級")</f>
        <v>八年級</v>
      </c>
      <c r="G2389" s="14" t="str">
        <f>IFERROR(__xludf.DUMMYFUNCTION("""COMPUTED_VALUE"""),"●小禮物")</f>
        <v>●小禮物</v>
      </c>
      <c r="H2389" s="8"/>
    </row>
    <row r="2390">
      <c r="A2390" s="18"/>
      <c r="B2390" s="14">
        <f>IFERROR(__xludf.DUMMYFUNCTION("""COMPUTED_VALUE"""),491504.0)</f>
        <v>491504</v>
      </c>
      <c r="C2390" s="14" t="str">
        <f>IFERROR(__xludf.DUMMYFUNCTION("""COMPUTED_VALUE"""),"田苡璿")</f>
        <v>田苡璿</v>
      </c>
      <c r="D2390" s="16" t="str">
        <f>IFERROR(__xludf.DUMMYFUNCTION("""COMPUTED_VALUE"""),"s20*****hlc@mail.edu.tw")</f>
        <v>s20*****hlc@mail.edu.tw</v>
      </c>
      <c r="E2390" s="17" t="str">
        <f>IFERROR(__xludf.DUMMYFUNCTION("""COMPUTED_VALUE"""),"南投縣立埔里國民中學")</f>
        <v>南投縣立埔里國民中學</v>
      </c>
      <c r="F2390" s="14" t="str">
        <f>IFERROR(__xludf.DUMMYFUNCTION("""COMPUTED_VALUE"""),"八年級")</f>
        <v>八年級</v>
      </c>
      <c r="G2390" s="14" t="str">
        <f>IFERROR(__xludf.DUMMYFUNCTION("""COMPUTED_VALUE"""),"●小禮物")</f>
        <v>●小禮物</v>
      </c>
      <c r="H2390" s="8"/>
    </row>
    <row r="2391">
      <c r="A2391" s="18"/>
      <c r="B2391" s="14">
        <f>IFERROR(__xludf.DUMMYFUNCTION("""COMPUTED_VALUE"""),1182301.0)</f>
        <v>1182301</v>
      </c>
      <c r="C2391" s="14" t="str">
        <f>IFERROR(__xludf.DUMMYFUNCTION("""COMPUTED_VALUE"""),"譚亘伶")</f>
        <v>譚亘伶</v>
      </c>
      <c r="D2391" s="16" t="str">
        <f>IFERROR(__xludf.DUMMYFUNCTION("""COMPUTED_VALUE"""),"s01*****.ntct@go.edu.tw")</f>
        <v>s01*****.ntct@go.edu.tw</v>
      </c>
      <c r="E2391" s="17" t="str">
        <f>IFERROR(__xludf.DUMMYFUNCTION("""COMPUTED_VALUE"""),"南投縣立埔里國民中學")</f>
        <v>南投縣立埔里國民中學</v>
      </c>
      <c r="F2391" s="14" t="str">
        <f>IFERROR(__xludf.DUMMYFUNCTION("""COMPUTED_VALUE"""),"八年級")</f>
        <v>八年級</v>
      </c>
      <c r="G2391" s="14" t="str">
        <f>IFERROR(__xludf.DUMMYFUNCTION("""COMPUTED_VALUE"""),"●小禮物")</f>
        <v>●小禮物</v>
      </c>
      <c r="H2391" s="8"/>
    </row>
    <row r="2392">
      <c r="A2392" s="18"/>
      <c r="B2392" s="14">
        <f>IFERROR(__xludf.DUMMYFUNCTION("""COMPUTED_VALUE"""),991300.0)</f>
        <v>991300</v>
      </c>
      <c r="C2392" s="14" t="str">
        <f>IFERROR(__xludf.DUMMYFUNCTION("""COMPUTED_VALUE"""),"余宜盈")</f>
        <v>余宜盈</v>
      </c>
      <c r="D2392" s="16" t="str">
        <f>IFERROR(__xludf.DUMMYFUNCTION("""COMPUTED_VALUE"""),"s01*****@mail.edu.tw")</f>
        <v>s01*****@mail.edu.tw</v>
      </c>
      <c r="E2392" s="17" t="str">
        <f>IFERROR(__xludf.DUMMYFUNCTION("""COMPUTED_VALUE"""),"南投縣立埔里國民中學")</f>
        <v>南投縣立埔里國民中學</v>
      </c>
      <c r="F2392" s="14" t="str">
        <f>IFERROR(__xludf.DUMMYFUNCTION("""COMPUTED_VALUE"""),"八年級")</f>
        <v>八年級</v>
      </c>
      <c r="G2392" s="14" t="str">
        <f>IFERROR(__xludf.DUMMYFUNCTION("""COMPUTED_VALUE"""),"獎狀")</f>
        <v>獎狀</v>
      </c>
      <c r="H2392" s="8"/>
    </row>
    <row r="2393">
      <c r="A2393" s="18"/>
      <c r="B2393" s="14">
        <f>IFERROR(__xludf.DUMMYFUNCTION("""COMPUTED_VALUE"""),991305.0)</f>
        <v>991305</v>
      </c>
      <c r="C2393" s="14" t="str">
        <f>IFERROR(__xludf.DUMMYFUNCTION("""COMPUTED_VALUE"""),"馬裴甯")</f>
        <v>馬裴甯</v>
      </c>
      <c r="D2393" s="16" t="str">
        <f>IFERROR(__xludf.DUMMYFUNCTION("""COMPUTED_VALUE"""),"s01*****@mail.edu.tw")</f>
        <v>s01*****@mail.edu.tw</v>
      </c>
      <c r="E2393" s="17" t="str">
        <f>IFERROR(__xludf.DUMMYFUNCTION("""COMPUTED_VALUE"""),"南投縣立埔里國民中學")</f>
        <v>南投縣立埔里國民中學</v>
      </c>
      <c r="F2393" s="14" t="str">
        <f>IFERROR(__xludf.DUMMYFUNCTION("""COMPUTED_VALUE"""),"八年級")</f>
        <v>八年級</v>
      </c>
      <c r="G2393" s="14" t="str">
        <f>IFERROR(__xludf.DUMMYFUNCTION("""COMPUTED_VALUE"""),"獎狀")</f>
        <v>獎狀</v>
      </c>
      <c r="H2393" s="8"/>
    </row>
    <row r="2394">
      <c r="A2394" s="18"/>
      <c r="B2394" s="14">
        <f>IFERROR(__xludf.DUMMYFUNCTION("""COMPUTED_VALUE"""),995653.0)</f>
        <v>995653</v>
      </c>
      <c r="C2394" s="14" t="str">
        <f>IFERROR(__xludf.DUMMYFUNCTION("""COMPUTED_VALUE"""),"高迎筑")</f>
        <v>高迎筑</v>
      </c>
      <c r="D2394" s="16" t="str">
        <f>IFERROR(__xludf.DUMMYFUNCTION("""COMPUTED_VALUE"""),"s01*****.ntct@mail.edu.tw")</f>
        <v>s01*****.ntct@mail.edu.tw</v>
      </c>
      <c r="E2394" s="17" t="str">
        <f>IFERROR(__xludf.DUMMYFUNCTION("""COMPUTED_VALUE"""),"南投縣立埔里國民中學")</f>
        <v>南投縣立埔里國民中學</v>
      </c>
      <c r="F2394" s="14" t="str">
        <f>IFERROR(__xludf.DUMMYFUNCTION("""COMPUTED_VALUE"""),"八年級")</f>
        <v>八年級</v>
      </c>
      <c r="G2394" s="14" t="str">
        <f>IFERROR(__xludf.DUMMYFUNCTION("""COMPUTED_VALUE"""),"獎狀")</f>
        <v>獎狀</v>
      </c>
      <c r="H2394" s="8"/>
    </row>
    <row r="2395">
      <c r="A2395" s="18"/>
      <c r="B2395" s="14">
        <f>IFERROR(__xludf.DUMMYFUNCTION("""COMPUTED_VALUE"""),1184065.0)</f>
        <v>1184065</v>
      </c>
      <c r="C2395" s="14" t="str">
        <f>IFERROR(__xludf.DUMMYFUNCTION("""COMPUTED_VALUE"""),"吳紫晴")</f>
        <v>吳紫晴</v>
      </c>
      <c r="D2395" s="16" t="str">
        <f>IFERROR(__xludf.DUMMYFUNCTION("""COMPUTED_VALUE"""),"sun*****10@mail.edu.tw")</f>
        <v>sun*****10@mail.edu.tw</v>
      </c>
      <c r="E2395" s="17" t="str">
        <f>IFERROR(__xludf.DUMMYFUNCTION("""COMPUTED_VALUE"""),"南投縣立埔里國民中學")</f>
        <v>南投縣立埔里國民中學</v>
      </c>
      <c r="F2395" s="14" t="str">
        <f>IFERROR(__xludf.DUMMYFUNCTION("""COMPUTED_VALUE"""),"八年級")</f>
        <v>八年級</v>
      </c>
      <c r="G2395" s="14" t="str">
        <f>IFERROR(__xludf.DUMMYFUNCTION("""COMPUTED_VALUE"""),"●小禮物")</f>
        <v>●小禮物</v>
      </c>
      <c r="H2395" s="8"/>
    </row>
    <row r="2396">
      <c r="A2396" s="18"/>
      <c r="B2396" s="14">
        <f>IFERROR(__xludf.DUMMYFUNCTION("""COMPUTED_VALUE"""),1184078.0)</f>
        <v>1184078</v>
      </c>
      <c r="C2396" s="14" t="str">
        <f>IFERROR(__xludf.DUMMYFUNCTION("""COMPUTED_VALUE"""),"黃純益")</f>
        <v>黃純益</v>
      </c>
      <c r="D2396" s="16" t="str">
        <f>IFERROR(__xludf.DUMMYFUNCTION("""COMPUTED_VALUE"""),"s01*****@mail.edu.tw")</f>
        <v>s01*****@mail.edu.tw</v>
      </c>
      <c r="E2396" s="17" t="str">
        <f>IFERROR(__xludf.DUMMYFUNCTION("""COMPUTED_VALUE"""),"南投縣立埔里國民中學")</f>
        <v>南投縣立埔里國民中學</v>
      </c>
      <c r="F2396" s="14" t="str">
        <f>IFERROR(__xludf.DUMMYFUNCTION("""COMPUTED_VALUE"""),"八年級")</f>
        <v>八年級</v>
      </c>
      <c r="G2396" s="14" t="str">
        <f>IFERROR(__xludf.DUMMYFUNCTION("""COMPUTED_VALUE"""),"獎狀")</f>
        <v>獎狀</v>
      </c>
      <c r="H2396" s="8"/>
    </row>
    <row r="2397">
      <c r="A2397" s="18"/>
      <c r="B2397" s="14">
        <f>IFERROR(__xludf.DUMMYFUNCTION("""COMPUTED_VALUE"""),991303.0)</f>
        <v>991303</v>
      </c>
      <c r="C2397" s="14" t="str">
        <f>IFERROR(__xludf.DUMMYFUNCTION("""COMPUTED_VALUE"""),"劉以晴")</f>
        <v>劉以晴</v>
      </c>
      <c r="D2397" s="16" t="str">
        <f>IFERROR(__xludf.DUMMYFUNCTION("""COMPUTED_VALUE"""),"s01*****@mail.edu.tw")</f>
        <v>s01*****@mail.edu.tw</v>
      </c>
      <c r="E2397" s="17" t="str">
        <f>IFERROR(__xludf.DUMMYFUNCTION("""COMPUTED_VALUE"""),"南投縣立埔里國民中學")</f>
        <v>南投縣立埔里國民中學</v>
      </c>
      <c r="F2397" s="14" t="str">
        <f>IFERROR(__xludf.DUMMYFUNCTION("""COMPUTED_VALUE"""),"八年級")</f>
        <v>八年級</v>
      </c>
      <c r="G2397" s="14" t="str">
        <f>IFERROR(__xludf.DUMMYFUNCTION("""COMPUTED_VALUE"""),"獎狀")</f>
        <v>獎狀</v>
      </c>
      <c r="H2397" s="8"/>
    </row>
    <row r="2398">
      <c r="A2398" s="18"/>
      <c r="B2398" s="14">
        <f>IFERROR(__xludf.DUMMYFUNCTION("""COMPUTED_VALUE"""),1169271.0)</f>
        <v>1169271</v>
      </c>
      <c r="C2398" s="14" t="str">
        <f>IFERROR(__xludf.DUMMYFUNCTION("""COMPUTED_VALUE"""),"韓瑜珊")</f>
        <v>韓瑜珊</v>
      </c>
      <c r="D2398" s="16" t="str">
        <f>IFERROR(__xludf.DUMMYFUNCTION("""COMPUTED_VALUE"""),"421*****t.tc.edu.tw")</f>
        <v>421*****t.tc.edu.tw</v>
      </c>
      <c r="E2398" s="17" t="str">
        <f>IFERROR(__xludf.DUMMYFUNCTION("""COMPUTED_VALUE"""),"南投縣立埔里國民中學")</f>
        <v>南投縣立埔里國民中學</v>
      </c>
      <c r="F2398" s="14" t="str">
        <f>IFERROR(__xludf.DUMMYFUNCTION("""COMPUTED_VALUE"""),"八年級")</f>
        <v>八年級</v>
      </c>
      <c r="G2398" s="14" t="str">
        <f>IFERROR(__xludf.DUMMYFUNCTION("""COMPUTED_VALUE"""),"獎狀")</f>
        <v>獎狀</v>
      </c>
      <c r="H2398" s="8"/>
    </row>
    <row r="2399">
      <c r="A2399" s="18"/>
      <c r="B2399" s="14">
        <f>IFERROR(__xludf.DUMMYFUNCTION("""COMPUTED_VALUE"""),873369.0)</f>
        <v>873369</v>
      </c>
      <c r="C2399" s="14" t="str">
        <f>IFERROR(__xludf.DUMMYFUNCTION("""COMPUTED_VALUE"""),"葉羿含")</f>
        <v>葉羿含</v>
      </c>
      <c r="D2399" s="16" t="str">
        <f>IFERROR(__xludf.DUMMYFUNCTION("""COMPUTED_VALUE"""),"s01*****.ntct@go.edu.tw")</f>
        <v>s01*****.ntct@go.edu.tw</v>
      </c>
      <c r="E2399" s="17" t="str">
        <f>IFERROR(__xludf.DUMMYFUNCTION("""COMPUTED_VALUE"""),"南投縣立埔里國民中學")</f>
        <v>南投縣立埔里國民中學</v>
      </c>
      <c r="F2399" s="14" t="str">
        <f>IFERROR(__xludf.DUMMYFUNCTION("""COMPUTED_VALUE"""),"八年級")</f>
        <v>八年級</v>
      </c>
      <c r="G2399" s="14" t="str">
        <f>IFERROR(__xludf.DUMMYFUNCTION("""COMPUTED_VALUE"""),"●小禮物")</f>
        <v>●小禮物</v>
      </c>
      <c r="H2399" s="8"/>
    </row>
    <row r="2400">
      <c r="A2400" s="18"/>
      <c r="B2400" s="14">
        <f>IFERROR(__xludf.DUMMYFUNCTION("""COMPUTED_VALUE"""),876025.0)</f>
        <v>876025</v>
      </c>
      <c r="C2400" s="14" t="str">
        <f>IFERROR(__xludf.DUMMYFUNCTION("""COMPUTED_VALUE"""),"王進毅")</f>
        <v>王進毅</v>
      </c>
      <c r="D2400" s="16" t="str">
        <f>IFERROR(__xludf.DUMMYFUNCTION("""COMPUTED_VALUE"""),"s01*****.ntct@mail.edu.tw")</f>
        <v>s01*****.ntct@mail.edu.tw</v>
      </c>
      <c r="E2400" s="17" t="str">
        <f>IFERROR(__xludf.DUMMYFUNCTION("""COMPUTED_VALUE"""),"南投縣立埔里國民中學")</f>
        <v>南投縣立埔里國民中學</v>
      </c>
      <c r="F2400" s="14" t="str">
        <f>IFERROR(__xludf.DUMMYFUNCTION("""COMPUTED_VALUE"""),"八年級")</f>
        <v>八年級</v>
      </c>
      <c r="G2400" s="14" t="str">
        <f>IFERROR(__xludf.DUMMYFUNCTION("""COMPUTED_VALUE"""),"●小禮物")</f>
        <v>●小禮物</v>
      </c>
      <c r="H2400" s="8"/>
    </row>
    <row r="2401">
      <c r="A2401" s="18"/>
      <c r="B2401" s="14">
        <f>IFERROR(__xludf.DUMMYFUNCTION("""COMPUTED_VALUE"""),220638.0)</f>
        <v>220638</v>
      </c>
      <c r="C2401" s="14" t="str">
        <f>IFERROR(__xludf.DUMMYFUNCTION("""COMPUTED_VALUE"""),"紀宜君")</f>
        <v>紀宜君</v>
      </c>
      <c r="D2401" s="16" t="str">
        <f>IFERROR(__xludf.DUMMYFUNCTION("""COMPUTED_VALUE"""),"s01*****.ntct@mail.edu.tw")</f>
        <v>s01*****.ntct@mail.edu.tw</v>
      </c>
      <c r="E2401" s="17" t="str">
        <f>IFERROR(__xludf.DUMMYFUNCTION("""COMPUTED_VALUE"""),"南投縣立埔里國民中學")</f>
        <v>南投縣立埔里國民中學</v>
      </c>
      <c r="F2401" s="14" t="str">
        <f>IFERROR(__xludf.DUMMYFUNCTION("""COMPUTED_VALUE"""),"八年級")</f>
        <v>八年級</v>
      </c>
      <c r="G2401" s="14" t="str">
        <f>IFERROR(__xludf.DUMMYFUNCTION("""COMPUTED_VALUE"""),"●小禮物")</f>
        <v>●小禮物</v>
      </c>
      <c r="H2401" s="8"/>
    </row>
    <row r="2402">
      <c r="A2402" s="18"/>
      <c r="B2402" s="14">
        <f>IFERROR(__xludf.DUMMYFUNCTION("""COMPUTED_VALUE"""),876023.0)</f>
        <v>876023</v>
      </c>
      <c r="C2402" s="14" t="str">
        <f>IFERROR(__xludf.DUMMYFUNCTION("""COMPUTED_VALUE"""),"匙榮鑠")</f>
        <v>匙榮鑠</v>
      </c>
      <c r="D2402" s="16" t="str">
        <f>IFERROR(__xludf.DUMMYFUNCTION("""COMPUTED_VALUE"""),"s01*****@mail.edu.tw")</f>
        <v>s01*****@mail.edu.tw</v>
      </c>
      <c r="E2402" s="17" t="str">
        <f>IFERROR(__xludf.DUMMYFUNCTION("""COMPUTED_VALUE"""),"南投縣立埔里國民中學")</f>
        <v>南投縣立埔里國民中學</v>
      </c>
      <c r="F2402" s="14" t="str">
        <f>IFERROR(__xludf.DUMMYFUNCTION("""COMPUTED_VALUE"""),"八年級")</f>
        <v>八年級</v>
      </c>
      <c r="G2402" s="14" t="str">
        <f>IFERROR(__xludf.DUMMYFUNCTION("""COMPUTED_VALUE"""),"●小禮物")</f>
        <v>●小禮物</v>
      </c>
      <c r="H2402" s="8"/>
    </row>
    <row r="2403">
      <c r="A2403" s="18"/>
      <c r="B2403" s="14">
        <f>IFERROR(__xludf.DUMMYFUNCTION("""COMPUTED_VALUE"""),874588.0)</f>
        <v>874588</v>
      </c>
      <c r="C2403" s="14" t="str">
        <f>IFERROR(__xludf.DUMMYFUNCTION("""COMPUTED_VALUE"""),"劉育廷")</f>
        <v>劉育廷</v>
      </c>
      <c r="D2403" s="16" t="str">
        <f>IFERROR(__xludf.DUMMYFUNCTION("""COMPUTED_VALUE"""),"s01*****.ntct@mail.edu.tw")</f>
        <v>s01*****.ntct@mail.edu.tw</v>
      </c>
      <c r="E2403" s="17" t="str">
        <f>IFERROR(__xludf.DUMMYFUNCTION("""COMPUTED_VALUE"""),"南投縣立埔里國民中學")</f>
        <v>南投縣立埔里國民中學</v>
      </c>
      <c r="F2403" s="14" t="str">
        <f>IFERROR(__xludf.DUMMYFUNCTION("""COMPUTED_VALUE"""),"八年級")</f>
        <v>八年級</v>
      </c>
      <c r="G2403" s="14" t="str">
        <f>IFERROR(__xludf.DUMMYFUNCTION("""COMPUTED_VALUE"""),"●小禮物")</f>
        <v>●小禮物</v>
      </c>
      <c r="H2403" s="8"/>
    </row>
    <row r="2404">
      <c r="A2404" s="18"/>
      <c r="B2404" s="14">
        <f>IFERROR(__xludf.DUMMYFUNCTION("""COMPUTED_VALUE"""),867956.0)</f>
        <v>867956</v>
      </c>
      <c r="C2404" s="14" t="str">
        <f>IFERROR(__xludf.DUMMYFUNCTION("""COMPUTED_VALUE"""),"鍾巽光")</f>
        <v>鍾巽光</v>
      </c>
      <c r="D2404" s="16" t="str">
        <f>IFERROR(__xludf.DUMMYFUNCTION("""COMPUTED_VALUE"""),"s01*****.ntct@mail.edu.tw")</f>
        <v>s01*****.ntct@mail.edu.tw</v>
      </c>
      <c r="E2404" s="17" t="str">
        <f>IFERROR(__xludf.DUMMYFUNCTION("""COMPUTED_VALUE"""),"南投縣立埔里國民中學")</f>
        <v>南投縣立埔里國民中學</v>
      </c>
      <c r="F2404" s="14" t="str">
        <f>IFERROR(__xludf.DUMMYFUNCTION("""COMPUTED_VALUE"""),"八年級")</f>
        <v>八年級</v>
      </c>
      <c r="G2404" s="14" t="str">
        <f>IFERROR(__xludf.DUMMYFUNCTION("""COMPUTED_VALUE"""),"●小禮物")</f>
        <v>●小禮物</v>
      </c>
      <c r="H2404" s="8"/>
    </row>
    <row r="2405">
      <c r="A2405" s="18"/>
      <c r="B2405" s="14">
        <f>IFERROR(__xludf.DUMMYFUNCTION("""COMPUTED_VALUE"""),905566.0)</f>
        <v>905566</v>
      </c>
      <c r="C2405" s="14" t="str">
        <f>IFERROR(__xludf.DUMMYFUNCTION("""COMPUTED_VALUE"""),"盧楷函")</f>
        <v>盧楷函</v>
      </c>
      <c r="D2405" s="16" t="str">
        <f>IFERROR(__xludf.DUMMYFUNCTION("""COMPUTED_VALUE"""),"s01*****.ntct@mail.edu.tw")</f>
        <v>s01*****.ntct@mail.edu.tw</v>
      </c>
      <c r="E2405" s="17" t="str">
        <f>IFERROR(__xludf.DUMMYFUNCTION("""COMPUTED_VALUE"""),"南投縣立埔里國民中學")</f>
        <v>南投縣立埔里國民中學</v>
      </c>
      <c r="F2405" s="14" t="str">
        <f>IFERROR(__xludf.DUMMYFUNCTION("""COMPUTED_VALUE"""),"八年級")</f>
        <v>八年級</v>
      </c>
      <c r="G2405" s="14" t="str">
        <f>IFERROR(__xludf.DUMMYFUNCTION("""COMPUTED_VALUE"""),"★禮券$200")</f>
        <v>★禮券$200</v>
      </c>
      <c r="H2405" s="8"/>
    </row>
    <row r="2406">
      <c r="A2406" s="18"/>
      <c r="B2406" s="14">
        <f>IFERROR(__xludf.DUMMYFUNCTION("""COMPUTED_VALUE"""),358450.0)</f>
        <v>358450</v>
      </c>
      <c r="C2406" s="14" t="str">
        <f>IFERROR(__xludf.DUMMYFUNCTION("""COMPUTED_VALUE"""),"廖昕蕎")</f>
        <v>廖昕蕎</v>
      </c>
      <c r="D2406" s="16" t="str">
        <f>IFERROR(__xludf.DUMMYFUNCTION("""COMPUTED_VALUE"""),"fkl*****mail.edu.tw")</f>
        <v>fkl*****mail.edu.tw</v>
      </c>
      <c r="E2406" s="17" t="str">
        <f>IFERROR(__xludf.DUMMYFUNCTION("""COMPUTED_VALUE"""),"南投縣立埔里國民中學")</f>
        <v>南投縣立埔里國民中學</v>
      </c>
      <c r="F2406" s="14" t="str">
        <f>IFERROR(__xludf.DUMMYFUNCTION("""COMPUTED_VALUE"""),"八年級")</f>
        <v>八年級</v>
      </c>
      <c r="G2406" s="14" t="str">
        <f>IFERROR(__xludf.DUMMYFUNCTION("""COMPUTED_VALUE"""),"★禮券$500")</f>
        <v>★禮券$500</v>
      </c>
      <c r="H2406" s="8"/>
    </row>
    <row r="2407">
      <c r="A2407" s="18"/>
      <c r="B2407" s="14">
        <f>IFERROR(__xludf.DUMMYFUNCTION("""COMPUTED_VALUE"""),905563.0)</f>
        <v>905563</v>
      </c>
      <c r="C2407" s="14" t="str">
        <f>IFERROR(__xludf.DUMMYFUNCTION("""COMPUTED_VALUE"""),"王劭齊")</f>
        <v>王劭齊</v>
      </c>
      <c r="D2407" s="16" t="str">
        <f>IFERROR(__xludf.DUMMYFUNCTION("""COMPUTED_VALUE"""),"s01*****.ntct@mail.edu.tw")</f>
        <v>s01*****.ntct@mail.edu.tw</v>
      </c>
      <c r="E2407" s="17" t="str">
        <f>IFERROR(__xludf.DUMMYFUNCTION("""COMPUTED_VALUE"""),"南投縣立埔里國民中學")</f>
        <v>南投縣立埔里國民中學</v>
      </c>
      <c r="F2407" s="14" t="str">
        <f>IFERROR(__xludf.DUMMYFUNCTION("""COMPUTED_VALUE"""),"八年級")</f>
        <v>八年級</v>
      </c>
      <c r="G2407" s="14" t="str">
        <f>IFERROR(__xludf.DUMMYFUNCTION("""COMPUTED_VALUE"""),"獎狀")</f>
        <v>獎狀</v>
      </c>
      <c r="H2407" s="8"/>
    </row>
    <row r="2408">
      <c r="A2408" s="18"/>
      <c r="B2408" s="14">
        <f>IFERROR(__xludf.DUMMYFUNCTION("""COMPUTED_VALUE"""),895160.0)</f>
        <v>895160</v>
      </c>
      <c r="C2408" s="14" t="str">
        <f>IFERROR(__xludf.DUMMYFUNCTION("""COMPUTED_VALUE"""),"王尚豪")</f>
        <v>王尚豪</v>
      </c>
      <c r="D2408" s="16" t="str">
        <f>IFERROR(__xludf.DUMMYFUNCTION("""COMPUTED_VALUE"""),"s01*****.ntct@go.edu.tw")</f>
        <v>s01*****.ntct@go.edu.tw</v>
      </c>
      <c r="E2408" s="17" t="str">
        <f>IFERROR(__xludf.DUMMYFUNCTION("""COMPUTED_VALUE"""),"南投縣立埔里國民中學")</f>
        <v>南投縣立埔里國民中學</v>
      </c>
      <c r="F2408" s="14" t="str">
        <f>IFERROR(__xludf.DUMMYFUNCTION("""COMPUTED_VALUE"""),"八年級")</f>
        <v>八年級</v>
      </c>
      <c r="G2408" s="14" t="str">
        <f>IFERROR(__xludf.DUMMYFUNCTION("""COMPUTED_VALUE"""),"獎狀")</f>
        <v>獎狀</v>
      </c>
      <c r="H2408" s="8"/>
    </row>
    <row r="2409">
      <c r="A2409" s="18"/>
      <c r="B2409" s="14">
        <f>IFERROR(__xludf.DUMMYFUNCTION("""COMPUTED_VALUE"""),883937.0)</f>
        <v>883937</v>
      </c>
      <c r="C2409" s="14" t="str">
        <f>IFERROR(__xludf.DUMMYFUNCTION("""COMPUTED_VALUE"""),"石侑祺")</f>
        <v>石侑祺</v>
      </c>
      <c r="D2409" s="16" t="str">
        <f>IFERROR(__xludf.DUMMYFUNCTION("""COMPUTED_VALUE"""),"s01*****@mail.edu.tw")</f>
        <v>s01*****@mail.edu.tw</v>
      </c>
      <c r="E2409" s="17" t="str">
        <f>IFERROR(__xludf.DUMMYFUNCTION("""COMPUTED_VALUE"""),"南投縣立埔里國民中學")</f>
        <v>南投縣立埔里國民中學</v>
      </c>
      <c r="F2409" s="14" t="str">
        <f>IFERROR(__xludf.DUMMYFUNCTION("""COMPUTED_VALUE"""),"八年級")</f>
        <v>八年級</v>
      </c>
      <c r="G2409" s="14" t="str">
        <f>IFERROR(__xludf.DUMMYFUNCTION("""COMPUTED_VALUE"""),"獎狀")</f>
        <v>獎狀</v>
      </c>
      <c r="H2409" s="8"/>
    </row>
    <row r="2410">
      <c r="A2410" s="18"/>
      <c r="B2410" s="14">
        <f>IFERROR(__xludf.DUMMYFUNCTION("""COMPUTED_VALUE"""),905561.0)</f>
        <v>905561</v>
      </c>
      <c r="C2410" s="14" t="str">
        <f>IFERROR(__xludf.DUMMYFUNCTION("""COMPUTED_VALUE"""),"邱世宇")</f>
        <v>邱世宇</v>
      </c>
      <c r="D2410" s="16" t="str">
        <f>IFERROR(__xludf.DUMMYFUNCTION("""COMPUTED_VALUE"""),"s01*****.ntct@mail.edu.tw")</f>
        <v>s01*****.ntct@mail.edu.tw</v>
      </c>
      <c r="E2410" s="17" t="str">
        <f>IFERROR(__xludf.DUMMYFUNCTION("""COMPUTED_VALUE"""),"南投縣立埔里國民中學")</f>
        <v>南投縣立埔里國民中學</v>
      </c>
      <c r="F2410" s="14" t="str">
        <f>IFERROR(__xludf.DUMMYFUNCTION("""COMPUTED_VALUE"""),"八年級")</f>
        <v>八年級</v>
      </c>
      <c r="G2410" s="14" t="str">
        <f>IFERROR(__xludf.DUMMYFUNCTION("""COMPUTED_VALUE"""),"獎狀")</f>
        <v>獎狀</v>
      </c>
      <c r="H2410" s="8"/>
    </row>
    <row r="2411">
      <c r="A2411" s="18"/>
      <c r="B2411" s="14">
        <f>IFERROR(__xludf.DUMMYFUNCTION("""COMPUTED_VALUE"""),579430.0)</f>
        <v>579430</v>
      </c>
      <c r="C2411" s="14" t="str">
        <f>IFERROR(__xludf.DUMMYFUNCTION("""COMPUTED_VALUE"""),"孫晴")</f>
        <v>孫晴</v>
      </c>
      <c r="D2411" s="16" t="str">
        <f>IFERROR(__xludf.DUMMYFUNCTION("""COMPUTED_VALUE"""),"s01*****.ntct@mail.edu.tw")</f>
        <v>s01*****.ntct@mail.edu.tw</v>
      </c>
      <c r="E2411" s="17" t="str">
        <f>IFERROR(__xludf.DUMMYFUNCTION("""COMPUTED_VALUE"""),"南投縣立埔里國民中學")</f>
        <v>南投縣立埔里國民中學</v>
      </c>
      <c r="F2411" s="14" t="str">
        <f>IFERROR(__xludf.DUMMYFUNCTION("""COMPUTED_VALUE"""),"八年級")</f>
        <v>八年級</v>
      </c>
      <c r="G2411" s="14" t="str">
        <f>IFERROR(__xludf.DUMMYFUNCTION("""COMPUTED_VALUE"""),"獎狀")</f>
        <v>獎狀</v>
      </c>
      <c r="H2411" s="8"/>
    </row>
    <row r="2412">
      <c r="A2412" s="18"/>
      <c r="B2412" s="14">
        <f>IFERROR(__xludf.DUMMYFUNCTION("""COMPUTED_VALUE"""),369742.0)</f>
        <v>369742</v>
      </c>
      <c r="C2412" s="14" t="str">
        <f>IFERROR(__xludf.DUMMYFUNCTION("""COMPUTED_VALUE"""),"陳宥瑋")</f>
        <v>陳宥瑋</v>
      </c>
      <c r="D2412" s="16" t="str">
        <f>IFERROR(__xludf.DUMMYFUNCTION("""COMPUTED_VALUE"""),"kui*****ail.edu.tw")</f>
        <v>kui*****ail.edu.tw</v>
      </c>
      <c r="E2412" s="17" t="str">
        <f>IFERROR(__xludf.DUMMYFUNCTION("""COMPUTED_VALUE"""),"南投縣立埔里國民中學")</f>
        <v>南投縣立埔里國民中學</v>
      </c>
      <c r="F2412" s="14" t="str">
        <f>IFERROR(__xludf.DUMMYFUNCTION("""COMPUTED_VALUE"""),"八年級")</f>
        <v>八年級</v>
      </c>
      <c r="G2412" s="14" t="str">
        <f>IFERROR(__xludf.DUMMYFUNCTION("""COMPUTED_VALUE"""),"獎狀")</f>
        <v>獎狀</v>
      </c>
      <c r="H2412" s="8"/>
    </row>
    <row r="2413">
      <c r="A2413" s="18"/>
      <c r="B2413" s="14">
        <f>IFERROR(__xludf.DUMMYFUNCTION("""COMPUTED_VALUE"""),905564.0)</f>
        <v>905564</v>
      </c>
      <c r="C2413" s="14" t="str">
        <f>IFERROR(__xludf.DUMMYFUNCTION("""COMPUTED_VALUE"""),"彭祺珍")</f>
        <v>彭祺珍</v>
      </c>
      <c r="D2413" s="16" t="str">
        <f>IFERROR(__xludf.DUMMYFUNCTION("""COMPUTED_VALUE"""),"s01*****.ntct@go.edu.tw")</f>
        <v>s01*****.ntct@go.edu.tw</v>
      </c>
      <c r="E2413" s="17" t="str">
        <f>IFERROR(__xludf.DUMMYFUNCTION("""COMPUTED_VALUE"""),"南投縣立埔里國民中學")</f>
        <v>南投縣立埔里國民中學</v>
      </c>
      <c r="F2413" s="14" t="str">
        <f>IFERROR(__xludf.DUMMYFUNCTION("""COMPUTED_VALUE"""),"八年級")</f>
        <v>八年級</v>
      </c>
      <c r="G2413" s="14" t="str">
        <f>IFERROR(__xludf.DUMMYFUNCTION("""COMPUTED_VALUE"""),"獎狀")</f>
        <v>獎狀</v>
      </c>
      <c r="H2413" s="8"/>
    </row>
    <row r="2414">
      <c r="A2414" s="18"/>
      <c r="B2414" s="14">
        <f>IFERROR(__xludf.DUMMYFUNCTION("""COMPUTED_VALUE"""),858448.0)</f>
        <v>858448</v>
      </c>
      <c r="C2414" s="14" t="str">
        <f>IFERROR(__xludf.DUMMYFUNCTION("""COMPUTED_VALUE"""),"劉子詮")</f>
        <v>劉子詮</v>
      </c>
      <c r="D2414" s="16" t="str">
        <f>IFERROR(__xludf.DUMMYFUNCTION("""COMPUTED_VALUE"""),"s01*****.ntct@mail.edu.tw")</f>
        <v>s01*****.ntct@mail.edu.tw</v>
      </c>
      <c r="E2414" s="17" t="str">
        <f>IFERROR(__xludf.DUMMYFUNCTION("""COMPUTED_VALUE"""),"南投縣立埔里國民中學")</f>
        <v>南投縣立埔里國民中學</v>
      </c>
      <c r="F2414" s="14" t="str">
        <f>IFERROR(__xludf.DUMMYFUNCTION("""COMPUTED_VALUE"""),"八年級")</f>
        <v>八年級</v>
      </c>
      <c r="G2414" s="14" t="str">
        <f>IFERROR(__xludf.DUMMYFUNCTION("""COMPUTED_VALUE"""),"獎狀")</f>
        <v>獎狀</v>
      </c>
      <c r="H2414" s="8"/>
    </row>
    <row r="2415">
      <c r="A2415" s="18"/>
      <c r="B2415" s="14">
        <f>IFERROR(__xludf.DUMMYFUNCTION("""COMPUTED_VALUE"""),905569.0)</f>
        <v>905569</v>
      </c>
      <c r="C2415" s="14" t="str">
        <f>IFERROR(__xludf.DUMMYFUNCTION("""COMPUTED_VALUE"""),"謝旻恩")</f>
        <v>謝旻恩</v>
      </c>
      <c r="D2415" s="16" t="str">
        <f>IFERROR(__xludf.DUMMYFUNCTION("""COMPUTED_VALUE"""),"s01*****.ntct@mail.edu.tw")</f>
        <v>s01*****.ntct@mail.edu.tw</v>
      </c>
      <c r="E2415" s="17" t="str">
        <f>IFERROR(__xludf.DUMMYFUNCTION("""COMPUTED_VALUE"""),"南投縣立埔里國民中學")</f>
        <v>南投縣立埔里國民中學</v>
      </c>
      <c r="F2415" s="14" t="str">
        <f>IFERROR(__xludf.DUMMYFUNCTION("""COMPUTED_VALUE"""),"八年級")</f>
        <v>八年級</v>
      </c>
      <c r="G2415" s="14" t="str">
        <f>IFERROR(__xludf.DUMMYFUNCTION("""COMPUTED_VALUE"""),"獎狀")</f>
        <v>獎狀</v>
      </c>
      <c r="H2415" s="8"/>
    </row>
    <row r="2416">
      <c r="A2416" s="18"/>
      <c r="B2416" s="14">
        <f>IFERROR(__xludf.DUMMYFUNCTION("""COMPUTED_VALUE"""),191000.0)</f>
        <v>191000</v>
      </c>
      <c r="C2416" s="14" t="str">
        <f>IFERROR(__xludf.DUMMYFUNCTION("""COMPUTED_VALUE"""),"吳羽凡")</f>
        <v>吳羽凡</v>
      </c>
      <c r="D2416" s="16" t="str">
        <f>IFERROR(__xludf.DUMMYFUNCTION("""COMPUTED_VALUE"""),"s01*****.ntct@mail.edu.tw")</f>
        <v>s01*****.ntct@mail.edu.tw</v>
      </c>
      <c r="E2416" s="17" t="str">
        <f>IFERROR(__xludf.DUMMYFUNCTION("""COMPUTED_VALUE"""),"南投縣立埔里國民中學")</f>
        <v>南投縣立埔里國民中學</v>
      </c>
      <c r="F2416" s="14" t="str">
        <f>IFERROR(__xludf.DUMMYFUNCTION("""COMPUTED_VALUE"""),"八年級")</f>
        <v>八年級</v>
      </c>
      <c r="G2416" s="14" t="str">
        <f>IFERROR(__xludf.DUMMYFUNCTION("""COMPUTED_VALUE"""),"●小禮物")</f>
        <v>●小禮物</v>
      </c>
      <c r="H2416" s="8"/>
    </row>
    <row r="2417">
      <c r="A2417" s="18"/>
      <c r="B2417" s="14">
        <f>IFERROR(__xludf.DUMMYFUNCTION("""COMPUTED_VALUE"""),1182120.0)</f>
        <v>1182120</v>
      </c>
      <c r="C2417" s="14" t="str">
        <f>IFERROR(__xludf.DUMMYFUNCTION("""COMPUTED_VALUE"""),"陳念平")</f>
        <v>陳念平</v>
      </c>
      <c r="D2417" s="16" t="str">
        <f>IFERROR(__xludf.DUMMYFUNCTION("""COMPUTED_VALUE"""),"s01*****@mail.edu.tw")</f>
        <v>s01*****@mail.edu.tw</v>
      </c>
      <c r="E2417" s="17" t="str">
        <f>IFERROR(__xludf.DUMMYFUNCTION("""COMPUTED_VALUE"""),"南投縣立埔里國民中學")</f>
        <v>南投縣立埔里國民中學</v>
      </c>
      <c r="F2417" s="14" t="str">
        <f>IFERROR(__xludf.DUMMYFUNCTION("""COMPUTED_VALUE"""),"八年級")</f>
        <v>八年級</v>
      </c>
      <c r="G2417" s="14" t="str">
        <f>IFERROR(__xludf.DUMMYFUNCTION("""COMPUTED_VALUE"""),"●小禮物")</f>
        <v>●小禮物</v>
      </c>
      <c r="H2417" s="8"/>
    </row>
    <row r="2418">
      <c r="A2418" s="18"/>
      <c r="B2418" s="14">
        <f>IFERROR(__xludf.DUMMYFUNCTION("""COMPUTED_VALUE"""),991295.0)</f>
        <v>991295</v>
      </c>
      <c r="C2418" s="14" t="str">
        <f>IFERROR(__xludf.DUMMYFUNCTION("""COMPUTED_VALUE"""),"周歆彤")</f>
        <v>周歆彤</v>
      </c>
      <c r="D2418" s="16" t="str">
        <f>IFERROR(__xludf.DUMMYFUNCTION("""COMPUTED_VALUE"""),"s01*****@mail.edu.tw")</f>
        <v>s01*****@mail.edu.tw</v>
      </c>
      <c r="E2418" s="17" t="str">
        <f>IFERROR(__xludf.DUMMYFUNCTION("""COMPUTED_VALUE"""),"南投縣立埔里國民中學")</f>
        <v>南投縣立埔里國民中學</v>
      </c>
      <c r="F2418" s="14" t="str">
        <f>IFERROR(__xludf.DUMMYFUNCTION("""COMPUTED_VALUE"""),"八年級")</f>
        <v>八年級</v>
      </c>
      <c r="G2418" s="14" t="str">
        <f>IFERROR(__xludf.DUMMYFUNCTION("""COMPUTED_VALUE"""),"獎狀")</f>
        <v>獎狀</v>
      </c>
      <c r="H2418" s="8"/>
    </row>
    <row r="2419">
      <c r="A2419" s="18"/>
      <c r="B2419" s="14">
        <f>IFERROR(__xludf.DUMMYFUNCTION("""COMPUTED_VALUE"""),1182096.0)</f>
        <v>1182096</v>
      </c>
      <c r="C2419" s="14" t="str">
        <f>IFERROR(__xludf.DUMMYFUNCTION("""COMPUTED_VALUE"""),"洪筱云")</f>
        <v>洪筱云</v>
      </c>
      <c r="D2419" s="16" t="str">
        <f>IFERROR(__xludf.DUMMYFUNCTION("""COMPUTED_VALUE"""),"s01*****.ntct@mail.edu.tw")</f>
        <v>s01*****.ntct@mail.edu.tw</v>
      </c>
      <c r="E2419" s="17" t="str">
        <f>IFERROR(__xludf.DUMMYFUNCTION("""COMPUTED_VALUE"""),"南投縣立埔里國民中學")</f>
        <v>南投縣立埔里國民中學</v>
      </c>
      <c r="F2419" s="14" t="str">
        <f>IFERROR(__xludf.DUMMYFUNCTION("""COMPUTED_VALUE"""),"八年級")</f>
        <v>八年級</v>
      </c>
      <c r="G2419" s="14" t="str">
        <f>IFERROR(__xludf.DUMMYFUNCTION("""COMPUTED_VALUE"""),"獎狀")</f>
        <v>獎狀</v>
      </c>
      <c r="H2419" s="8"/>
    </row>
    <row r="2420">
      <c r="A2420" s="18"/>
      <c r="B2420" s="14">
        <f>IFERROR(__xludf.DUMMYFUNCTION("""COMPUTED_VALUE"""),579427.0)</f>
        <v>579427</v>
      </c>
      <c r="C2420" s="14" t="str">
        <f>IFERROR(__xludf.DUMMYFUNCTION("""COMPUTED_VALUE"""),"迪娃斯.哇旦")</f>
        <v>迪娃斯.哇旦</v>
      </c>
      <c r="D2420" s="16" t="str">
        <f>IFERROR(__xludf.DUMMYFUNCTION("""COMPUTED_VALUE"""),"s01*****.ntct@mail.edu.tw")</f>
        <v>s01*****.ntct@mail.edu.tw</v>
      </c>
      <c r="E2420" s="17" t="str">
        <f>IFERROR(__xludf.DUMMYFUNCTION("""COMPUTED_VALUE"""),"南投縣立埔里國民中學")</f>
        <v>南投縣立埔里國民中學</v>
      </c>
      <c r="F2420" s="14" t="str">
        <f>IFERROR(__xludf.DUMMYFUNCTION("""COMPUTED_VALUE"""),"八年級")</f>
        <v>八年級</v>
      </c>
      <c r="G2420" s="14" t="str">
        <f>IFERROR(__xludf.DUMMYFUNCTION("""COMPUTED_VALUE"""),"獎狀")</f>
        <v>獎狀</v>
      </c>
      <c r="H2420" s="8"/>
    </row>
    <row r="2421">
      <c r="A2421" s="18"/>
      <c r="B2421" s="14">
        <f>IFERROR(__xludf.DUMMYFUNCTION("""COMPUTED_VALUE"""),1210859.0)</f>
        <v>1210859</v>
      </c>
      <c r="C2421" s="14" t="str">
        <f>IFERROR(__xludf.DUMMYFUNCTION("""COMPUTED_VALUE"""),"唐語婕")</f>
        <v>唐語婕</v>
      </c>
      <c r="D2421" s="16" t="str">
        <f>IFERROR(__xludf.DUMMYFUNCTION("""COMPUTED_VALUE"""),"s01*****.ntct@go.edu.tw")</f>
        <v>s01*****.ntct@go.edu.tw</v>
      </c>
      <c r="E2421" s="17" t="str">
        <f>IFERROR(__xludf.DUMMYFUNCTION("""COMPUTED_VALUE"""),"南投縣立埔里國民中學")</f>
        <v>南投縣立埔里國民中學</v>
      </c>
      <c r="F2421" s="14" t="str">
        <f>IFERROR(__xludf.DUMMYFUNCTION("""COMPUTED_VALUE"""),"八年級")</f>
        <v>八年級</v>
      </c>
      <c r="G2421" s="14" t="str">
        <f>IFERROR(__xludf.DUMMYFUNCTION("""COMPUTED_VALUE"""),"獎狀")</f>
        <v>獎狀</v>
      </c>
      <c r="H2421" s="8"/>
    </row>
    <row r="2422">
      <c r="A2422" s="18"/>
      <c r="B2422" s="14">
        <f>IFERROR(__xludf.DUMMYFUNCTION("""COMPUTED_VALUE"""),1182104.0)</f>
        <v>1182104</v>
      </c>
      <c r="C2422" s="14" t="str">
        <f>IFERROR(__xludf.DUMMYFUNCTION("""COMPUTED_VALUE"""),"陳志賢")</f>
        <v>陳志賢</v>
      </c>
      <c r="D2422" s="16" t="str">
        <f>IFERROR(__xludf.DUMMYFUNCTION("""COMPUTED_VALUE"""),"s01*****@go.edu.tw")</f>
        <v>s01*****@go.edu.tw</v>
      </c>
      <c r="E2422" s="17" t="str">
        <f>IFERROR(__xludf.DUMMYFUNCTION("""COMPUTED_VALUE"""),"南投縣立埔里國民中學")</f>
        <v>南投縣立埔里國民中學</v>
      </c>
      <c r="F2422" s="14" t="str">
        <f>IFERROR(__xludf.DUMMYFUNCTION("""COMPUTED_VALUE"""),"八年級")</f>
        <v>八年級</v>
      </c>
      <c r="G2422" s="14" t="str">
        <f>IFERROR(__xludf.DUMMYFUNCTION("""COMPUTED_VALUE"""),"獎狀")</f>
        <v>獎狀</v>
      </c>
      <c r="H2422" s="8"/>
    </row>
    <row r="2423">
      <c r="A2423" s="18"/>
      <c r="B2423" s="14">
        <f>IFERROR(__xludf.DUMMYFUNCTION("""COMPUTED_VALUE"""),1182110.0)</f>
        <v>1182110</v>
      </c>
      <c r="C2423" s="14" t="str">
        <f>IFERROR(__xludf.DUMMYFUNCTION("""COMPUTED_VALUE"""),"陳筱雯")</f>
        <v>陳筱雯</v>
      </c>
      <c r="D2423" s="16" t="str">
        <f>IFERROR(__xludf.DUMMYFUNCTION("""COMPUTED_VALUE"""),"s01*****@mail.edu.tw")</f>
        <v>s01*****@mail.edu.tw</v>
      </c>
      <c r="E2423" s="17" t="str">
        <f>IFERROR(__xludf.DUMMYFUNCTION("""COMPUTED_VALUE"""),"南投縣立埔里國民中學")</f>
        <v>南投縣立埔里國民中學</v>
      </c>
      <c r="F2423" s="14" t="str">
        <f>IFERROR(__xludf.DUMMYFUNCTION("""COMPUTED_VALUE"""),"八年級")</f>
        <v>八年級</v>
      </c>
      <c r="G2423" s="14" t="str">
        <f>IFERROR(__xludf.DUMMYFUNCTION("""COMPUTED_VALUE"""),"獎狀")</f>
        <v>獎狀</v>
      </c>
      <c r="H2423" s="8"/>
    </row>
    <row r="2424">
      <c r="A2424" s="18"/>
      <c r="B2424" s="14">
        <f>IFERROR(__xludf.DUMMYFUNCTION("""COMPUTED_VALUE"""),1213901.0)</f>
        <v>1213901</v>
      </c>
      <c r="C2424" s="14" t="str">
        <f>IFERROR(__xludf.DUMMYFUNCTION("""COMPUTED_VALUE"""),"温琦")</f>
        <v>温琦</v>
      </c>
      <c r="D2424" s="16" t="str">
        <f>IFERROR(__xludf.DUMMYFUNCTION("""COMPUTED_VALUE"""),"s01*****.ntct@go.edu.tw")</f>
        <v>s01*****.ntct@go.edu.tw</v>
      </c>
      <c r="E2424" s="17" t="str">
        <f>IFERROR(__xludf.DUMMYFUNCTION("""COMPUTED_VALUE"""),"南投縣立埔里國民中學")</f>
        <v>南投縣立埔里國民中學</v>
      </c>
      <c r="F2424" s="14" t="str">
        <f>IFERROR(__xludf.DUMMYFUNCTION("""COMPUTED_VALUE"""),"八年級")</f>
        <v>八年級</v>
      </c>
      <c r="G2424" s="14" t="str">
        <f>IFERROR(__xludf.DUMMYFUNCTION("""COMPUTED_VALUE"""),"獎狀")</f>
        <v>獎狀</v>
      </c>
      <c r="H2424" s="8"/>
    </row>
    <row r="2425">
      <c r="A2425" s="18"/>
      <c r="B2425" s="14">
        <f>IFERROR(__xludf.DUMMYFUNCTION("""COMPUTED_VALUE"""),1182114.0)</f>
        <v>1182114</v>
      </c>
      <c r="C2425" s="14" t="str">
        <f>IFERROR(__xludf.DUMMYFUNCTION("""COMPUTED_VALUE"""),"羅薇")</f>
        <v>羅薇</v>
      </c>
      <c r="D2425" s="16" t="str">
        <f>IFERROR(__xludf.DUMMYFUNCTION("""COMPUTED_VALUE"""),"s01*****@mail.edu.tw")</f>
        <v>s01*****@mail.edu.tw</v>
      </c>
      <c r="E2425" s="17" t="str">
        <f>IFERROR(__xludf.DUMMYFUNCTION("""COMPUTED_VALUE"""),"南投縣立埔里國民中學")</f>
        <v>南投縣立埔里國民中學</v>
      </c>
      <c r="F2425" s="14" t="str">
        <f>IFERROR(__xludf.DUMMYFUNCTION("""COMPUTED_VALUE"""),"八年級")</f>
        <v>八年級</v>
      </c>
      <c r="G2425" s="14" t="str">
        <f>IFERROR(__xludf.DUMMYFUNCTION("""COMPUTED_VALUE"""),"獎狀")</f>
        <v>獎狀</v>
      </c>
      <c r="H2425" s="8"/>
    </row>
    <row r="2426">
      <c r="A2426" s="18"/>
      <c r="B2426" s="14">
        <f>IFERROR(__xludf.DUMMYFUNCTION("""COMPUTED_VALUE"""),177012.0)</f>
        <v>177012</v>
      </c>
      <c r="C2426" s="14" t="str">
        <f>IFERROR(__xludf.DUMMYFUNCTION("""COMPUTED_VALUE"""),"韓亦珊")</f>
        <v>韓亦珊</v>
      </c>
      <c r="D2426" s="16" t="str">
        <f>IFERROR(__xludf.DUMMYFUNCTION("""COMPUTED_VALUE"""),"s01*****@mail.edu.tw")</f>
        <v>s01*****@mail.edu.tw</v>
      </c>
      <c r="E2426" s="17" t="str">
        <f>IFERROR(__xludf.DUMMYFUNCTION("""COMPUTED_VALUE"""),"南投縣立埔里國民中學")</f>
        <v>南投縣立埔里國民中學</v>
      </c>
      <c r="F2426" s="14" t="str">
        <f>IFERROR(__xludf.DUMMYFUNCTION("""COMPUTED_VALUE"""),"八年級")</f>
        <v>八年級</v>
      </c>
      <c r="G2426" s="14" t="str">
        <f>IFERROR(__xludf.DUMMYFUNCTION("""COMPUTED_VALUE"""),"●小禮物")</f>
        <v>●小禮物</v>
      </c>
      <c r="H2426" s="8"/>
    </row>
    <row r="2427">
      <c r="A2427" s="18"/>
      <c r="B2427" s="14">
        <f>IFERROR(__xludf.DUMMYFUNCTION("""COMPUTED_VALUE"""),1161468.0)</f>
        <v>1161468</v>
      </c>
      <c r="C2427" s="14" t="str">
        <f>IFERROR(__xludf.DUMMYFUNCTION("""COMPUTED_VALUE"""),"石沛可")</f>
        <v>石沛可</v>
      </c>
      <c r="D2427" s="16" t="str">
        <f>IFERROR(__xludf.DUMMYFUNCTION("""COMPUTED_VALUE"""),"s01*****.ntct@mail.edu.tw")</f>
        <v>s01*****.ntct@mail.edu.tw</v>
      </c>
      <c r="E2427" s="17" t="str">
        <f>IFERROR(__xludf.DUMMYFUNCTION("""COMPUTED_VALUE"""),"南投縣立埔里國民中學")</f>
        <v>南投縣立埔里國民中學</v>
      </c>
      <c r="F2427" s="14" t="str">
        <f>IFERROR(__xludf.DUMMYFUNCTION("""COMPUTED_VALUE"""),"八年級")</f>
        <v>八年級</v>
      </c>
      <c r="G2427" s="14" t="str">
        <f>IFERROR(__xludf.DUMMYFUNCTION("""COMPUTED_VALUE"""),"獎狀")</f>
        <v>獎狀</v>
      </c>
      <c r="H2427" s="8"/>
    </row>
    <row r="2428">
      <c r="A2428" s="18"/>
      <c r="B2428" s="14">
        <f>IFERROR(__xludf.DUMMYFUNCTION("""COMPUTED_VALUE"""),1161466.0)</f>
        <v>1161466</v>
      </c>
      <c r="C2428" s="14" t="str">
        <f>IFERROR(__xludf.DUMMYFUNCTION("""COMPUTED_VALUE"""),"郭以瑩")</f>
        <v>郭以瑩</v>
      </c>
      <c r="D2428" s="16" t="str">
        <f>IFERROR(__xludf.DUMMYFUNCTION("""COMPUTED_VALUE"""),"s01*****.ntct@mail.edu.tw")</f>
        <v>s01*****.ntct@mail.edu.tw</v>
      </c>
      <c r="E2428" s="17" t="str">
        <f>IFERROR(__xludf.DUMMYFUNCTION("""COMPUTED_VALUE"""),"南投縣立埔里國民中學")</f>
        <v>南投縣立埔里國民中學</v>
      </c>
      <c r="F2428" s="14" t="str">
        <f>IFERROR(__xludf.DUMMYFUNCTION("""COMPUTED_VALUE"""),"八年級")</f>
        <v>八年級</v>
      </c>
      <c r="G2428" s="14" t="str">
        <f>IFERROR(__xludf.DUMMYFUNCTION("""COMPUTED_VALUE"""),"獎狀")</f>
        <v>獎狀</v>
      </c>
      <c r="H2428" s="8"/>
    </row>
    <row r="2429">
      <c r="A2429" s="18"/>
      <c r="B2429" s="14">
        <f>IFERROR(__xludf.DUMMYFUNCTION("""COMPUTED_VALUE"""),579426.0)</f>
        <v>579426</v>
      </c>
      <c r="C2429" s="14" t="str">
        <f>IFERROR(__xludf.DUMMYFUNCTION("""COMPUTED_VALUE"""),"蕭詩澐")</f>
        <v>蕭詩澐</v>
      </c>
      <c r="D2429" s="16" t="str">
        <f>IFERROR(__xludf.DUMMYFUNCTION("""COMPUTED_VALUE"""),"s01*****.ntct@mail.edu.tw")</f>
        <v>s01*****.ntct@mail.edu.tw</v>
      </c>
      <c r="E2429" s="17" t="str">
        <f>IFERROR(__xludf.DUMMYFUNCTION("""COMPUTED_VALUE"""),"南投縣立埔里國民中學")</f>
        <v>南投縣立埔里國民中學</v>
      </c>
      <c r="F2429" s="14" t="str">
        <f>IFERROR(__xludf.DUMMYFUNCTION("""COMPUTED_VALUE"""),"八年級")</f>
        <v>八年級</v>
      </c>
      <c r="G2429" s="14" t="str">
        <f>IFERROR(__xludf.DUMMYFUNCTION("""COMPUTED_VALUE"""),"獎狀")</f>
        <v>獎狀</v>
      </c>
      <c r="H2429" s="8"/>
    </row>
    <row r="2430">
      <c r="A2430" s="18"/>
      <c r="B2430" s="14">
        <f>IFERROR(__xludf.DUMMYFUNCTION("""COMPUTED_VALUE"""),1010159.0)</f>
        <v>1010159</v>
      </c>
      <c r="C2430" s="14" t="str">
        <f>IFERROR(__xludf.DUMMYFUNCTION("""COMPUTED_VALUE"""),"江侑蓉")</f>
        <v>江侑蓉</v>
      </c>
      <c r="D2430" s="16" t="str">
        <f>IFERROR(__xludf.DUMMYFUNCTION("""COMPUTED_VALUE"""),"s01*****@go.edu.tw")</f>
        <v>s01*****@go.edu.tw</v>
      </c>
      <c r="E2430" s="17" t="str">
        <f>IFERROR(__xludf.DUMMYFUNCTION("""COMPUTED_VALUE"""),"南投縣立埔里國民中學")</f>
        <v>南投縣立埔里國民中學</v>
      </c>
      <c r="F2430" s="14" t="str">
        <f>IFERROR(__xludf.DUMMYFUNCTION("""COMPUTED_VALUE"""),"八年級")</f>
        <v>八年級</v>
      </c>
      <c r="G2430" s="14" t="str">
        <f>IFERROR(__xludf.DUMMYFUNCTION("""COMPUTED_VALUE"""),"●小禮物")</f>
        <v>●小禮物</v>
      </c>
      <c r="H2430" s="8"/>
    </row>
    <row r="2431">
      <c r="A2431" s="18"/>
      <c r="B2431" s="14">
        <f>IFERROR(__xludf.DUMMYFUNCTION("""COMPUTED_VALUE"""),1197632.0)</f>
        <v>1197632</v>
      </c>
      <c r="C2431" s="14" t="str">
        <f>IFERROR(__xludf.DUMMYFUNCTION("""COMPUTED_VALUE"""),"潘俞含")</f>
        <v>潘俞含</v>
      </c>
      <c r="D2431" s="16" t="str">
        <f>IFERROR(__xludf.DUMMYFUNCTION("""COMPUTED_VALUE"""),"109*****ljh.ntct.edu.tw")</f>
        <v>109*****ljh.ntct.edu.tw</v>
      </c>
      <c r="E2431" s="17" t="str">
        <f>IFERROR(__xludf.DUMMYFUNCTION("""COMPUTED_VALUE"""),"南投縣立埔里國民中學")</f>
        <v>南投縣立埔里國民中學</v>
      </c>
      <c r="F2431" s="14" t="str">
        <f>IFERROR(__xludf.DUMMYFUNCTION("""COMPUTED_VALUE"""),"九年級")</f>
        <v>九年級</v>
      </c>
      <c r="G2431" s="14" t="str">
        <f>IFERROR(__xludf.DUMMYFUNCTION("""COMPUTED_VALUE"""),"●小禮物")</f>
        <v>●小禮物</v>
      </c>
      <c r="H2431" s="8"/>
    </row>
    <row r="2432">
      <c r="A2432" s="18"/>
      <c r="B2432" s="14">
        <f>IFERROR(__xludf.DUMMYFUNCTION("""COMPUTED_VALUE"""),1197643.0)</f>
        <v>1197643</v>
      </c>
      <c r="C2432" s="14" t="str">
        <f>IFERROR(__xludf.DUMMYFUNCTION("""COMPUTED_VALUE"""),"古嬿渟")</f>
        <v>古嬿渟</v>
      </c>
      <c r="D2432" s="16" t="str">
        <f>IFERROR(__xludf.DUMMYFUNCTION("""COMPUTED_VALUE"""),"109*****ljh.ntct.edu.tw")</f>
        <v>109*****ljh.ntct.edu.tw</v>
      </c>
      <c r="E2432" s="17" t="str">
        <f>IFERROR(__xludf.DUMMYFUNCTION("""COMPUTED_VALUE"""),"南投縣立埔里國民中學")</f>
        <v>南投縣立埔里國民中學</v>
      </c>
      <c r="F2432" s="14" t="str">
        <f>IFERROR(__xludf.DUMMYFUNCTION("""COMPUTED_VALUE"""),"九年級")</f>
        <v>九年級</v>
      </c>
      <c r="G2432" s="14" t="str">
        <f>IFERROR(__xludf.DUMMYFUNCTION("""COMPUTED_VALUE"""),"獎狀")</f>
        <v>獎狀</v>
      </c>
      <c r="H2432" s="8"/>
    </row>
    <row r="2433">
      <c r="A2433" s="18"/>
      <c r="B2433" s="14">
        <f>IFERROR(__xludf.DUMMYFUNCTION("""COMPUTED_VALUE"""),1197661.0)</f>
        <v>1197661</v>
      </c>
      <c r="C2433" s="14" t="str">
        <f>IFERROR(__xludf.DUMMYFUNCTION("""COMPUTED_VALUE"""),"洪嘉伶")</f>
        <v>洪嘉伶</v>
      </c>
      <c r="D2433" s="16" t="str">
        <f>IFERROR(__xludf.DUMMYFUNCTION("""COMPUTED_VALUE"""),"109*****ljh.ntct.edu.tw")</f>
        <v>109*****ljh.ntct.edu.tw</v>
      </c>
      <c r="E2433" s="17" t="str">
        <f>IFERROR(__xludf.DUMMYFUNCTION("""COMPUTED_VALUE"""),"南投縣立埔里國民中學")</f>
        <v>南投縣立埔里國民中學</v>
      </c>
      <c r="F2433" s="14" t="str">
        <f>IFERROR(__xludf.DUMMYFUNCTION("""COMPUTED_VALUE"""),"九年級")</f>
        <v>九年級</v>
      </c>
      <c r="G2433" s="14" t="str">
        <f>IFERROR(__xludf.DUMMYFUNCTION("""COMPUTED_VALUE"""),"獎狀")</f>
        <v>獎狀</v>
      </c>
      <c r="H2433" s="8"/>
    </row>
    <row r="2434">
      <c r="A2434" s="18"/>
      <c r="B2434" s="14">
        <f>IFERROR(__xludf.DUMMYFUNCTION("""COMPUTED_VALUE"""),1197635.0)</f>
        <v>1197635</v>
      </c>
      <c r="C2434" s="14" t="str">
        <f>IFERROR(__xludf.DUMMYFUNCTION("""COMPUTED_VALUE"""),"徐如玉")</f>
        <v>徐如玉</v>
      </c>
      <c r="D2434" s="16" t="str">
        <f>IFERROR(__xludf.DUMMYFUNCTION("""COMPUTED_VALUE"""),"109*****ljh.ntct.edu.tw")</f>
        <v>109*****ljh.ntct.edu.tw</v>
      </c>
      <c r="E2434" s="17" t="str">
        <f>IFERROR(__xludf.DUMMYFUNCTION("""COMPUTED_VALUE"""),"南投縣立埔里國民中學")</f>
        <v>南投縣立埔里國民中學</v>
      </c>
      <c r="F2434" s="14" t="str">
        <f>IFERROR(__xludf.DUMMYFUNCTION("""COMPUTED_VALUE"""),"九年級")</f>
        <v>九年級</v>
      </c>
      <c r="G2434" s="14" t="str">
        <f>IFERROR(__xludf.DUMMYFUNCTION("""COMPUTED_VALUE"""),"獎狀")</f>
        <v>獎狀</v>
      </c>
      <c r="H2434" s="8"/>
    </row>
    <row r="2435">
      <c r="A2435" s="18"/>
      <c r="B2435" s="14">
        <f>IFERROR(__xludf.DUMMYFUNCTION("""COMPUTED_VALUE"""),1163307.0)</f>
        <v>1163307</v>
      </c>
      <c r="C2435" s="14" t="str">
        <f>IFERROR(__xludf.DUMMYFUNCTION("""COMPUTED_VALUE"""),"高翊宸")</f>
        <v>高翊宸</v>
      </c>
      <c r="D2435" s="16" t="str">
        <f>IFERROR(__xludf.DUMMYFUNCTION("""COMPUTED_VALUE"""),"s01*****@mail.edu.tw")</f>
        <v>s01*****@mail.edu.tw</v>
      </c>
      <c r="E2435" s="17" t="str">
        <f>IFERROR(__xludf.DUMMYFUNCTION("""COMPUTED_VALUE"""),"南投縣立埔里國民中學")</f>
        <v>南投縣立埔里國民中學</v>
      </c>
      <c r="F2435" s="14" t="str">
        <f>IFERROR(__xludf.DUMMYFUNCTION("""COMPUTED_VALUE"""),"九年級")</f>
        <v>九年級</v>
      </c>
      <c r="G2435" s="14" t="str">
        <f>IFERROR(__xludf.DUMMYFUNCTION("""COMPUTED_VALUE"""),"獎狀")</f>
        <v>獎狀</v>
      </c>
      <c r="H2435" s="8"/>
    </row>
    <row r="2436">
      <c r="A2436" s="18"/>
      <c r="B2436" s="14">
        <f>IFERROR(__xludf.DUMMYFUNCTION("""COMPUTED_VALUE"""),178006.0)</f>
        <v>178006</v>
      </c>
      <c r="C2436" s="14" t="str">
        <f>IFERROR(__xludf.DUMMYFUNCTION("""COMPUTED_VALUE"""),"林宥辰")</f>
        <v>林宥辰</v>
      </c>
      <c r="D2436" s="16" t="str">
        <f>IFERROR(__xludf.DUMMYFUNCTION("""COMPUTED_VALUE"""),"you*****mail.edu.tw")</f>
        <v>you*****mail.edu.tw</v>
      </c>
      <c r="E2436" s="17" t="str">
        <f>IFERROR(__xludf.DUMMYFUNCTION("""COMPUTED_VALUE"""),"南投縣立埔里國民中學")</f>
        <v>南投縣立埔里國民中學</v>
      </c>
      <c r="F2436" s="14" t="str">
        <f>IFERROR(__xludf.DUMMYFUNCTION("""COMPUTED_VALUE"""),"九年級")</f>
        <v>九年級</v>
      </c>
      <c r="G2436" s="14" t="str">
        <f>IFERROR(__xludf.DUMMYFUNCTION("""COMPUTED_VALUE"""),"●小禮物")</f>
        <v>●小禮物</v>
      </c>
      <c r="H2436" s="8"/>
    </row>
    <row r="2437">
      <c r="A2437" s="18"/>
      <c r="B2437" s="14">
        <f>IFERROR(__xludf.DUMMYFUNCTION("""COMPUTED_VALUE"""),1202120.0)</f>
        <v>1202120</v>
      </c>
      <c r="C2437" s="14" t="str">
        <f>IFERROR(__xludf.DUMMYFUNCTION("""COMPUTED_VALUE"""),"張景程")</f>
        <v>張景程</v>
      </c>
      <c r="D2437" s="16" t="str">
        <f>IFERROR(__xludf.DUMMYFUNCTION("""COMPUTED_VALUE"""),"s01*****.ntct@mail.edu.tw")</f>
        <v>s01*****.ntct@mail.edu.tw</v>
      </c>
      <c r="E2437" s="17" t="str">
        <f>IFERROR(__xludf.DUMMYFUNCTION("""COMPUTED_VALUE"""),"南投縣立埔里國民中學")</f>
        <v>南投縣立埔里國民中學</v>
      </c>
      <c r="F2437" s="14" t="str">
        <f>IFERROR(__xludf.DUMMYFUNCTION("""COMPUTED_VALUE"""),"九年級")</f>
        <v>九年級</v>
      </c>
      <c r="G2437" s="14" t="str">
        <f>IFERROR(__xludf.DUMMYFUNCTION("""COMPUTED_VALUE"""),"●小禮物")</f>
        <v>●小禮物</v>
      </c>
      <c r="H2437" s="8"/>
    </row>
    <row r="2438">
      <c r="A2438" s="18"/>
      <c r="B2438" s="14">
        <f>IFERROR(__xludf.DUMMYFUNCTION("""COMPUTED_VALUE"""),1202110.0)</f>
        <v>1202110</v>
      </c>
      <c r="C2438" s="14" t="str">
        <f>IFERROR(__xludf.DUMMYFUNCTION("""COMPUTED_VALUE"""),"梁佳萱")</f>
        <v>梁佳萱</v>
      </c>
      <c r="D2438" s="16" t="str">
        <f>IFERROR(__xludf.DUMMYFUNCTION("""COMPUTED_VALUE"""),"109*****ljh.ntct.edu.tw")</f>
        <v>109*****ljh.ntct.edu.tw</v>
      </c>
      <c r="E2438" s="17" t="str">
        <f>IFERROR(__xludf.DUMMYFUNCTION("""COMPUTED_VALUE"""),"南投縣立埔里國民中學")</f>
        <v>南投縣立埔里國民中學</v>
      </c>
      <c r="F2438" s="14" t="str">
        <f>IFERROR(__xludf.DUMMYFUNCTION("""COMPUTED_VALUE"""),"九年級")</f>
        <v>九年級</v>
      </c>
      <c r="G2438" s="14" t="str">
        <f>IFERROR(__xludf.DUMMYFUNCTION("""COMPUTED_VALUE"""),"●小禮物")</f>
        <v>●小禮物</v>
      </c>
      <c r="H2438" s="8"/>
    </row>
    <row r="2439">
      <c r="A2439" s="18"/>
      <c r="B2439" s="14">
        <f>IFERROR(__xludf.DUMMYFUNCTION("""COMPUTED_VALUE"""),1202097.0)</f>
        <v>1202097</v>
      </c>
      <c r="C2439" s="14" t="str">
        <f>IFERROR(__xludf.DUMMYFUNCTION("""COMPUTED_VALUE"""),"葉晏慈")</f>
        <v>葉晏慈</v>
      </c>
      <c r="D2439" s="16" t="str">
        <f>IFERROR(__xludf.DUMMYFUNCTION("""COMPUTED_VALUE"""),"109*****ljh.ntct.edu.tw")</f>
        <v>109*****ljh.ntct.edu.tw</v>
      </c>
      <c r="E2439" s="17" t="str">
        <f>IFERROR(__xludf.DUMMYFUNCTION("""COMPUTED_VALUE"""),"南投縣立埔里國民中學")</f>
        <v>南投縣立埔里國民中學</v>
      </c>
      <c r="F2439" s="14" t="str">
        <f>IFERROR(__xludf.DUMMYFUNCTION("""COMPUTED_VALUE"""),"九年級")</f>
        <v>九年級</v>
      </c>
      <c r="G2439" s="14" t="str">
        <f>IFERROR(__xludf.DUMMYFUNCTION("""COMPUTED_VALUE"""),"●小禮物")</f>
        <v>●小禮物</v>
      </c>
      <c r="H2439" s="8"/>
    </row>
    <row r="2440">
      <c r="A2440" s="18"/>
      <c r="B2440" s="14">
        <f>IFERROR(__xludf.DUMMYFUNCTION("""COMPUTED_VALUE"""),1202113.0)</f>
        <v>1202113</v>
      </c>
      <c r="C2440" s="14" t="str">
        <f>IFERROR(__xludf.DUMMYFUNCTION("""COMPUTED_VALUE"""),"潘冠羽")</f>
        <v>潘冠羽</v>
      </c>
      <c r="D2440" s="16" t="str">
        <f>IFERROR(__xludf.DUMMYFUNCTION("""COMPUTED_VALUE"""),"109*****ljh.ntct.edu.tw")</f>
        <v>109*****ljh.ntct.edu.tw</v>
      </c>
      <c r="E2440" s="17" t="str">
        <f>IFERROR(__xludf.DUMMYFUNCTION("""COMPUTED_VALUE"""),"南投縣立埔里國民中學")</f>
        <v>南投縣立埔里國民中學</v>
      </c>
      <c r="F2440" s="14" t="str">
        <f>IFERROR(__xludf.DUMMYFUNCTION("""COMPUTED_VALUE"""),"九年級")</f>
        <v>九年級</v>
      </c>
      <c r="G2440" s="14" t="str">
        <f>IFERROR(__xludf.DUMMYFUNCTION("""COMPUTED_VALUE"""),"●小禮物")</f>
        <v>●小禮物</v>
      </c>
      <c r="H2440" s="8"/>
    </row>
    <row r="2441">
      <c r="A2441" s="18"/>
      <c r="B2441" s="14">
        <f>IFERROR(__xludf.DUMMYFUNCTION("""COMPUTED_VALUE"""),1211412.0)</f>
        <v>1211412</v>
      </c>
      <c r="C2441" s="14" t="str">
        <f>IFERROR(__xludf.DUMMYFUNCTION("""COMPUTED_VALUE"""),"蔡秉宸")</f>
        <v>蔡秉宸</v>
      </c>
      <c r="D2441" s="16" t="str">
        <f>IFERROR(__xludf.DUMMYFUNCTION("""COMPUTED_VALUE"""),"s01*****@mail.edu.tw")</f>
        <v>s01*****@mail.edu.tw</v>
      </c>
      <c r="E2441" s="17" t="str">
        <f>IFERROR(__xludf.DUMMYFUNCTION("""COMPUTED_VALUE"""),"南投縣立埔里國民中學")</f>
        <v>南投縣立埔里國民中學</v>
      </c>
      <c r="F2441" s="14" t="str">
        <f>IFERROR(__xludf.DUMMYFUNCTION("""COMPUTED_VALUE"""),"九年級")</f>
        <v>九年級</v>
      </c>
      <c r="G2441" s="14" t="str">
        <f>IFERROR(__xludf.DUMMYFUNCTION("""COMPUTED_VALUE"""),"●小禮物")</f>
        <v>●小禮物</v>
      </c>
      <c r="H2441" s="8"/>
    </row>
    <row r="2442">
      <c r="A2442" s="18"/>
      <c r="B2442" s="14">
        <f>IFERROR(__xludf.DUMMYFUNCTION("""COMPUTED_VALUE"""),925432.0)</f>
        <v>925432</v>
      </c>
      <c r="C2442" s="14" t="str">
        <f>IFERROR(__xludf.DUMMYFUNCTION("""COMPUTED_VALUE"""),"鄭宇喬")</f>
        <v>鄭宇喬</v>
      </c>
      <c r="D2442" s="16" t="str">
        <f>IFERROR(__xludf.DUMMYFUNCTION("""COMPUTED_VALUE"""),"s01*****@mail.edu.tw")</f>
        <v>s01*****@mail.edu.tw</v>
      </c>
      <c r="E2442" s="17" t="str">
        <f>IFERROR(__xludf.DUMMYFUNCTION("""COMPUTED_VALUE"""),"南投縣立埔里國民中學")</f>
        <v>南投縣立埔里國民中學</v>
      </c>
      <c r="F2442" s="14" t="str">
        <f>IFERROR(__xludf.DUMMYFUNCTION("""COMPUTED_VALUE"""),"九年級")</f>
        <v>九年級</v>
      </c>
      <c r="G2442" s="14" t="str">
        <f>IFERROR(__xludf.DUMMYFUNCTION("""COMPUTED_VALUE"""),"●小禮物")</f>
        <v>●小禮物</v>
      </c>
      <c r="H2442" s="8"/>
    </row>
    <row r="2443">
      <c r="A2443" s="18"/>
      <c r="B2443" s="14">
        <f>IFERROR(__xludf.DUMMYFUNCTION("""COMPUTED_VALUE"""),1202108.0)</f>
        <v>1202108</v>
      </c>
      <c r="C2443" s="14" t="str">
        <f>IFERROR(__xludf.DUMMYFUNCTION("""COMPUTED_VALUE"""),"陳筱安")</f>
        <v>陳筱安</v>
      </c>
      <c r="D2443" s="16" t="str">
        <f>IFERROR(__xludf.DUMMYFUNCTION("""COMPUTED_VALUE"""),"109*****ljh.ntct.edu.tw")</f>
        <v>109*****ljh.ntct.edu.tw</v>
      </c>
      <c r="E2443" s="17" t="str">
        <f>IFERROR(__xludf.DUMMYFUNCTION("""COMPUTED_VALUE"""),"南投縣立埔里國民中學")</f>
        <v>南投縣立埔里國民中學</v>
      </c>
      <c r="F2443" s="14" t="str">
        <f>IFERROR(__xludf.DUMMYFUNCTION("""COMPUTED_VALUE"""),"九年級")</f>
        <v>九年級</v>
      </c>
      <c r="G2443" s="14" t="str">
        <f>IFERROR(__xludf.DUMMYFUNCTION("""COMPUTED_VALUE"""),"★禮券$200")</f>
        <v>★禮券$200</v>
      </c>
      <c r="H2443" s="8"/>
    </row>
    <row r="2444">
      <c r="A2444" s="18"/>
      <c r="B2444" s="14">
        <f>IFERROR(__xludf.DUMMYFUNCTION("""COMPUTED_VALUE"""),1202121.0)</f>
        <v>1202121</v>
      </c>
      <c r="C2444" s="14" t="str">
        <f>IFERROR(__xludf.DUMMYFUNCTION("""COMPUTED_VALUE"""),"王子豪")</f>
        <v>王子豪</v>
      </c>
      <c r="D2444" s="16" t="str">
        <f>IFERROR(__xludf.DUMMYFUNCTION("""COMPUTED_VALUE"""),"109*****ljh.ntct.edu.tw")</f>
        <v>109*****ljh.ntct.edu.tw</v>
      </c>
      <c r="E2444" s="17" t="str">
        <f>IFERROR(__xludf.DUMMYFUNCTION("""COMPUTED_VALUE"""),"南投縣立埔里國民中學")</f>
        <v>南投縣立埔里國民中學</v>
      </c>
      <c r="F2444" s="14" t="str">
        <f>IFERROR(__xludf.DUMMYFUNCTION("""COMPUTED_VALUE"""),"九年級")</f>
        <v>九年級</v>
      </c>
      <c r="G2444" s="14" t="str">
        <f>IFERROR(__xludf.DUMMYFUNCTION("""COMPUTED_VALUE"""),"獎狀")</f>
        <v>獎狀</v>
      </c>
      <c r="H2444" s="8"/>
    </row>
    <row r="2445">
      <c r="A2445" s="18"/>
      <c r="B2445" s="14">
        <f>IFERROR(__xludf.DUMMYFUNCTION("""COMPUTED_VALUE"""),1202122.0)</f>
        <v>1202122</v>
      </c>
      <c r="C2445" s="14" t="str">
        <f>IFERROR(__xludf.DUMMYFUNCTION("""COMPUTED_VALUE"""),"李宜霏")</f>
        <v>李宜霏</v>
      </c>
      <c r="D2445" s="16" t="str">
        <f>IFERROR(__xludf.DUMMYFUNCTION("""COMPUTED_VALUE"""),"109*****ljh.ntct.edu.tw")</f>
        <v>109*****ljh.ntct.edu.tw</v>
      </c>
      <c r="E2445" s="17" t="str">
        <f>IFERROR(__xludf.DUMMYFUNCTION("""COMPUTED_VALUE"""),"南投縣立埔里國民中學")</f>
        <v>南投縣立埔里國民中學</v>
      </c>
      <c r="F2445" s="14" t="str">
        <f>IFERROR(__xludf.DUMMYFUNCTION("""COMPUTED_VALUE"""),"九年級")</f>
        <v>九年級</v>
      </c>
      <c r="G2445" s="14" t="str">
        <f>IFERROR(__xludf.DUMMYFUNCTION("""COMPUTED_VALUE"""),"獎狀")</f>
        <v>獎狀</v>
      </c>
      <c r="H2445" s="8"/>
    </row>
    <row r="2446">
      <c r="A2446" s="18"/>
      <c r="B2446" s="14">
        <f>IFERROR(__xludf.DUMMYFUNCTION("""COMPUTED_VALUE"""),1211403.0)</f>
        <v>1211403</v>
      </c>
      <c r="C2446" s="14" t="str">
        <f>IFERROR(__xludf.DUMMYFUNCTION("""COMPUTED_VALUE"""),"沈霝")</f>
        <v>沈霝</v>
      </c>
      <c r="D2446" s="16" t="str">
        <f>IFERROR(__xludf.DUMMYFUNCTION("""COMPUTED_VALUE"""),"109*****ljh.ntct.edu.tw")</f>
        <v>109*****ljh.ntct.edu.tw</v>
      </c>
      <c r="E2446" s="17" t="str">
        <f>IFERROR(__xludf.DUMMYFUNCTION("""COMPUTED_VALUE"""),"南投縣立埔里國民中學")</f>
        <v>南投縣立埔里國民中學</v>
      </c>
      <c r="F2446" s="14" t="str">
        <f>IFERROR(__xludf.DUMMYFUNCTION("""COMPUTED_VALUE"""),"九年級")</f>
        <v>九年級</v>
      </c>
      <c r="G2446" s="14" t="str">
        <f>IFERROR(__xludf.DUMMYFUNCTION("""COMPUTED_VALUE"""),"獎狀")</f>
        <v>獎狀</v>
      </c>
      <c r="H2446" s="8"/>
    </row>
    <row r="2447">
      <c r="A2447" s="18"/>
      <c r="B2447" s="14">
        <f>IFERROR(__xludf.DUMMYFUNCTION("""COMPUTED_VALUE"""),1202106.0)</f>
        <v>1202106</v>
      </c>
      <c r="C2447" s="14" t="str">
        <f>IFERROR(__xludf.DUMMYFUNCTION("""COMPUTED_VALUE"""),"林宜蓁")</f>
        <v>林宜蓁</v>
      </c>
      <c r="D2447" s="16" t="str">
        <f>IFERROR(__xludf.DUMMYFUNCTION("""COMPUTED_VALUE"""),"s01*****@mail.edu.tw")</f>
        <v>s01*****@mail.edu.tw</v>
      </c>
      <c r="E2447" s="17" t="str">
        <f>IFERROR(__xludf.DUMMYFUNCTION("""COMPUTED_VALUE"""),"南投縣立埔里國民中學")</f>
        <v>南投縣立埔里國民中學</v>
      </c>
      <c r="F2447" s="14" t="str">
        <f>IFERROR(__xludf.DUMMYFUNCTION("""COMPUTED_VALUE"""),"九年級")</f>
        <v>九年級</v>
      </c>
      <c r="G2447" s="14" t="str">
        <f>IFERROR(__xludf.DUMMYFUNCTION("""COMPUTED_VALUE"""),"獎狀")</f>
        <v>獎狀</v>
      </c>
      <c r="H2447" s="8"/>
    </row>
    <row r="2448">
      <c r="A2448" s="18"/>
      <c r="B2448" s="14">
        <f>IFERROR(__xludf.DUMMYFUNCTION("""COMPUTED_VALUE"""),151869.0)</f>
        <v>151869</v>
      </c>
      <c r="C2448" s="14" t="str">
        <f>IFERROR(__xludf.DUMMYFUNCTION("""COMPUTED_VALUE"""),"陳禾濬")</f>
        <v>陳禾濬</v>
      </c>
      <c r="D2448" s="16" t="str">
        <f>IFERROR(__xludf.DUMMYFUNCTION("""COMPUTED_VALUE"""),"s01*****.ntct@mail.edu.tw")</f>
        <v>s01*****.ntct@mail.edu.tw</v>
      </c>
      <c r="E2448" s="17" t="str">
        <f>IFERROR(__xludf.DUMMYFUNCTION("""COMPUTED_VALUE"""),"南投縣立埔里國民中學")</f>
        <v>南投縣立埔里國民中學</v>
      </c>
      <c r="F2448" s="14" t="str">
        <f>IFERROR(__xludf.DUMMYFUNCTION("""COMPUTED_VALUE"""),"九年級")</f>
        <v>九年級</v>
      </c>
      <c r="G2448" s="14" t="str">
        <f>IFERROR(__xludf.DUMMYFUNCTION("""COMPUTED_VALUE"""),"獎狀")</f>
        <v>獎狀</v>
      </c>
      <c r="H2448" s="8"/>
    </row>
    <row r="2449">
      <c r="A2449" s="18"/>
      <c r="B2449" s="14">
        <f>IFERROR(__xludf.DUMMYFUNCTION("""COMPUTED_VALUE"""),1211413.0)</f>
        <v>1211413</v>
      </c>
      <c r="C2449" s="14" t="str">
        <f>IFERROR(__xludf.DUMMYFUNCTION("""COMPUTED_VALUE"""),"楊琇茗")</f>
        <v>楊琇茗</v>
      </c>
      <c r="D2449" s="16" t="str">
        <f>IFERROR(__xludf.DUMMYFUNCTION("""COMPUTED_VALUE"""),"109*****ljh.ntct.edu.tw")</f>
        <v>109*****ljh.ntct.edu.tw</v>
      </c>
      <c r="E2449" s="17" t="str">
        <f>IFERROR(__xludf.DUMMYFUNCTION("""COMPUTED_VALUE"""),"南投縣立埔里國民中學")</f>
        <v>南投縣立埔里國民中學</v>
      </c>
      <c r="F2449" s="14" t="str">
        <f>IFERROR(__xludf.DUMMYFUNCTION("""COMPUTED_VALUE"""),"九年級")</f>
        <v>九年級</v>
      </c>
      <c r="G2449" s="14" t="str">
        <f>IFERROR(__xludf.DUMMYFUNCTION("""COMPUTED_VALUE"""),"獎狀")</f>
        <v>獎狀</v>
      </c>
      <c r="H2449" s="8"/>
    </row>
    <row r="2450">
      <c r="A2450" s="18"/>
      <c r="B2450" s="14">
        <f>IFERROR(__xludf.DUMMYFUNCTION("""COMPUTED_VALUE"""),1202111.0)</f>
        <v>1202111</v>
      </c>
      <c r="C2450" s="14" t="str">
        <f>IFERROR(__xludf.DUMMYFUNCTION("""COMPUTED_VALUE"""),"劉香呈")</f>
        <v>劉香呈</v>
      </c>
      <c r="D2450" s="16" t="str">
        <f>IFERROR(__xludf.DUMMYFUNCTION("""COMPUTED_VALUE"""),"109*****ljh.ntct.edu.tw")</f>
        <v>109*****ljh.ntct.edu.tw</v>
      </c>
      <c r="E2450" s="17" t="str">
        <f>IFERROR(__xludf.DUMMYFUNCTION("""COMPUTED_VALUE"""),"南投縣立埔里國民中學")</f>
        <v>南投縣立埔里國民中學</v>
      </c>
      <c r="F2450" s="14" t="str">
        <f>IFERROR(__xludf.DUMMYFUNCTION("""COMPUTED_VALUE"""),"九年級")</f>
        <v>九年級</v>
      </c>
      <c r="G2450" s="14" t="str">
        <f>IFERROR(__xludf.DUMMYFUNCTION("""COMPUTED_VALUE"""),"獎狀")</f>
        <v>獎狀</v>
      </c>
      <c r="H2450" s="8"/>
    </row>
    <row r="2451">
      <c r="A2451" s="18"/>
      <c r="B2451" s="14">
        <f>IFERROR(__xludf.DUMMYFUNCTION("""COMPUTED_VALUE"""),1202098.0)</f>
        <v>1202098</v>
      </c>
      <c r="C2451" s="14" t="str">
        <f>IFERROR(__xludf.DUMMYFUNCTION("""COMPUTED_VALUE"""),"潘宣辰")</f>
        <v>潘宣辰</v>
      </c>
      <c r="D2451" s="16" t="str">
        <f>IFERROR(__xludf.DUMMYFUNCTION("""COMPUTED_VALUE"""),"109*****ljh.ntct.edu.tw")</f>
        <v>109*****ljh.ntct.edu.tw</v>
      </c>
      <c r="E2451" s="17" t="str">
        <f>IFERROR(__xludf.DUMMYFUNCTION("""COMPUTED_VALUE"""),"南投縣立埔里國民中學")</f>
        <v>南投縣立埔里國民中學</v>
      </c>
      <c r="F2451" s="14" t="str">
        <f>IFERROR(__xludf.DUMMYFUNCTION("""COMPUTED_VALUE"""),"九年級")</f>
        <v>九年級</v>
      </c>
      <c r="G2451" s="14" t="str">
        <f>IFERROR(__xludf.DUMMYFUNCTION("""COMPUTED_VALUE"""),"獎狀")</f>
        <v>獎狀</v>
      </c>
      <c r="H2451" s="8"/>
    </row>
    <row r="2452">
      <c r="A2452" s="18"/>
      <c r="B2452" s="14">
        <f>IFERROR(__xludf.DUMMYFUNCTION("""COMPUTED_VALUE"""),1202109.0)</f>
        <v>1202109</v>
      </c>
      <c r="C2452" s="14" t="str">
        <f>IFERROR(__xludf.DUMMYFUNCTION("""COMPUTED_VALUE"""),"潘羿均")</f>
        <v>潘羿均</v>
      </c>
      <c r="D2452" s="16" t="str">
        <f>IFERROR(__xludf.DUMMYFUNCTION("""COMPUTED_VALUE"""),"109*****ljh.ntct.edu.tw")</f>
        <v>109*****ljh.ntct.edu.tw</v>
      </c>
      <c r="E2452" s="17" t="str">
        <f>IFERROR(__xludf.DUMMYFUNCTION("""COMPUTED_VALUE"""),"南投縣立埔里國民中學")</f>
        <v>南投縣立埔里國民中學</v>
      </c>
      <c r="F2452" s="14" t="str">
        <f>IFERROR(__xludf.DUMMYFUNCTION("""COMPUTED_VALUE"""),"九年級")</f>
        <v>九年級</v>
      </c>
      <c r="G2452" s="14" t="str">
        <f>IFERROR(__xludf.DUMMYFUNCTION("""COMPUTED_VALUE"""),"獎狀")</f>
        <v>獎狀</v>
      </c>
      <c r="H2452" s="8"/>
    </row>
    <row r="2453">
      <c r="A2453" s="18"/>
      <c r="B2453" s="14">
        <f>IFERROR(__xludf.DUMMYFUNCTION("""COMPUTED_VALUE"""),1211410.0)</f>
        <v>1211410</v>
      </c>
      <c r="C2453" s="14" t="str">
        <f>IFERROR(__xludf.DUMMYFUNCTION("""COMPUTED_VALUE"""),"鄭博壬")</f>
        <v>鄭博壬</v>
      </c>
      <c r="D2453" s="16" t="str">
        <f>IFERROR(__xludf.DUMMYFUNCTION("""COMPUTED_VALUE"""),"s01*****@mail.edu.tw")</f>
        <v>s01*****@mail.edu.tw</v>
      </c>
      <c r="E2453" s="17" t="str">
        <f>IFERROR(__xludf.DUMMYFUNCTION("""COMPUTED_VALUE"""),"南投縣立埔里國民中學")</f>
        <v>南投縣立埔里國民中學</v>
      </c>
      <c r="F2453" s="14" t="str">
        <f>IFERROR(__xludf.DUMMYFUNCTION("""COMPUTED_VALUE"""),"九年級")</f>
        <v>九年級</v>
      </c>
      <c r="G2453" s="14" t="str">
        <f>IFERROR(__xludf.DUMMYFUNCTION("""COMPUTED_VALUE"""),"獎狀")</f>
        <v>獎狀</v>
      </c>
      <c r="H2453" s="8"/>
    </row>
    <row r="2454">
      <c r="A2454" s="18"/>
      <c r="B2454" s="14">
        <f>IFERROR(__xludf.DUMMYFUNCTION("""COMPUTED_VALUE"""),1184202.0)</f>
        <v>1184202</v>
      </c>
      <c r="C2454" s="14" t="str">
        <f>IFERROR(__xludf.DUMMYFUNCTION("""COMPUTED_VALUE"""),"施養正")</f>
        <v>施養正</v>
      </c>
      <c r="D2454" s="16" t="str">
        <f>IFERROR(__xludf.DUMMYFUNCTION("""COMPUTED_VALUE"""),"109*****ljh.ntct.edu.tw")</f>
        <v>109*****ljh.ntct.edu.tw</v>
      </c>
      <c r="E2454" s="17" t="str">
        <f>IFERROR(__xludf.DUMMYFUNCTION("""COMPUTED_VALUE"""),"南投縣立埔里國民中學")</f>
        <v>南投縣立埔里國民中學</v>
      </c>
      <c r="F2454" s="14" t="str">
        <f>IFERROR(__xludf.DUMMYFUNCTION("""COMPUTED_VALUE"""),"九年級")</f>
        <v>九年級</v>
      </c>
      <c r="G2454" s="14" t="str">
        <f>IFERROR(__xludf.DUMMYFUNCTION("""COMPUTED_VALUE"""),"●小禮物")</f>
        <v>●小禮物</v>
      </c>
      <c r="H2454" s="8"/>
    </row>
    <row r="2455">
      <c r="A2455" s="18"/>
      <c r="B2455" s="14">
        <f>IFERROR(__xludf.DUMMYFUNCTION("""COMPUTED_VALUE"""),1120385.0)</f>
        <v>1120385</v>
      </c>
      <c r="C2455" s="14" t="str">
        <f>IFERROR(__xludf.DUMMYFUNCTION("""COMPUTED_VALUE"""),"張証賀")</f>
        <v>張証賀</v>
      </c>
      <c r="D2455" s="16" t="str">
        <f>IFERROR(__xludf.DUMMYFUNCTION("""COMPUTED_VALUE"""),"109*****ljh.ntct.edu.tw")</f>
        <v>109*****ljh.ntct.edu.tw</v>
      </c>
      <c r="E2455" s="17" t="str">
        <f>IFERROR(__xludf.DUMMYFUNCTION("""COMPUTED_VALUE"""),"南投縣立埔里國民中學")</f>
        <v>南投縣立埔里國民中學</v>
      </c>
      <c r="F2455" s="14" t="str">
        <f>IFERROR(__xludf.DUMMYFUNCTION("""COMPUTED_VALUE"""),"九年級")</f>
        <v>九年級</v>
      </c>
      <c r="G2455" s="14" t="str">
        <f>IFERROR(__xludf.DUMMYFUNCTION("""COMPUTED_VALUE"""),"●小禮物")</f>
        <v>●小禮物</v>
      </c>
      <c r="H2455" s="8"/>
    </row>
    <row r="2456">
      <c r="A2456" s="18"/>
      <c r="B2456" s="14">
        <f>IFERROR(__xludf.DUMMYFUNCTION("""COMPUTED_VALUE"""),1184211.0)</f>
        <v>1184211</v>
      </c>
      <c r="C2456" s="14" t="str">
        <f>IFERROR(__xludf.DUMMYFUNCTION("""COMPUTED_VALUE"""),"梁宇璇")</f>
        <v>梁宇璇</v>
      </c>
      <c r="D2456" s="16" t="str">
        <f>IFERROR(__xludf.DUMMYFUNCTION("""COMPUTED_VALUE"""),"109*****ljh.ntct.edu.tw")</f>
        <v>109*****ljh.ntct.edu.tw</v>
      </c>
      <c r="E2456" s="17" t="str">
        <f>IFERROR(__xludf.DUMMYFUNCTION("""COMPUTED_VALUE"""),"南投縣立埔里國民中學")</f>
        <v>南投縣立埔里國民中學</v>
      </c>
      <c r="F2456" s="14" t="str">
        <f>IFERROR(__xludf.DUMMYFUNCTION("""COMPUTED_VALUE"""),"九年級")</f>
        <v>九年級</v>
      </c>
      <c r="G2456" s="14" t="str">
        <f>IFERROR(__xludf.DUMMYFUNCTION("""COMPUTED_VALUE"""),"●小禮物")</f>
        <v>●小禮物</v>
      </c>
      <c r="H2456" s="8"/>
    </row>
    <row r="2457">
      <c r="A2457" s="18"/>
      <c r="B2457" s="14">
        <f>IFERROR(__xludf.DUMMYFUNCTION("""COMPUTED_VALUE"""),1184189.0)</f>
        <v>1184189</v>
      </c>
      <c r="C2457" s="14" t="str">
        <f>IFERROR(__xludf.DUMMYFUNCTION("""COMPUTED_VALUE"""),"粘怡君")</f>
        <v>粘怡君</v>
      </c>
      <c r="D2457" s="16" t="str">
        <f>IFERROR(__xludf.DUMMYFUNCTION("""COMPUTED_VALUE"""),"109*****ljh.ntct.edu.tw")</f>
        <v>109*****ljh.ntct.edu.tw</v>
      </c>
      <c r="E2457" s="17" t="str">
        <f>IFERROR(__xludf.DUMMYFUNCTION("""COMPUTED_VALUE"""),"南投縣立埔里國民中學")</f>
        <v>南投縣立埔里國民中學</v>
      </c>
      <c r="F2457" s="14" t="str">
        <f>IFERROR(__xludf.DUMMYFUNCTION("""COMPUTED_VALUE"""),"九年級")</f>
        <v>九年級</v>
      </c>
      <c r="G2457" s="14" t="str">
        <f>IFERROR(__xludf.DUMMYFUNCTION("""COMPUTED_VALUE"""),"●小禮物")</f>
        <v>●小禮物</v>
      </c>
      <c r="H2457" s="8"/>
    </row>
    <row r="2458">
      <c r="A2458" s="18"/>
      <c r="B2458" s="14">
        <f>IFERROR(__xludf.DUMMYFUNCTION("""COMPUTED_VALUE"""),1184197.0)</f>
        <v>1184197</v>
      </c>
      <c r="C2458" s="14" t="str">
        <f>IFERROR(__xludf.DUMMYFUNCTION("""COMPUTED_VALUE"""),"郭泓佑")</f>
        <v>郭泓佑</v>
      </c>
      <c r="D2458" s="16" t="str">
        <f>IFERROR(__xludf.DUMMYFUNCTION("""COMPUTED_VALUE"""),"109*****ljh.ntct.edu.tw")</f>
        <v>109*****ljh.ntct.edu.tw</v>
      </c>
      <c r="E2458" s="17" t="str">
        <f>IFERROR(__xludf.DUMMYFUNCTION("""COMPUTED_VALUE"""),"南投縣立埔里國民中學")</f>
        <v>南投縣立埔里國民中學</v>
      </c>
      <c r="F2458" s="14" t="str">
        <f>IFERROR(__xludf.DUMMYFUNCTION("""COMPUTED_VALUE"""),"九年級")</f>
        <v>九年級</v>
      </c>
      <c r="G2458" s="14" t="str">
        <f>IFERROR(__xludf.DUMMYFUNCTION("""COMPUTED_VALUE"""),"●小禮物")</f>
        <v>●小禮物</v>
      </c>
      <c r="H2458" s="8"/>
    </row>
    <row r="2459">
      <c r="A2459" s="18"/>
      <c r="B2459" s="14">
        <f>IFERROR(__xludf.DUMMYFUNCTION("""COMPUTED_VALUE"""),1184210.0)</f>
        <v>1184210</v>
      </c>
      <c r="C2459" s="14" t="str">
        <f>IFERROR(__xludf.DUMMYFUNCTION("""COMPUTED_VALUE"""),"郭晉誠")</f>
        <v>郭晉誠</v>
      </c>
      <c r="D2459" s="16" t="str">
        <f>IFERROR(__xludf.DUMMYFUNCTION("""COMPUTED_VALUE"""),"109*****ljh.ntct.edu.tw")</f>
        <v>109*****ljh.ntct.edu.tw</v>
      </c>
      <c r="E2459" s="17" t="str">
        <f>IFERROR(__xludf.DUMMYFUNCTION("""COMPUTED_VALUE"""),"南投縣立埔里國民中學")</f>
        <v>南投縣立埔里國民中學</v>
      </c>
      <c r="F2459" s="14" t="str">
        <f>IFERROR(__xludf.DUMMYFUNCTION("""COMPUTED_VALUE"""),"九年級")</f>
        <v>九年級</v>
      </c>
      <c r="G2459" s="14" t="str">
        <f>IFERROR(__xludf.DUMMYFUNCTION("""COMPUTED_VALUE"""),"●小禮物")</f>
        <v>●小禮物</v>
      </c>
      <c r="H2459" s="8"/>
    </row>
    <row r="2460">
      <c r="A2460" s="18"/>
      <c r="B2460" s="14">
        <f>IFERROR(__xludf.DUMMYFUNCTION("""COMPUTED_VALUE"""),1184192.0)</f>
        <v>1184192</v>
      </c>
      <c r="C2460" s="14" t="str">
        <f>IFERROR(__xludf.DUMMYFUNCTION("""COMPUTED_VALUE"""),"陳政宏")</f>
        <v>陳政宏</v>
      </c>
      <c r="D2460" s="16" t="str">
        <f>IFERROR(__xludf.DUMMYFUNCTION("""COMPUTED_VALUE"""),"109*****ljh.ntct.edu.tw")</f>
        <v>109*****ljh.ntct.edu.tw</v>
      </c>
      <c r="E2460" s="17" t="str">
        <f>IFERROR(__xludf.DUMMYFUNCTION("""COMPUTED_VALUE"""),"南投縣立埔里國民中學")</f>
        <v>南投縣立埔里國民中學</v>
      </c>
      <c r="F2460" s="14" t="str">
        <f>IFERROR(__xludf.DUMMYFUNCTION("""COMPUTED_VALUE"""),"九年級")</f>
        <v>九年級</v>
      </c>
      <c r="G2460" s="14" t="str">
        <f>IFERROR(__xludf.DUMMYFUNCTION("""COMPUTED_VALUE"""),"●小禮物")</f>
        <v>●小禮物</v>
      </c>
      <c r="H2460" s="8"/>
    </row>
    <row r="2461">
      <c r="A2461" s="18"/>
      <c r="B2461" s="14">
        <f>IFERROR(__xludf.DUMMYFUNCTION("""COMPUTED_VALUE"""),1184159.0)</f>
        <v>1184159</v>
      </c>
      <c r="C2461" s="14" t="str">
        <f>IFERROR(__xludf.DUMMYFUNCTION("""COMPUTED_VALUE"""),"陳鴻均")</f>
        <v>陳鴻均</v>
      </c>
      <c r="D2461" s="16" t="str">
        <f>IFERROR(__xludf.DUMMYFUNCTION("""COMPUTED_VALUE"""),"s01*****@mail.edu.tw")</f>
        <v>s01*****@mail.edu.tw</v>
      </c>
      <c r="E2461" s="17" t="str">
        <f>IFERROR(__xludf.DUMMYFUNCTION("""COMPUTED_VALUE"""),"南投縣立埔里國民中學")</f>
        <v>南投縣立埔里國民中學</v>
      </c>
      <c r="F2461" s="14" t="str">
        <f>IFERROR(__xludf.DUMMYFUNCTION("""COMPUTED_VALUE"""),"九年級")</f>
        <v>九年級</v>
      </c>
      <c r="G2461" s="14" t="str">
        <f>IFERROR(__xludf.DUMMYFUNCTION("""COMPUTED_VALUE"""),"●小禮物")</f>
        <v>●小禮物</v>
      </c>
      <c r="H2461" s="8"/>
    </row>
    <row r="2462">
      <c r="A2462" s="18"/>
      <c r="B2462" s="14">
        <f>IFERROR(__xludf.DUMMYFUNCTION("""COMPUTED_VALUE"""),1184206.0)</f>
        <v>1184206</v>
      </c>
      <c r="C2462" s="14" t="str">
        <f>IFERROR(__xludf.DUMMYFUNCTION("""COMPUTED_VALUE"""),"彭宥淳")</f>
        <v>彭宥淳</v>
      </c>
      <c r="D2462" s="16" t="str">
        <f>IFERROR(__xludf.DUMMYFUNCTION("""COMPUTED_VALUE"""),"109*****ljh.ntct.edu.tw")</f>
        <v>109*****ljh.ntct.edu.tw</v>
      </c>
      <c r="E2462" s="17" t="str">
        <f>IFERROR(__xludf.DUMMYFUNCTION("""COMPUTED_VALUE"""),"南投縣立埔里國民中學")</f>
        <v>南投縣立埔里國民中學</v>
      </c>
      <c r="F2462" s="14" t="str">
        <f>IFERROR(__xludf.DUMMYFUNCTION("""COMPUTED_VALUE"""),"九年級")</f>
        <v>九年級</v>
      </c>
      <c r="G2462" s="14" t="str">
        <f>IFERROR(__xludf.DUMMYFUNCTION("""COMPUTED_VALUE"""),"●小禮物")</f>
        <v>●小禮物</v>
      </c>
      <c r="H2462" s="8"/>
    </row>
    <row r="2463">
      <c r="A2463" s="18"/>
      <c r="B2463" s="14">
        <f>IFERROR(__xludf.DUMMYFUNCTION("""COMPUTED_VALUE"""),1184160.0)</f>
        <v>1184160</v>
      </c>
      <c r="C2463" s="14" t="str">
        <f>IFERROR(__xludf.DUMMYFUNCTION("""COMPUTED_VALUE"""),"黃韻璇")</f>
        <v>黃韻璇</v>
      </c>
      <c r="D2463" s="16" t="str">
        <f>IFERROR(__xludf.DUMMYFUNCTION("""COMPUTED_VALUE"""),"109*****ljh.ntct.edu.tw")</f>
        <v>109*****ljh.ntct.edu.tw</v>
      </c>
      <c r="E2463" s="17" t="str">
        <f>IFERROR(__xludf.DUMMYFUNCTION("""COMPUTED_VALUE"""),"南投縣立埔里國民中學")</f>
        <v>南投縣立埔里國民中學</v>
      </c>
      <c r="F2463" s="14" t="str">
        <f>IFERROR(__xludf.DUMMYFUNCTION("""COMPUTED_VALUE"""),"九年級")</f>
        <v>九年級</v>
      </c>
      <c r="G2463" s="14" t="str">
        <f>IFERROR(__xludf.DUMMYFUNCTION("""COMPUTED_VALUE"""),"●小禮物")</f>
        <v>●小禮物</v>
      </c>
      <c r="H2463" s="8"/>
    </row>
    <row r="2464">
      <c r="A2464" s="18"/>
      <c r="B2464" s="14">
        <f>IFERROR(__xludf.DUMMYFUNCTION("""COMPUTED_VALUE"""),1184237.0)</f>
        <v>1184237</v>
      </c>
      <c r="C2464" s="14" t="str">
        <f>IFERROR(__xludf.DUMMYFUNCTION("""COMPUTED_VALUE"""),"劉聿凌")</f>
        <v>劉聿凌</v>
      </c>
      <c r="D2464" s="16" t="str">
        <f>IFERROR(__xludf.DUMMYFUNCTION("""COMPUTED_VALUE"""),"rae*****217@go.edu.tw")</f>
        <v>rae*****217@go.edu.tw</v>
      </c>
      <c r="E2464" s="17" t="str">
        <f>IFERROR(__xludf.DUMMYFUNCTION("""COMPUTED_VALUE"""),"南投縣立埔里國民中學")</f>
        <v>南投縣立埔里國民中學</v>
      </c>
      <c r="F2464" s="14" t="str">
        <f>IFERROR(__xludf.DUMMYFUNCTION("""COMPUTED_VALUE"""),"九年級")</f>
        <v>九年級</v>
      </c>
      <c r="G2464" s="14" t="str">
        <f>IFERROR(__xludf.DUMMYFUNCTION("""COMPUTED_VALUE"""),"●小禮物")</f>
        <v>●小禮物</v>
      </c>
      <c r="H2464" s="8"/>
    </row>
    <row r="2465">
      <c r="A2465" s="18"/>
      <c r="B2465" s="14">
        <f>IFERROR(__xludf.DUMMYFUNCTION("""COMPUTED_VALUE"""),1184201.0)</f>
        <v>1184201</v>
      </c>
      <c r="C2465" s="14" t="str">
        <f>IFERROR(__xludf.DUMMYFUNCTION("""COMPUTED_VALUE"""),"劉哲安")</f>
        <v>劉哲安</v>
      </c>
      <c r="D2465" s="16" t="str">
        <f>IFERROR(__xludf.DUMMYFUNCTION("""COMPUTED_VALUE"""),"109*****ljh.ntct.edu.tw")</f>
        <v>109*****ljh.ntct.edu.tw</v>
      </c>
      <c r="E2465" s="17" t="str">
        <f>IFERROR(__xludf.DUMMYFUNCTION("""COMPUTED_VALUE"""),"南投縣立埔里國民中學")</f>
        <v>南投縣立埔里國民中學</v>
      </c>
      <c r="F2465" s="14" t="str">
        <f>IFERROR(__xludf.DUMMYFUNCTION("""COMPUTED_VALUE"""),"九年級")</f>
        <v>九年級</v>
      </c>
      <c r="G2465" s="14" t="str">
        <f>IFERROR(__xludf.DUMMYFUNCTION("""COMPUTED_VALUE"""),"●小禮物")</f>
        <v>●小禮物</v>
      </c>
      <c r="H2465" s="8"/>
    </row>
    <row r="2466">
      <c r="A2466" s="18"/>
      <c r="B2466" s="14">
        <f>IFERROR(__xludf.DUMMYFUNCTION("""COMPUTED_VALUE"""),1184205.0)</f>
        <v>1184205</v>
      </c>
      <c r="C2466" s="14" t="str">
        <f>IFERROR(__xludf.DUMMYFUNCTION("""COMPUTED_VALUE"""),"蔡崙")</f>
        <v>蔡崙</v>
      </c>
      <c r="D2466" s="16" t="str">
        <f>IFERROR(__xludf.DUMMYFUNCTION("""COMPUTED_VALUE"""),"109*****ljh.ntct.edu.tw")</f>
        <v>109*****ljh.ntct.edu.tw</v>
      </c>
      <c r="E2466" s="17" t="str">
        <f>IFERROR(__xludf.DUMMYFUNCTION("""COMPUTED_VALUE"""),"南投縣立埔里國民中學")</f>
        <v>南投縣立埔里國民中學</v>
      </c>
      <c r="F2466" s="14" t="str">
        <f>IFERROR(__xludf.DUMMYFUNCTION("""COMPUTED_VALUE"""),"九年級")</f>
        <v>九年級</v>
      </c>
      <c r="G2466" s="14" t="str">
        <f>IFERROR(__xludf.DUMMYFUNCTION("""COMPUTED_VALUE"""),"●小禮物")</f>
        <v>●小禮物</v>
      </c>
      <c r="H2466" s="8"/>
    </row>
    <row r="2467">
      <c r="A2467" s="18"/>
      <c r="B2467" s="14">
        <f>IFERROR(__xludf.DUMMYFUNCTION("""COMPUTED_VALUE"""),1196980.0)</f>
        <v>1196980</v>
      </c>
      <c r="C2467" s="14" t="str">
        <f>IFERROR(__xludf.DUMMYFUNCTION("""COMPUTED_VALUE"""),"徐沛妘")</f>
        <v>徐沛妘</v>
      </c>
      <c r="D2467" s="16" t="str">
        <f>IFERROR(__xludf.DUMMYFUNCTION("""COMPUTED_VALUE"""),"109*****ljh.ntct.edu.tw")</f>
        <v>109*****ljh.ntct.edu.tw</v>
      </c>
      <c r="E2467" s="17" t="str">
        <f>IFERROR(__xludf.DUMMYFUNCTION("""COMPUTED_VALUE"""),"南投縣立埔里國民中學")</f>
        <v>南投縣立埔里國民中學</v>
      </c>
      <c r="F2467" s="14" t="str">
        <f>IFERROR(__xludf.DUMMYFUNCTION("""COMPUTED_VALUE"""),"九年級")</f>
        <v>九年級</v>
      </c>
      <c r="G2467" s="14" t="str">
        <f>IFERROR(__xludf.DUMMYFUNCTION("""COMPUTED_VALUE"""),"★禮券$200")</f>
        <v>★禮券$200</v>
      </c>
      <c r="H2467" s="8"/>
    </row>
    <row r="2468">
      <c r="A2468" s="18"/>
      <c r="B2468" s="14">
        <f>IFERROR(__xludf.DUMMYFUNCTION("""COMPUTED_VALUE"""),1184203.0)</f>
        <v>1184203</v>
      </c>
      <c r="C2468" s="14" t="str">
        <f>IFERROR(__xludf.DUMMYFUNCTION("""COMPUTED_VALUE"""),"葉芊妤")</f>
        <v>葉芊妤</v>
      </c>
      <c r="D2468" s="16" t="str">
        <f>IFERROR(__xludf.DUMMYFUNCTION("""COMPUTED_VALUE"""),"109*****ljh.ntct.edu.tw")</f>
        <v>109*****ljh.ntct.edu.tw</v>
      </c>
      <c r="E2468" s="17" t="str">
        <f>IFERROR(__xludf.DUMMYFUNCTION("""COMPUTED_VALUE"""),"南投縣立埔里國民中學")</f>
        <v>南投縣立埔里國民中學</v>
      </c>
      <c r="F2468" s="14" t="str">
        <f>IFERROR(__xludf.DUMMYFUNCTION("""COMPUTED_VALUE"""),"九年級")</f>
        <v>九年級</v>
      </c>
      <c r="G2468" s="14" t="str">
        <f>IFERROR(__xludf.DUMMYFUNCTION("""COMPUTED_VALUE"""),"★禮券$200")</f>
        <v>★禮券$200</v>
      </c>
      <c r="H2468" s="8"/>
    </row>
    <row r="2469">
      <c r="A2469" s="18"/>
      <c r="B2469" s="14">
        <f>IFERROR(__xludf.DUMMYFUNCTION("""COMPUTED_VALUE"""),1196967.0)</f>
        <v>1196967</v>
      </c>
      <c r="C2469" s="14" t="str">
        <f>IFERROR(__xludf.DUMMYFUNCTION("""COMPUTED_VALUE"""),"乃予勤")</f>
        <v>乃予勤</v>
      </c>
      <c r="D2469" s="16" t="str">
        <f>IFERROR(__xludf.DUMMYFUNCTION("""COMPUTED_VALUE"""),"109*****ljh.ntct.edu.tw")</f>
        <v>109*****ljh.ntct.edu.tw</v>
      </c>
      <c r="E2469" s="17" t="str">
        <f>IFERROR(__xludf.DUMMYFUNCTION("""COMPUTED_VALUE"""),"南投縣立埔里國民中學")</f>
        <v>南投縣立埔里國民中學</v>
      </c>
      <c r="F2469" s="14" t="str">
        <f>IFERROR(__xludf.DUMMYFUNCTION("""COMPUTED_VALUE"""),"九年級")</f>
        <v>九年級</v>
      </c>
      <c r="G2469" s="14" t="str">
        <f>IFERROR(__xludf.DUMMYFUNCTION("""COMPUTED_VALUE"""),"獎狀")</f>
        <v>獎狀</v>
      </c>
      <c r="H2469" s="8"/>
    </row>
    <row r="2470">
      <c r="A2470" s="18"/>
      <c r="B2470" s="14">
        <f>IFERROR(__xludf.DUMMYFUNCTION("""COMPUTED_VALUE"""),1184187.0)</f>
        <v>1184187</v>
      </c>
      <c r="C2470" s="14" t="str">
        <f>IFERROR(__xludf.DUMMYFUNCTION("""COMPUTED_VALUE"""),"王愷駿")</f>
        <v>王愷駿</v>
      </c>
      <c r="D2470" s="16" t="str">
        <f>IFERROR(__xludf.DUMMYFUNCTION("""COMPUTED_VALUE"""),"109*****ljh.ntct.edu.tw")</f>
        <v>109*****ljh.ntct.edu.tw</v>
      </c>
      <c r="E2470" s="17" t="str">
        <f>IFERROR(__xludf.DUMMYFUNCTION("""COMPUTED_VALUE"""),"南投縣立埔里國民中學")</f>
        <v>南投縣立埔里國民中學</v>
      </c>
      <c r="F2470" s="14" t="str">
        <f>IFERROR(__xludf.DUMMYFUNCTION("""COMPUTED_VALUE"""),"九年級")</f>
        <v>九年級</v>
      </c>
      <c r="G2470" s="14" t="str">
        <f>IFERROR(__xludf.DUMMYFUNCTION("""COMPUTED_VALUE"""),"獎狀")</f>
        <v>獎狀</v>
      </c>
      <c r="H2470" s="8"/>
    </row>
    <row r="2471">
      <c r="A2471" s="18"/>
      <c r="B2471" s="14">
        <f>IFERROR(__xludf.DUMMYFUNCTION("""COMPUTED_VALUE"""),1184188.0)</f>
        <v>1184188</v>
      </c>
      <c r="C2471" s="14" t="str">
        <f>IFERROR(__xludf.DUMMYFUNCTION("""COMPUTED_VALUE"""),"林俊熙")</f>
        <v>林俊熙</v>
      </c>
      <c r="D2471" s="16" t="str">
        <f>IFERROR(__xludf.DUMMYFUNCTION("""COMPUTED_VALUE"""),"109*****ljh.ntct.edu.tw")</f>
        <v>109*****ljh.ntct.edu.tw</v>
      </c>
      <c r="E2471" s="17" t="str">
        <f>IFERROR(__xludf.DUMMYFUNCTION("""COMPUTED_VALUE"""),"南投縣立埔里國民中學")</f>
        <v>南投縣立埔里國民中學</v>
      </c>
      <c r="F2471" s="14" t="str">
        <f>IFERROR(__xludf.DUMMYFUNCTION("""COMPUTED_VALUE"""),"九年級")</f>
        <v>九年級</v>
      </c>
      <c r="G2471" s="14" t="str">
        <f>IFERROR(__xludf.DUMMYFUNCTION("""COMPUTED_VALUE"""),"獎狀")</f>
        <v>獎狀</v>
      </c>
      <c r="H2471" s="8"/>
    </row>
    <row r="2472">
      <c r="A2472" s="18"/>
      <c r="B2472" s="14">
        <f>IFERROR(__xludf.DUMMYFUNCTION("""COMPUTED_VALUE"""),1184195.0)</f>
        <v>1184195</v>
      </c>
      <c r="C2472" s="14" t="str">
        <f>IFERROR(__xludf.DUMMYFUNCTION("""COMPUTED_VALUE"""),"林悅銓")</f>
        <v>林悅銓</v>
      </c>
      <c r="D2472" s="16" t="str">
        <f>IFERROR(__xludf.DUMMYFUNCTION("""COMPUTED_VALUE"""),"109*****ljh.ntct.edu.tw")</f>
        <v>109*****ljh.ntct.edu.tw</v>
      </c>
      <c r="E2472" s="17" t="str">
        <f>IFERROR(__xludf.DUMMYFUNCTION("""COMPUTED_VALUE"""),"南投縣立埔里國民中學")</f>
        <v>南投縣立埔里國民中學</v>
      </c>
      <c r="F2472" s="14" t="str">
        <f>IFERROR(__xludf.DUMMYFUNCTION("""COMPUTED_VALUE"""),"九年級")</f>
        <v>九年級</v>
      </c>
      <c r="G2472" s="14" t="str">
        <f>IFERROR(__xludf.DUMMYFUNCTION("""COMPUTED_VALUE"""),"獎狀")</f>
        <v>獎狀</v>
      </c>
      <c r="H2472" s="8"/>
    </row>
    <row r="2473">
      <c r="A2473" s="18"/>
      <c r="B2473" s="14">
        <f>IFERROR(__xludf.DUMMYFUNCTION("""COMPUTED_VALUE"""),1184199.0)</f>
        <v>1184199</v>
      </c>
      <c r="C2473" s="14" t="str">
        <f>IFERROR(__xludf.DUMMYFUNCTION("""COMPUTED_VALUE"""),"林祐霆")</f>
        <v>林祐霆</v>
      </c>
      <c r="D2473" s="16" t="str">
        <f>IFERROR(__xludf.DUMMYFUNCTION("""COMPUTED_VALUE"""),"109*****ljh.ntct.edu.tw")</f>
        <v>109*****ljh.ntct.edu.tw</v>
      </c>
      <c r="E2473" s="17" t="str">
        <f>IFERROR(__xludf.DUMMYFUNCTION("""COMPUTED_VALUE"""),"南投縣立埔里國民中學")</f>
        <v>南投縣立埔里國民中學</v>
      </c>
      <c r="F2473" s="14" t="str">
        <f>IFERROR(__xludf.DUMMYFUNCTION("""COMPUTED_VALUE"""),"九年級")</f>
        <v>九年級</v>
      </c>
      <c r="G2473" s="14" t="str">
        <f>IFERROR(__xludf.DUMMYFUNCTION("""COMPUTED_VALUE"""),"獎狀")</f>
        <v>獎狀</v>
      </c>
      <c r="H2473" s="8"/>
    </row>
    <row r="2474">
      <c r="A2474" s="18"/>
      <c r="B2474" s="14">
        <f>IFERROR(__xludf.DUMMYFUNCTION("""COMPUTED_VALUE"""),1184186.0)</f>
        <v>1184186</v>
      </c>
      <c r="C2474" s="14" t="str">
        <f>IFERROR(__xludf.DUMMYFUNCTION("""COMPUTED_VALUE"""),"許博芸")</f>
        <v>許博芸</v>
      </c>
      <c r="D2474" s="16" t="str">
        <f>IFERROR(__xludf.DUMMYFUNCTION("""COMPUTED_VALUE"""),"109*****ljh.ntct.edu.tw")</f>
        <v>109*****ljh.ntct.edu.tw</v>
      </c>
      <c r="E2474" s="17" t="str">
        <f>IFERROR(__xludf.DUMMYFUNCTION("""COMPUTED_VALUE"""),"南投縣立埔里國民中學")</f>
        <v>南投縣立埔里國民中學</v>
      </c>
      <c r="F2474" s="14" t="str">
        <f>IFERROR(__xludf.DUMMYFUNCTION("""COMPUTED_VALUE"""),"九年級")</f>
        <v>九年級</v>
      </c>
      <c r="G2474" s="14" t="str">
        <f>IFERROR(__xludf.DUMMYFUNCTION("""COMPUTED_VALUE"""),"獎狀")</f>
        <v>獎狀</v>
      </c>
      <c r="H2474" s="8"/>
    </row>
    <row r="2475">
      <c r="A2475" s="18"/>
      <c r="B2475" s="14">
        <f>IFERROR(__xludf.DUMMYFUNCTION("""COMPUTED_VALUE"""),1184161.0)</f>
        <v>1184161</v>
      </c>
      <c r="C2475" s="14" t="str">
        <f>IFERROR(__xludf.DUMMYFUNCTION("""COMPUTED_VALUE"""),"游昌宥")</f>
        <v>游昌宥</v>
      </c>
      <c r="D2475" s="16" t="str">
        <f>IFERROR(__xludf.DUMMYFUNCTION("""COMPUTED_VALUE"""),"109*****ljh.ntct.edu.tw")</f>
        <v>109*****ljh.ntct.edu.tw</v>
      </c>
      <c r="E2475" s="17" t="str">
        <f>IFERROR(__xludf.DUMMYFUNCTION("""COMPUTED_VALUE"""),"南投縣立埔里國民中學")</f>
        <v>南投縣立埔里國民中學</v>
      </c>
      <c r="F2475" s="14" t="str">
        <f>IFERROR(__xludf.DUMMYFUNCTION("""COMPUTED_VALUE"""),"九年級")</f>
        <v>九年級</v>
      </c>
      <c r="G2475" s="14" t="str">
        <f>IFERROR(__xludf.DUMMYFUNCTION("""COMPUTED_VALUE"""),"獎狀")</f>
        <v>獎狀</v>
      </c>
      <c r="H2475" s="8"/>
    </row>
    <row r="2476">
      <c r="A2476" s="18"/>
      <c r="B2476" s="14">
        <f>IFERROR(__xludf.DUMMYFUNCTION("""COMPUTED_VALUE"""),1184208.0)</f>
        <v>1184208</v>
      </c>
      <c r="C2476" s="14" t="str">
        <f>IFERROR(__xludf.DUMMYFUNCTION("""COMPUTED_VALUE"""),"劉亭妤")</f>
        <v>劉亭妤</v>
      </c>
      <c r="D2476" s="16" t="str">
        <f>IFERROR(__xludf.DUMMYFUNCTION("""COMPUTED_VALUE"""),"109*****ljh.ntct.edu.tw")</f>
        <v>109*****ljh.ntct.edu.tw</v>
      </c>
      <c r="E2476" s="17" t="str">
        <f>IFERROR(__xludf.DUMMYFUNCTION("""COMPUTED_VALUE"""),"南投縣立埔里國民中學")</f>
        <v>南投縣立埔里國民中學</v>
      </c>
      <c r="F2476" s="14" t="str">
        <f>IFERROR(__xludf.DUMMYFUNCTION("""COMPUTED_VALUE"""),"九年級")</f>
        <v>九年級</v>
      </c>
      <c r="G2476" s="14" t="str">
        <f>IFERROR(__xludf.DUMMYFUNCTION("""COMPUTED_VALUE"""),"獎狀")</f>
        <v>獎狀</v>
      </c>
      <c r="H2476" s="8"/>
    </row>
    <row r="2477">
      <c r="A2477" s="18"/>
      <c r="B2477" s="14">
        <f>IFERROR(__xludf.DUMMYFUNCTION("""COMPUTED_VALUE"""),1184193.0)</f>
        <v>1184193</v>
      </c>
      <c r="C2477" s="14" t="str">
        <f>IFERROR(__xludf.DUMMYFUNCTION("""COMPUTED_VALUE"""),"劉姵妏")</f>
        <v>劉姵妏</v>
      </c>
      <c r="D2477" s="16" t="str">
        <f>IFERROR(__xludf.DUMMYFUNCTION("""COMPUTED_VALUE"""),"109*****ljh.ntct.edu.tw")</f>
        <v>109*****ljh.ntct.edu.tw</v>
      </c>
      <c r="E2477" s="17" t="str">
        <f>IFERROR(__xludf.DUMMYFUNCTION("""COMPUTED_VALUE"""),"南投縣立埔里國民中學")</f>
        <v>南投縣立埔里國民中學</v>
      </c>
      <c r="F2477" s="14" t="str">
        <f>IFERROR(__xludf.DUMMYFUNCTION("""COMPUTED_VALUE"""),"九年級")</f>
        <v>九年級</v>
      </c>
      <c r="G2477" s="14" t="str">
        <f>IFERROR(__xludf.DUMMYFUNCTION("""COMPUTED_VALUE"""),"獎狀")</f>
        <v>獎狀</v>
      </c>
      <c r="H2477" s="8"/>
    </row>
    <row r="2478">
      <c r="A2478" s="18"/>
      <c r="B2478" s="14">
        <f>IFERROR(__xludf.DUMMYFUNCTION("""COMPUTED_VALUE"""),1195254.0)</f>
        <v>1195254</v>
      </c>
      <c r="C2478" s="14" t="str">
        <f>IFERROR(__xludf.DUMMYFUNCTION("""COMPUTED_VALUE"""),"張芷芸")</f>
        <v>張芷芸</v>
      </c>
      <c r="D2478" s="16" t="str">
        <f>IFERROR(__xludf.DUMMYFUNCTION("""COMPUTED_VALUE"""),"109*****ljh.ntct.edu.tw")</f>
        <v>109*****ljh.ntct.edu.tw</v>
      </c>
      <c r="E2478" s="17" t="str">
        <f>IFERROR(__xludf.DUMMYFUNCTION("""COMPUTED_VALUE"""),"南投縣立埔里國民中學")</f>
        <v>南投縣立埔里國民中學</v>
      </c>
      <c r="F2478" s="14" t="str">
        <f>IFERROR(__xludf.DUMMYFUNCTION("""COMPUTED_VALUE"""),"九年級")</f>
        <v>九年級</v>
      </c>
      <c r="G2478" s="14" t="str">
        <f>IFERROR(__xludf.DUMMYFUNCTION("""COMPUTED_VALUE"""),"●小禮物")</f>
        <v>●小禮物</v>
      </c>
      <c r="H2478" s="8"/>
    </row>
    <row r="2479">
      <c r="A2479" s="18"/>
      <c r="B2479" s="14">
        <f>IFERROR(__xludf.DUMMYFUNCTION("""COMPUTED_VALUE"""),1195256.0)</f>
        <v>1195256</v>
      </c>
      <c r="C2479" s="14" t="str">
        <f>IFERROR(__xludf.DUMMYFUNCTION("""COMPUTED_VALUE"""),"陳姵詩")</f>
        <v>陳姵詩</v>
      </c>
      <c r="D2479" s="16" t="str">
        <f>IFERROR(__xludf.DUMMYFUNCTION("""COMPUTED_VALUE"""),"109*****ljh.ntct.edu.tw")</f>
        <v>109*****ljh.ntct.edu.tw</v>
      </c>
      <c r="E2479" s="17" t="str">
        <f>IFERROR(__xludf.DUMMYFUNCTION("""COMPUTED_VALUE"""),"南投縣立埔里國民中學")</f>
        <v>南投縣立埔里國民中學</v>
      </c>
      <c r="F2479" s="14" t="str">
        <f>IFERROR(__xludf.DUMMYFUNCTION("""COMPUTED_VALUE"""),"九年級")</f>
        <v>九年級</v>
      </c>
      <c r="G2479" s="14" t="str">
        <f>IFERROR(__xludf.DUMMYFUNCTION("""COMPUTED_VALUE"""),"●小禮物")</f>
        <v>●小禮物</v>
      </c>
      <c r="H2479" s="8"/>
    </row>
    <row r="2480">
      <c r="A2480" s="18"/>
      <c r="B2480" s="14">
        <f>IFERROR(__xludf.DUMMYFUNCTION("""COMPUTED_VALUE"""),1195252.0)</f>
        <v>1195252</v>
      </c>
      <c r="C2480" s="14" t="str">
        <f>IFERROR(__xludf.DUMMYFUNCTION("""COMPUTED_VALUE"""),"劉羿嫻")</f>
        <v>劉羿嫻</v>
      </c>
      <c r="D2480" s="16" t="str">
        <f>IFERROR(__xludf.DUMMYFUNCTION("""COMPUTED_VALUE"""),"109*****ljh.ntct.edu.tw")</f>
        <v>109*****ljh.ntct.edu.tw</v>
      </c>
      <c r="E2480" s="17" t="str">
        <f>IFERROR(__xludf.DUMMYFUNCTION("""COMPUTED_VALUE"""),"南投縣立埔里國民中學")</f>
        <v>南投縣立埔里國民中學</v>
      </c>
      <c r="F2480" s="14" t="str">
        <f>IFERROR(__xludf.DUMMYFUNCTION("""COMPUTED_VALUE"""),"九年級")</f>
        <v>九年級</v>
      </c>
      <c r="G2480" s="14" t="str">
        <f>IFERROR(__xludf.DUMMYFUNCTION("""COMPUTED_VALUE"""),"●小禮物")</f>
        <v>●小禮物</v>
      </c>
      <c r="H2480" s="8"/>
    </row>
    <row r="2481">
      <c r="A2481" s="18"/>
      <c r="B2481" s="14">
        <f>IFERROR(__xludf.DUMMYFUNCTION("""COMPUTED_VALUE"""),1195251.0)</f>
        <v>1195251</v>
      </c>
      <c r="C2481" s="14" t="str">
        <f>IFERROR(__xludf.DUMMYFUNCTION("""COMPUTED_VALUE"""),"潘亭聿")</f>
        <v>潘亭聿</v>
      </c>
      <c r="D2481" s="16" t="str">
        <f>IFERROR(__xludf.DUMMYFUNCTION("""COMPUTED_VALUE"""),"109*****ljh.ntct.edu.tw")</f>
        <v>109*****ljh.ntct.edu.tw</v>
      </c>
      <c r="E2481" s="17" t="str">
        <f>IFERROR(__xludf.DUMMYFUNCTION("""COMPUTED_VALUE"""),"南投縣立埔里國民中學")</f>
        <v>南投縣立埔里國民中學</v>
      </c>
      <c r="F2481" s="14" t="str">
        <f>IFERROR(__xludf.DUMMYFUNCTION("""COMPUTED_VALUE"""),"九年級")</f>
        <v>九年級</v>
      </c>
      <c r="G2481" s="14" t="str">
        <f>IFERROR(__xludf.DUMMYFUNCTION("""COMPUTED_VALUE"""),"●小禮物")</f>
        <v>●小禮物</v>
      </c>
      <c r="H2481" s="8"/>
    </row>
    <row r="2482">
      <c r="A2482" s="18"/>
      <c r="B2482" s="14">
        <f>IFERROR(__xludf.DUMMYFUNCTION("""COMPUTED_VALUE"""),1214381.0)</f>
        <v>1214381</v>
      </c>
      <c r="C2482" s="14" t="str">
        <f>IFERROR(__xludf.DUMMYFUNCTION("""COMPUTED_VALUE"""),"鄭謹逸")</f>
        <v>鄭謹逸</v>
      </c>
      <c r="D2482" s="16" t="str">
        <f>IFERROR(__xludf.DUMMYFUNCTION("""COMPUTED_VALUE"""),"109*****ljh.ntct.edu.tw")</f>
        <v>109*****ljh.ntct.edu.tw</v>
      </c>
      <c r="E2482" s="17" t="str">
        <f>IFERROR(__xludf.DUMMYFUNCTION("""COMPUTED_VALUE"""),"南投縣立埔里國民中學")</f>
        <v>南投縣立埔里國民中學</v>
      </c>
      <c r="F2482" s="14" t="str">
        <f>IFERROR(__xludf.DUMMYFUNCTION("""COMPUTED_VALUE"""),"九年級")</f>
        <v>九年級</v>
      </c>
      <c r="G2482" s="14" t="str">
        <f>IFERROR(__xludf.DUMMYFUNCTION("""COMPUTED_VALUE"""),"●小禮物")</f>
        <v>●小禮物</v>
      </c>
      <c r="H2482" s="8"/>
    </row>
    <row r="2483">
      <c r="A2483" s="18"/>
      <c r="B2483" s="14">
        <f>IFERROR(__xludf.DUMMYFUNCTION("""COMPUTED_VALUE"""),1195249.0)</f>
        <v>1195249</v>
      </c>
      <c r="C2483" s="14" t="str">
        <f>IFERROR(__xludf.DUMMYFUNCTION("""COMPUTED_VALUE"""),"周甫豪")</f>
        <v>周甫豪</v>
      </c>
      <c r="D2483" s="16" t="str">
        <f>IFERROR(__xludf.DUMMYFUNCTION("""COMPUTED_VALUE"""),"109*****ljh.ntct.edu.tw")</f>
        <v>109*****ljh.ntct.edu.tw</v>
      </c>
      <c r="E2483" s="17" t="str">
        <f>IFERROR(__xludf.DUMMYFUNCTION("""COMPUTED_VALUE"""),"南投縣立埔里國民中學")</f>
        <v>南投縣立埔里國民中學</v>
      </c>
      <c r="F2483" s="14" t="str">
        <f>IFERROR(__xludf.DUMMYFUNCTION("""COMPUTED_VALUE"""),"九年級")</f>
        <v>九年級</v>
      </c>
      <c r="G2483" s="14" t="str">
        <f>IFERROR(__xludf.DUMMYFUNCTION("""COMPUTED_VALUE"""),"獎狀")</f>
        <v>獎狀</v>
      </c>
      <c r="H2483" s="8"/>
    </row>
    <row r="2484">
      <c r="A2484" s="18"/>
      <c r="B2484" s="14">
        <f>IFERROR(__xludf.DUMMYFUNCTION("""COMPUTED_VALUE"""),1195244.0)</f>
        <v>1195244</v>
      </c>
      <c r="C2484" s="14" t="str">
        <f>IFERROR(__xludf.DUMMYFUNCTION("""COMPUTED_VALUE"""),"徐鈺婷")</f>
        <v>徐鈺婷</v>
      </c>
      <c r="D2484" s="16" t="str">
        <f>IFERROR(__xludf.DUMMYFUNCTION("""COMPUTED_VALUE"""),"109*****ljh.ntct.edu.tw")</f>
        <v>109*****ljh.ntct.edu.tw</v>
      </c>
      <c r="E2484" s="17" t="str">
        <f>IFERROR(__xludf.DUMMYFUNCTION("""COMPUTED_VALUE"""),"南投縣立埔里國民中學")</f>
        <v>南投縣立埔里國民中學</v>
      </c>
      <c r="F2484" s="14" t="str">
        <f>IFERROR(__xludf.DUMMYFUNCTION("""COMPUTED_VALUE"""),"九年級")</f>
        <v>九年級</v>
      </c>
      <c r="G2484" s="14" t="str">
        <f>IFERROR(__xludf.DUMMYFUNCTION("""COMPUTED_VALUE"""),"獎狀")</f>
        <v>獎狀</v>
      </c>
      <c r="H2484" s="8"/>
    </row>
    <row r="2485">
      <c r="A2485" s="18"/>
      <c r="B2485" s="14">
        <f>IFERROR(__xludf.DUMMYFUNCTION("""COMPUTED_VALUE"""),222281.0)</f>
        <v>222281</v>
      </c>
      <c r="C2485" s="14" t="str">
        <f>IFERROR(__xludf.DUMMYFUNCTION("""COMPUTED_VALUE"""),"潘畇皓")</f>
        <v>潘畇皓</v>
      </c>
      <c r="D2485" s="16" t="str">
        <f>IFERROR(__xludf.DUMMYFUNCTION("""COMPUTED_VALUE"""),"s01*****@mail.edu.tw")</f>
        <v>s01*****@mail.edu.tw</v>
      </c>
      <c r="E2485" s="17" t="str">
        <f>IFERROR(__xludf.DUMMYFUNCTION("""COMPUTED_VALUE"""),"南投縣立埔里國民中學")</f>
        <v>南投縣立埔里國民中學</v>
      </c>
      <c r="F2485" s="14" t="str">
        <f>IFERROR(__xludf.DUMMYFUNCTION("""COMPUTED_VALUE"""),"九年級")</f>
        <v>九年級</v>
      </c>
      <c r="G2485" s="14" t="str">
        <f>IFERROR(__xludf.DUMMYFUNCTION("""COMPUTED_VALUE"""),"獎狀")</f>
        <v>獎狀</v>
      </c>
      <c r="H2485" s="8"/>
    </row>
    <row r="2486">
      <c r="A2486" s="18"/>
      <c r="B2486" s="14">
        <f>IFERROR(__xludf.DUMMYFUNCTION("""COMPUTED_VALUE"""),1181114.0)</f>
        <v>1181114</v>
      </c>
      <c r="C2486" s="14" t="str">
        <f>IFERROR(__xludf.DUMMYFUNCTION("""COMPUTED_VALUE"""),"白宇哲")</f>
        <v>白宇哲</v>
      </c>
      <c r="D2486" s="16" t="str">
        <f>IFERROR(__xludf.DUMMYFUNCTION("""COMPUTED_VALUE"""),"109*****ljh.ntct.edu.tw")</f>
        <v>109*****ljh.ntct.edu.tw</v>
      </c>
      <c r="E2486" s="17" t="str">
        <f>IFERROR(__xludf.DUMMYFUNCTION("""COMPUTED_VALUE"""),"南投縣立埔里國民中學")</f>
        <v>南投縣立埔里國民中學</v>
      </c>
      <c r="F2486" s="14" t="str">
        <f>IFERROR(__xludf.DUMMYFUNCTION("""COMPUTED_VALUE"""),"九年級")</f>
        <v>九年級</v>
      </c>
      <c r="G2486" s="14" t="str">
        <f>IFERROR(__xludf.DUMMYFUNCTION("""COMPUTED_VALUE"""),"●小禮物")</f>
        <v>●小禮物</v>
      </c>
      <c r="H2486" s="8"/>
    </row>
    <row r="2487">
      <c r="A2487" s="18"/>
      <c r="B2487" s="14">
        <f>IFERROR(__xludf.DUMMYFUNCTION("""COMPUTED_VALUE"""),1181105.0)</f>
        <v>1181105</v>
      </c>
      <c r="C2487" s="14" t="str">
        <f>IFERROR(__xludf.DUMMYFUNCTION("""COMPUTED_VALUE"""),"卓靖倫")</f>
        <v>卓靖倫</v>
      </c>
      <c r="D2487" s="16" t="str">
        <f>IFERROR(__xludf.DUMMYFUNCTION("""COMPUTED_VALUE"""),"109*****ljh.ntct.edu.tw")</f>
        <v>109*****ljh.ntct.edu.tw</v>
      </c>
      <c r="E2487" s="17" t="str">
        <f>IFERROR(__xludf.DUMMYFUNCTION("""COMPUTED_VALUE"""),"南投縣立埔里國民中學")</f>
        <v>南投縣立埔里國民中學</v>
      </c>
      <c r="F2487" s="14" t="str">
        <f>IFERROR(__xludf.DUMMYFUNCTION("""COMPUTED_VALUE"""),"九年級")</f>
        <v>九年級</v>
      </c>
      <c r="G2487" s="14" t="str">
        <f>IFERROR(__xludf.DUMMYFUNCTION("""COMPUTED_VALUE"""),"●小禮物")</f>
        <v>●小禮物</v>
      </c>
      <c r="H2487" s="8"/>
    </row>
    <row r="2488">
      <c r="A2488" s="18"/>
      <c r="B2488" s="14">
        <f>IFERROR(__xludf.DUMMYFUNCTION("""COMPUTED_VALUE"""),1181116.0)</f>
        <v>1181116</v>
      </c>
      <c r="C2488" s="14" t="str">
        <f>IFERROR(__xludf.DUMMYFUNCTION("""COMPUTED_VALUE"""),"高韻柔")</f>
        <v>高韻柔</v>
      </c>
      <c r="D2488" s="16" t="str">
        <f>IFERROR(__xludf.DUMMYFUNCTION("""COMPUTED_VALUE"""),"109*****ljh.ntct.edu.tw")</f>
        <v>109*****ljh.ntct.edu.tw</v>
      </c>
      <c r="E2488" s="17" t="str">
        <f>IFERROR(__xludf.DUMMYFUNCTION("""COMPUTED_VALUE"""),"南投縣立埔里國民中學")</f>
        <v>南投縣立埔里國民中學</v>
      </c>
      <c r="F2488" s="14" t="str">
        <f>IFERROR(__xludf.DUMMYFUNCTION("""COMPUTED_VALUE"""),"九年級")</f>
        <v>九年級</v>
      </c>
      <c r="G2488" s="14" t="str">
        <f>IFERROR(__xludf.DUMMYFUNCTION("""COMPUTED_VALUE"""),"●小禮物")</f>
        <v>●小禮物</v>
      </c>
      <c r="H2488" s="8"/>
    </row>
    <row r="2489">
      <c r="A2489" s="18"/>
      <c r="B2489" s="14">
        <f>IFERROR(__xludf.DUMMYFUNCTION("""COMPUTED_VALUE"""),1181110.0)</f>
        <v>1181110</v>
      </c>
      <c r="C2489" s="14" t="str">
        <f>IFERROR(__xludf.DUMMYFUNCTION("""COMPUTED_VALUE"""),"黃心妤")</f>
        <v>黃心妤</v>
      </c>
      <c r="D2489" s="16" t="str">
        <f>IFERROR(__xludf.DUMMYFUNCTION("""COMPUTED_VALUE"""),"109*****ljh.ntct.edu.tw")</f>
        <v>109*****ljh.ntct.edu.tw</v>
      </c>
      <c r="E2489" s="17" t="str">
        <f>IFERROR(__xludf.DUMMYFUNCTION("""COMPUTED_VALUE"""),"南投縣立埔里國民中學")</f>
        <v>南投縣立埔里國民中學</v>
      </c>
      <c r="F2489" s="14" t="str">
        <f>IFERROR(__xludf.DUMMYFUNCTION("""COMPUTED_VALUE"""),"九年級")</f>
        <v>九年級</v>
      </c>
      <c r="G2489" s="14" t="str">
        <f>IFERROR(__xludf.DUMMYFUNCTION("""COMPUTED_VALUE"""),"●小禮物")</f>
        <v>●小禮物</v>
      </c>
      <c r="H2489" s="8"/>
    </row>
    <row r="2490">
      <c r="A2490" s="18"/>
      <c r="B2490" s="14">
        <f>IFERROR(__xludf.DUMMYFUNCTION("""COMPUTED_VALUE"""),1181122.0)</f>
        <v>1181122</v>
      </c>
      <c r="C2490" s="14" t="str">
        <f>IFERROR(__xludf.DUMMYFUNCTION("""COMPUTED_VALUE"""),"盧品赫")</f>
        <v>盧品赫</v>
      </c>
      <c r="D2490" s="16" t="str">
        <f>IFERROR(__xludf.DUMMYFUNCTION("""COMPUTED_VALUE"""),"109*****ljh.ntct.edu.tw")</f>
        <v>109*****ljh.ntct.edu.tw</v>
      </c>
      <c r="E2490" s="17" t="str">
        <f>IFERROR(__xludf.DUMMYFUNCTION("""COMPUTED_VALUE"""),"南投縣立埔里國民中學")</f>
        <v>南投縣立埔里國民中學</v>
      </c>
      <c r="F2490" s="14" t="str">
        <f>IFERROR(__xludf.DUMMYFUNCTION("""COMPUTED_VALUE"""),"九年級")</f>
        <v>九年級</v>
      </c>
      <c r="G2490" s="14" t="str">
        <f>IFERROR(__xludf.DUMMYFUNCTION("""COMPUTED_VALUE"""),"●小禮物")</f>
        <v>●小禮物</v>
      </c>
      <c r="H2490" s="8"/>
    </row>
    <row r="2491">
      <c r="A2491" s="18"/>
      <c r="B2491" s="14">
        <f>IFERROR(__xludf.DUMMYFUNCTION("""COMPUTED_VALUE"""),1181109.0)</f>
        <v>1181109</v>
      </c>
      <c r="C2491" s="14" t="str">
        <f>IFERROR(__xludf.DUMMYFUNCTION("""COMPUTED_VALUE"""),"邱妙荺")</f>
        <v>邱妙荺</v>
      </c>
      <c r="D2491" s="16" t="str">
        <f>IFERROR(__xludf.DUMMYFUNCTION("""COMPUTED_VALUE"""),"109*****ljh.ntct.edu.tw")</f>
        <v>109*****ljh.ntct.edu.tw</v>
      </c>
      <c r="E2491" s="17" t="str">
        <f>IFERROR(__xludf.DUMMYFUNCTION("""COMPUTED_VALUE"""),"南投縣立埔里國民中學")</f>
        <v>南投縣立埔里國民中學</v>
      </c>
      <c r="F2491" s="14" t="str">
        <f>IFERROR(__xludf.DUMMYFUNCTION("""COMPUTED_VALUE"""),"九年級")</f>
        <v>九年級</v>
      </c>
      <c r="G2491" s="14" t="str">
        <f>IFERROR(__xludf.DUMMYFUNCTION("""COMPUTED_VALUE"""),"★禮券$500")</f>
        <v>★禮券$500</v>
      </c>
      <c r="H2491" s="8"/>
    </row>
    <row r="2492">
      <c r="A2492" s="18"/>
      <c r="B2492" s="14">
        <f>IFERROR(__xludf.DUMMYFUNCTION("""COMPUTED_VALUE"""),1181128.0)</f>
        <v>1181128</v>
      </c>
      <c r="C2492" s="14" t="str">
        <f>IFERROR(__xludf.DUMMYFUNCTION("""COMPUTED_VALUE"""),"余恩典")</f>
        <v>余恩典</v>
      </c>
      <c r="D2492" s="16" t="str">
        <f>IFERROR(__xludf.DUMMYFUNCTION("""COMPUTED_VALUE"""),"109*****ljh.ntct.edu.tw")</f>
        <v>109*****ljh.ntct.edu.tw</v>
      </c>
      <c r="E2492" s="17" t="str">
        <f>IFERROR(__xludf.DUMMYFUNCTION("""COMPUTED_VALUE"""),"南投縣立埔里國民中學")</f>
        <v>南投縣立埔里國民中學</v>
      </c>
      <c r="F2492" s="14" t="str">
        <f>IFERROR(__xludf.DUMMYFUNCTION("""COMPUTED_VALUE"""),"九年級")</f>
        <v>九年級</v>
      </c>
      <c r="G2492" s="14" t="str">
        <f>IFERROR(__xludf.DUMMYFUNCTION("""COMPUTED_VALUE"""),"獎狀")</f>
        <v>獎狀</v>
      </c>
      <c r="H2492" s="8"/>
    </row>
    <row r="2493">
      <c r="A2493" s="18"/>
      <c r="B2493" s="14">
        <f>IFERROR(__xludf.DUMMYFUNCTION("""COMPUTED_VALUE"""),1193913.0)</f>
        <v>1193913</v>
      </c>
      <c r="C2493" s="14" t="str">
        <f>IFERROR(__xludf.DUMMYFUNCTION("""COMPUTED_VALUE"""),"巫宜珊")</f>
        <v>巫宜珊</v>
      </c>
      <c r="D2493" s="16" t="str">
        <f>IFERROR(__xludf.DUMMYFUNCTION("""COMPUTED_VALUE"""),"s01*****.ntct@mail.edu.tw")</f>
        <v>s01*****.ntct@mail.edu.tw</v>
      </c>
      <c r="E2493" s="17" t="str">
        <f>IFERROR(__xludf.DUMMYFUNCTION("""COMPUTED_VALUE"""),"南投縣立埔里國民中學")</f>
        <v>南投縣立埔里國民中學</v>
      </c>
      <c r="F2493" s="14" t="str">
        <f>IFERROR(__xludf.DUMMYFUNCTION("""COMPUTED_VALUE"""),"九年級")</f>
        <v>九年級</v>
      </c>
      <c r="G2493" s="14" t="str">
        <f>IFERROR(__xludf.DUMMYFUNCTION("""COMPUTED_VALUE"""),"獎狀")</f>
        <v>獎狀</v>
      </c>
      <c r="H2493" s="8"/>
    </row>
    <row r="2494">
      <c r="A2494" s="18"/>
      <c r="B2494" s="14">
        <f>IFERROR(__xludf.DUMMYFUNCTION("""COMPUTED_VALUE"""),1181106.0)</f>
        <v>1181106</v>
      </c>
      <c r="C2494" s="14" t="str">
        <f>IFERROR(__xludf.DUMMYFUNCTION("""COMPUTED_VALUE"""),"李宥毅")</f>
        <v>李宥毅</v>
      </c>
      <c r="D2494" s="16" t="str">
        <f>IFERROR(__xludf.DUMMYFUNCTION("""COMPUTED_VALUE"""),"109*****ljh.ntct.edu.tw")</f>
        <v>109*****ljh.ntct.edu.tw</v>
      </c>
      <c r="E2494" s="17" t="str">
        <f>IFERROR(__xludf.DUMMYFUNCTION("""COMPUTED_VALUE"""),"南投縣立埔里國民中學")</f>
        <v>南投縣立埔里國民中學</v>
      </c>
      <c r="F2494" s="14" t="str">
        <f>IFERROR(__xludf.DUMMYFUNCTION("""COMPUTED_VALUE"""),"九年級")</f>
        <v>九年級</v>
      </c>
      <c r="G2494" s="14" t="str">
        <f>IFERROR(__xludf.DUMMYFUNCTION("""COMPUTED_VALUE"""),"獎狀")</f>
        <v>獎狀</v>
      </c>
      <c r="H2494" s="8"/>
    </row>
    <row r="2495">
      <c r="A2495" s="18"/>
      <c r="B2495" s="14">
        <f>IFERROR(__xludf.DUMMYFUNCTION("""COMPUTED_VALUE"""),1181111.0)</f>
        <v>1181111</v>
      </c>
      <c r="C2495" s="14" t="str">
        <f>IFERROR(__xludf.DUMMYFUNCTION("""COMPUTED_VALUE"""),"張瑜芯")</f>
        <v>張瑜芯</v>
      </c>
      <c r="D2495" s="16" t="str">
        <f>IFERROR(__xludf.DUMMYFUNCTION("""COMPUTED_VALUE"""),"109*****ljh.ntct.edu.tw")</f>
        <v>109*****ljh.ntct.edu.tw</v>
      </c>
      <c r="E2495" s="17" t="str">
        <f>IFERROR(__xludf.DUMMYFUNCTION("""COMPUTED_VALUE"""),"南投縣立埔里國民中學")</f>
        <v>南投縣立埔里國民中學</v>
      </c>
      <c r="F2495" s="14" t="str">
        <f>IFERROR(__xludf.DUMMYFUNCTION("""COMPUTED_VALUE"""),"九年級")</f>
        <v>九年級</v>
      </c>
      <c r="G2495" s="14" t="str">
        <f>IFERROR(__xludf.DUMMYFUNCTION("""COMPUTED_VALUE"""),"獎狀")</f>
        <v>獎狀</v>
      </c>
      <c r="H2495" s="8"/>
    </row>
    <row r="2496">
      <c r="A2496" s="18"/>
      <c r="B2496" s="14">
        <f>IFERROR(__xludf.DUMMYFUNCTION("""COMPUTED_VALUE"""),1181115.0)</f>
        <v>1181115</v>
      </c>
      <c r="C2496" s="14" t="str">
        <f>IFERROR(__xludf.DUMMYFUNCTION("""COMPUTED_VALUE"""),"張耀輝")</f>
        <v>張耀輝</v>
      </c>
      <c r="D2496" s="16" t="str">
        <f>IFERROR(__xludf.DUMMYFUNCTION("""COMPUTED_VALUE"""),"109*****ljh.ntct.edu.tw")</f>
        <v>109*****ljh.ntct.edu.tw</v>
      </c>
      <c r="E2496" s="17" t="str">
        <f>IFERROR(__xludf.DUMMYFUNCTION("""COMPUTED_VALUE"""),"南投縣立埔里國民中學")</f>
        <v>南投縣立埔里國民中學</v>
      </c>
      <c r="F2496" s="14" t="str">
        <f>IFERROR(__xludf.DUMMYFUNCTION("""COMPUTED_VALUE"""),"九年級")</f>
        <v>九年級</v>
      </c>
      <c r="G2496" s="14" t="str">
        <f>IFERROR(__xludf.DUMMYFUNCTION("""COMPUTED_VALUE"""),"獎狀")</f>
        <v>獎狀</v>
      </c>
      <c r="H2496" s="8"/>
    </row>
    <row r="2497">
      <c r="A2497" s="18"/>
      <c r="B2497" s="14">
        <f>IFERROR(__xludf.DUMMYFUNCTION("""COMPUTED_VALUE"""),1181108.0)</f>
        <v>1181108</v>
      </c>
      <c r="C2497" s="14" t="str">
        <f>IFERROR(__xludf.DUMMYFUNCTION("""COMPUTED_VALUE"""),"彭浚宏")</f>
        <v>彭浚宏</v>
      </c>
      <c r="D2497" s="16" t="str">
        <f>IFERROR(__xludf.DUMMYFUNCTION("""COMPUTED_VALUE"""),"109*****ljh.ntct.edu.tw")</f>
        <v>109*****ljh.ntct.edu.tw</v>
      </c>
      <c r="E2497" s="17" t="str">
        <f>IFERROR(__xludf.DUMMYFUNCTION("""COMPUTED_VALUE"""),"南投縣立埔里國民中學")</f>
        <v>南投縣立埔里國民中學</v>
      </c>
      <c r="F2497" s="14" t="str">
        <f>IFERROR(__xludf.DUMMYFUNCTION("""COMPUTED_VALUE"""),"九年級")</f>
        <v>九年級</v>
      </c>
      <c r="G2497" s="14" t="str">
        <f>IFERROR(__xludf.DUMMYFUNCTION("""COMPUTED_VALUE"""),"獎狀")</f>
        <v>獎狀</v>
      </c>
      <c r="H2497" s="8"/>
    </row>
    <row r="2498">
      <c r="A2498" s="18"/>
      <c r="B2498" s="14">
        <f>IFERROR(__xludf.DUMMYFUNCTION("""COMPUTED_VALUE"""),1181118.0)</f>
        <v>1181118</v>
      </c>
      <c r="C2498" s="14" t="str">
        <f>IFERROR(__xludf.DUMMYFUNCTION("""COMPUTED_VALUE"""),"潘鎬澤")</f>
        <v>潘鎬澤</v>
      </c>
      <c r="D2498" s="16" t="str">
        <f>IFERROR(__xludf.DUMMYFUNCTION("""COMPUTED_VALUE"""),"109*****ljh.ntct.edu.tw")</f>
        <v>109*****ljh.ntct.edu.tw</v>
      </c>
      <c r="E2498" s="17" t="str">
        <f>IFERROR(__xludf.DUMMYFUNCTION("""COMPUTED_VALUE"""),"南投縣立埔里國民中學")</f>
        <v>南投縣立埔里國民中學</v>
      </c>
      <c r="F2498" s="14" t="str">
        <f>IFERROR(__xludf.DUMMYFUNCTION("""COMPUTED_VALUE"""),"九年級")</f>
        <v>九年級</v>
      </c>
      <c r="G2498" s="14" t="str">
        <f>IFERROR(__xludf.DUMMYFUNCTION("""COMPUTED_VALUE"""),"獎狀")</f>
        <v>獎狀</v>
      </c>
      <c r="H2498" s="8"/>
    </row>
    <row r="2499">
      <c r="A2499" s="18"/>
      <c r="B2499" s="14">
        <f>IFERROR(__xludf.DUMMYFUNCTION("""COMPUTED_VALUE"""),1202107.0)</f>
        <v>1202107</v>
      </c>
      <c r="C2499" s="14" t="str">
        <f>IFERROR(__xludf.DUMMYFUNCTION("""COMPUTED_VALUE"""),"陳亮穎")</f>
        <v>陳亮穎</v>
      </c>
      <c r="D2499" s="16" t="str">
        <f>IFERROR(__xludf.DUMMYFUNCTION("""COMPUTED_VALUE"""),"109*****ljh.ntct.edu.tw")</f>
        <v>109*****ljh.ntct.edu.tw</v>
      </c>
      <c r="E2499" s="17" t="str">
        <f>IFERROR(__xludf.DUMMYFUNCTION("""COMPUTED_VALUE"""),"南投縣立埔里國民中學")</f>
        <v>南投縣立埔里國民中學</v>
      </c>
      <c r="F2499" s="14" t="str">
        <f>IFERROR(__xludf.DUMMYFUNCTION("""COMPUTED_VALUE"""),"九年級")</f>
        <v>九年級</v>
      </c>
      <c r="G2499" s="14" t="str">
        <f>IFERROR(__xludf.DUMMYFUNCTION("""COMPUTED_VALUE"""),"●小禮物")</f>
        <v>●小禮物</v>
      </c>
      <c r="H2499" s="8"/>
    </row>
    <row r="2500">
      <c r="A2500" s="18"/>
      <c r="B2500" s="14">
        <f>IFERROR(__xludf.DUMMYFUNCTION("""COMPUTED_VALUE"""),468657.0)</f>
        <v>468657</v>
      </c>
      <c r="C2500" s="14" t="str">
        <f>IFERROR(__xludf.DUMMYFUNCTION("""COMPUTED_VALUE"""),"劉紘睿")</f>
        <v>劉紘睿</v>
      </c>
      <c r="D2500" s="16" t="str">
        <f>IFERROR(__xludf.DUMMYFUNCTION("""COMPUTED_VALUE"""),"moy*****13@gmail.com")</f>
        <v>moy*****13@gmail.com</v>
      </c>
      <c r="E2500" s="17" t="str">
        <f>IFERROR(__xludf.DUMMYFUNCTION("""COMPUTED_VALUE"""),"南投縣立宏仁國民中學")</f>
        <v>南投縣立宏仁國民中學</v>
      </c>
      <c r="F2500" s="14" t="str">
        <f>IFERROR(__xludf.DUMMYFUNCTION("""COMPUTED_VALUE"""),"七年級")</f>
        <v>七年級</v>
      </c>
      <c r="G2500" s="14" t="str">
        <f>IFERROR(__xludf.DUMMYFUNCTION("""COMPUTED_VALUE"""),"獎狀")</f>
        <v>獎狀</v>
      </c>
      <c r="H2500" s="8"/>
    </row>
    <row r="2501">
      <c r="A2501" s="18"/>
      <c r="B2501" s="14">
        <f>IFERROR(__xludf.DUMMYFUNCTION("""COMPUTED_VALUE"""),220407.0)</f>
        <v>220407</v>
      </c>
      <c r="C2501" s="14" t="str">
        <f>IFERROR(__xludf.DUMMYFUNCTION("""COMPUTED_VALUE"""),"王楷甯")</f>
        <v>王楷甯</v>
      </c>
      <c r="D2501" s="16" t="str">
        <f>IFERROR(__xludf.DUMMYFUNCTION("""COMPUTED_VALUE"""),"shu*****@hotmail.com")</f>
        <v>shu*****@hotmail.com</v>
      </c>
      <c r="E2501" s="17" t="str">
        <f>IFERROR(__xludf.DUMMYFUNCTION("""COMPUTED_VALUE"""),"南投縣立宏仁國民中學")</f>
        <v>南投縣立宏仁國民中學</v>
      </c>
      <c r="F2501" s="14" t="str">
        <f>IFERROR(__xludf.DUMMYFUNCTION("""COMPUTED_VALUE"""),"七年級")</f>
        <v>七年級</v>
      </c>
      <c r="G2501" s="14" t="str">
        <f>IFERROR(__xludf.DUMMYFUNCTION("""COMPUTED_VALUE"""),"●小禮物")</f>
        <v>●小禮物</v>
      </c>
      <c r="H2501" s="8"/>
    </row>
    <row r="2502">
      <c r="A2502" s="18"/>
      <c r="B2502" s="14">
        <f>IFERROR(__xludf.DUMMYFUNCTION("""COMPUTED_VALUE"""),168315.0)</f>
        <v>168315</v>
      </c>
      <c r="C2502" s="14" t="str">
        <f>IFERROR(__xludf.DUMMYFUNCTION("""COMPUTED_VALUE"""),"黃泳瑞")</f>
        <v>黃泳瑞</v>
      </c>
      <c r="D2502" s="16" t="str">
        <f>IFERROR(__xludf.DUMMYFUNCTION("""COMPUTED_VALUE"""),"e25*****ahoo.com.tw")</f>
        <v>e25*****ahoo.com.tw</v>
      </c>
      <c r="E2502" s="17" t="str">
        <f>IFERROR(__xludf.DUMMYFUNCTION("""COMPUTED_VALUE"""),"南投縣立宏仁國民中學")</f>
        <v>南投縣立宏仁國民中學</v>
      </c>
      <c r="F2502" s="14" t="str">
        <f>IFERROR(__xludf.DUMMYFUNCTION("""COMPUTED_VALUE"""),"七年級")</f>
        <v>七年級</v>
      </c>
      <c r="G2502" s="14" t="str">
        <f>IFERROR(__xludf.DUMMYFUNCTION("""COMPUTED_VALUE"""),"獎狀")</f>
        <v>獎狀</v>
      </c>
      <c r="H2502" s="8"/>
    </row>
    <row r="2503">
      <c r="A2503" s="18"/>
      <c r="B2503" s="14">
        <f>IFERROR(__xludf.DUMMYFUNCTION("""COMPUTED_VALUE"""),459147.0)</f>
        <v>459147</v>
      </c>
      <c r="C2503" s="14" t="str">
        <f>IFERROR(__xludf.DUMMYFUNCTION("""COMPUTED_VALUE"""),"林嗣傑")</f>
        <v>林嗣傑</v>
      </c>
      <c r="D2503" s="16" t="str">
        <f>IFERROR(__xludf.DUMMYFUNCTION("""COMPUTED_VALUE"""),"s01*****.ntct@mail.edu.tw")</f>
        <v>s01*****.ntct@mail.edu.tw</v>
      </c>
      <c r="E2503" s="17" t="str">
        <f>IFERROR(__xludf.DUMMYFUNCTION("""COMPUTED_VALUE"""),"南投縣立竹山國民中學")</f>
        <v>南投縣立竹山國民中學</v>
      </c>
      <c r="F2503" s="14" t="str">
        <f>IFERROR(__xludf.DUMMYFUNCTION("""COMPUTED_VALUE"""),"七年級")</f>
        <v>七年級</v>
      </c>
      <c r="G2503" s="14" t="str">
        <f>IFERROR(__xludf.DUMMYFUNCTION("""COMPUTED_VALUE"""),"獎狀")</f>
        <v>獎狀</v>
      </c>
      <c r="H2503" s="8"/>
    </row>
    <row r="2504">
      <c r="A2504" s="18"/>
      <c r="B2504" s="14">
        <f>IFERROR(__xludf.DUMMYFUNCTION("""COMPUTED_VALUE"""),234265.0)</f>
        <v>234265</v>
      </c>
      <c r="C2504" s="14" t="str">
        <f>IFERROR(__xludf.DUMMYFUNCTION("""COMPUTED_VALUE"""),"楊詒雯")</f>
        <v>楊詒雯</v>
      </c>
      <c r="D2504" s="16" t="str">
        <f>IFERROR(__xludf.DUMMYFUNCTION("""COMPUTED_VALUE"""),"win*****10@mail.edu.tw")</f>
        <v>win*****10@mail.edu.tw</v>
      </c>
      <c r="E2504" s="17" t="str">
        <f>IFERROR(__xludf.DUMMYFUNCTION("""COMPUTED_VALUE"""),"南投縣立延和國民中學")</f>
        <v>南投縣立延和國民中學</v>
      </c>
      <c r="F2504" s="14" t="str">
        <f>IFERROR(__xludf.DUMMYFUNCTION("""COMPUTED_VALUE"""),"八年級")</f>
        <v>八年級</v>
      </c>
      <c r="G2504" s="14" t="str">
        <f>IFERROR(__xludf.DUMMYFUNCTION("""COMPUTED_VALUE"""),"●小禮物")</f>
        <v>●小禮物</v>
      </c>
      <c r="H2504" s="8"/>
    </row>
    <row r="2505">
      <c r="A2505" s="18"/>
      <c r="B2505" s="14">
        <f>IFERROR(__xludf.DUMMYFUNCTION("""COMPUTED_VALUE"""),380574.0)</f>
        <v>380574</v>
      </c>
      <c r="C2505" s="14" t="str">
        <f>IFERROR(__xludf.DUMMYFUNCTION("""COMPUTED_VALUE"""),"方顗婷")</f>
        <v>方顗婷</v>
      </c>
      <c r="D2505" s="16" t="str">
        <f>IFERROR(__xludf.DUMMYFUNCTION("""COMPUTED_VALUE"""),"she*****0112.cy@mail.edu.tw")</f>
        <v>she*****0112.cy@mail.edu.tw</v>
      </c>
      <c r="E2505" s="17" t="str">
        <f>IFERROR(__xludf.DUMMYFUNCTION("""COMPUTED_VALUE"""),"嘉義市立民生國民中學")</f>
        <v>嘉義市立民生國民中學</v>
      </c>
      <c r="F2505" s="14" t="str">
        <f>IFERROR(__xludf.DUMMYFUNCTION("""COMPUTED_VALUE"""),"八年級")</f>
        <v>八年級</v>
      </c>
      <c r="G2505" s="14" t="str">
        <f>IFERROR(__xludf.DUMMYFUNCTION("""COMPUTED_VALUE"""),"獎狀")</f>
        <v>獎狀</v>
      </c>
      <c r="H2505" s="8"/>
    </row>
    <row r="2506">
      <c r="A2506" s="18"/>
      <c r="B2506" s="14">
        <f>IFERROR(__xludf.DUMMYFUNCTION("""COMPUTED_VALUE"""),1198528.0)</f>
        <v>1198528</v>
      </c>
      <c r="C2506" s="14" t="str">
        <f>IFERROR(__xludf.DUMMYFUNCTION("""COMPUTED_VALUE"""),"曾佳芸")</f>
        <v>曾佳芸</v>
      </c>
      <c r="D2506" s="16" t="str">
        <f>IFERROR(__xludf.DUMMYFUNCTION("""COMPUTED_VALUE"""),"yun*****77@gmail.com")</f>
        <v>yun*****77@gmail.com</v>
      </c>
      <c r="E2506" s="17" t="str">
        <f>IFERROR(__xludf.DUMMYFUNCTION("""COMPUTED_VALUE"""),"嘉義市立大業國民中學")</f>
        <v>嘉義市立大業國民中學</v>
      </c>
      <c r="F2506" s="14" t="str">
        <f>IFERROR(__xludf.DUMMYFUNCTION("""COMPUTED_VALUE"""),"七年級")</f>
        <v>七年級</v>
      </c>
      <c r="G2506" s="14" t="str">
        <f>IFERROR(__xludf.DUMMYFUNCTION("""COMPUTED_VALUE"""),"獎狀")</f>
        <v>獎狀</v>
      </c>
      <c r="H2506" s="8"/>
    </row>
    <row r="2507">
      <c r="A2507" s="18"/>
      <c r="B2507" s="14">
        <f>IFERROR(__xludf.DUMMYFUNCTION("""COMPUTED_VALUE"""),1127369.0)</f>
        <v>1127369</v>
      </c>
      <c r="C2507" s="14" t="str">
        <f>IFERROR(__xludf.DUMMYFUNCTION("""COMPUTED_VALUE"""),"潘样程")</f>
        <v>潘样程</v>
      </c>
      <c r="D2507" s="16" t="str">
        <f>IFERROR(__xludf.DUMMYFUNCTION("""COMPUTED_VALUE"""),"tbn*****8@go.edu.tw")</f>
        <v>tbn*****8@go.edu.tw</v>
      </c>
      <c r="E2507" s="17" t="str">
        <f>IFERROR(__xludf.DUMMYFUNCTION("""COMPUTED_VALUE"""),"嘉義市立大業國民中學")</f>
        <v>嘉義市立大業國民中學</v>
      </c>
      <c r="F2507" s="14" t="str">
        <f>IFERROR(__xludf.DUMMYFUNCTION("""COMPUTED_VALUE"""),"九年級")</f>
        <v>九年級</v>
      </c>
      <c r="G2507" s="14" t="str">
        <f>IFERROR(__xludf.DUMMYFUNCTION("""COMPUTED_VALUE"""),"獎狀")</f>
        <v>獎狀</v>
      </c>
      <c r="H2507" s="8"/>
    </row>
    <row r="2508">
      <c r="A2508" s="18"/>
      <c r="B2508" s="14">
        <f>IFERROR(__xludf.DUMMYFUNCTION("""COMPUTED_VALUE"""),773090.0)</f>
        <v>773090</v>
      </c>
      <c r="C2508" s="14" t="str">
        <f>IFERROR(__xludf.DUMMYFUNCTION("""COMPUTED_VALUE"""),"張苡婷")</f>
        <v>張苡婷</v>
      </c>
      <c r="D2508" s="16" t="str">
        <f>IFERROR(__xludf.DUMMYFUNCTION("""COMPUTED_VALUE"""),"105*****app.paes.cy.edu.tw")</f>
        <v>105*****app.paes.cy.edu.tw</v>
      </c>
      <c r="E2508" s="17" t="str">
        <f>IFERROR(__xludf.DUMMYFUNCTION("""COMPUTED_VALUE"""),"嘉義市立北興國民中學")</f>
        <v>嘉義市立北興國民中學</v>
      </c>
      <c r="F2508" s="14" t="str">
        <f>IFERROR(__xludf.DUMMYFUNCTION("""COMPUTED_VALUE"""),"七年級")</f>
        <v>七年級</v>
      </c>
      <c r="G2508" s="14" t="str">
        <f>IFERROR(__xludf.DUMMYFUNCTION("""COMPUTED_VALUE"""),"●小禮物")</f>
        <v>●小禮物</v>
      </c>
      <c r="H2508" s="8"/>
    </row>
    <row r="2509">
      <c r="A2509" s="18"/>
      <c r="B2509" s="14">
        <f>IFERROR(__xludf.DUMMYFUNCTION("""COMPUTED_VALUE"""),558443.0)</f>
        <v>558443</v>
      </c>
      <c r="C2509" s="14" t="str">
        <f>IFERROR(__xludf.DUMMYFUNCTION("""COMPUTED_VALUE"""),"楊晶茹")</f>
        <v>楊晶茹</v>
      </c>
      <c r="D2509" s="16" t="str">
        <f>IFERROR(__xludf.DUMMYFUNCTION("""COMPUTED_VALUE"""),"yan*****any333@gmail.com")</f>
        <v>yan*****any333@gmail.com</v>
      </c>
      <c r="E2509" s="17" t="str">
        <f>IFERROR(__xludf.DUMMYFUNCTION("""COMPUTED_VALUE"""),"嘉義市立嘉義國民中學")</f>
        <v>嘉義市立嘉義國民中學</v>
      </c>
      <c r="F2509" s="14" t="str">
        <f>IFERROR(__xludf.DUMMYFUNCTION("""COMPUTED_VALUE"""),"七年級")</f>
        <v>七年級</v>
      </c>
      <c r="G2509" s="14" t="str">
        <f>IFERROR(__xludf.DUMMYFUNCTION("""COMPUTED_VALUE"""),"獎狀")</f>
        <v>獎狀</v>
      </c>
      <c r="H2509" s="8"/>
    </row>
    <row r="2510">
      <c r="A2510" s="18"/>
      <c r="B2510" s="14">
        <f>IFERROR(__xludf.DUMMYFUNCTION("""COMPUTED_VALUE"""),780000.0)</f>
        <v>780000</v>
      </c>
      <c r="C2510" s="14" t="str">
        <f>IFERROR(__xludf.DUMMYFUNCTION("""COMPUTED_VALUE"""),"徐昀佑")</f>
        <v>徐昀佑</v>
      </c>
      <c r="D2510" s="16" t="str">
        <f>IFERROR(__xludf.DUMMYFUNCTION("""COMPUTED_VALUE"""),"rub*****0611@gmail.com")</f>
        <v>rub*****0611@gmail.com</v>
      </c>
      <c r="E2510" s="17" t="str">
        <f>IFERROR(__xludf.DUMMYFUNCTION("""COMPUTED_VALUE"""),"嘉義市立嘉義國民中學")</f>
        <v>嘉義市立嘉義國民中學</v>
      </c>
      <c r="F2510" s="14" t="str">
        <f>IFERROR(__xludf.DUMMYFUNCTION("""COMPUTED_VALUE"""),"八年級")</f>
        <v>八年級</v>
      </c>
      <c r="G2510" s="14" t="str">
        <f>IFERROR(__xludf.DUMMYFUNCTION("""COMPUTED_VALUE"""),"●小禮物")</f>
        <v>●小禮物</v>
      </c>
      <c r="H2510" s="8"/>
    </row>
    <row r="2511">
      <c r="A2511" s="18"/>
      <c r="B2511" s="14">
        <f>IFERROR(__xludf.DUMMYFUNCTION("""COMPUTED_VALUE"""),1120539.0)</f>
        <v>1120539</v>
      </c>
      <c r="C2511" s="14" t="str">
        <f>IFERROR(__xludf.DUMMYFUNCTION("""COMPUTED_VALUE"""),"陳旻柔")</f>
        <v>陳旻柔</v>
      </c>
      <c r="D2511" s="16" t="str">
        <f>IFERROR(__xludf.DUMMYFUNCTION("""COMPUTED_VALUE"""),"110*****sjh.ylc.edu.tw")</f>
        <v>110*****sjh.ylc.edu.tw</v>
      </c>
      <c r="E2511" s="17" t="str">
        <f>IFERROR(__xludf.DUMMYFUNCTION("""COMPUTED_VALUE"""),"嘉義市立嘉義國民中學")</f>
        <v>嘉義市立嘉義國民中學</v>
      </c>
      <c r="F2511" s="14" t="str">
        <f>IFERROR(__xludf.DUMMYFUNCTION("""COMPUTED_VALUE"""),"八年級")</f>
        <v>八年級</v>
      </c>
      <c r="G2511" s="14" t="str">
        <f>IFERROR(__xludf.DUMMYFUNCTION("""COMPUTED_VALUE"""),"★禮券$200")</f>
        <v>★禮券$200</v>
      </c>
      <c r="H2511" s="8"/>
    </row>
    <row r="2512">
      <c r="A2512" s="18"/>
      <c r="B2512" s="14">
        <f>IFERROR(__xludf.DUMMYFUNCTION("""COMPUTED_VALUE"""),1212455.0)</f>
        <v>1212455</v>
      </c>
      <c r="C2512" s="14" t="str">
        <f>IFERROR(__xludf.DUMMYFUNCTION("""COMPUTED_VALUE"""),"呂承穎")</f>
        <v>呂承穎</v>
      </c>
      <c r="D2512" s="16" t="str">
        <f>IFERROR(__xludf.DUMMYFUNCTION("""COMPUTED_VALUE"""),"cwe*****2@mail.edu.tw")</f>
        <v>cwe*****2@mail.edu.tw</v>
      </c>
      <c r="E2512" s="17" t="str">
        <f>IFERROR(__xludf.DUMMYFUNCTION("""COMPUTED_VALUE"""),"嘉義市立嘉義國民中學")</f>
        <v>嘉義市立嘉義國民中學</v>
      </c>
      <c r="F2512" s="14" t="str">
        <f>IFERROR(__xludf.DUMMYFUNCTION("""COMPUTED_VALUE"""),"八年級")</f>
        <v>八年級</v>
      </c>
      <c r="G2512" s="14" t="str">
        <f>IFERROR(__xludf.DUMMYFUNCTION("""COMPUTED_VALUE"""),"●小禮物")</f>
        <v>●小禮物</v>
      </c>
      <c r="H2512" s="8"/>
    </row>
    <row r="2513">
      <c r="A2513" s="18"/>
      <c r="B2513" s="14">
        <f>IFERROR(__xludf.DUMMYFUNCTION("""COMPUTED_VALUE"""),273026.0)</f>
        <v>273026</v>
      </c>
      <c r="C2513" s="14" t="str">
        <f>IFERROR(__xludf.DUMMYFUNCTION("""COMPUTED_VALUE"""),"王鈺茜")</f>
        <v>王鈺茜</v>
      </c>
      <c r="D2513" s="16" t="str">
        <f>IFERROR(__xludf.DUMMYFUNCTION("""COMPUTED_VALUE"""),"ncy*****138.cy@mail.edu.tw")</f>
        <v>ncy*****138.cy@mail.edu.tw</v>
      </c>
      <c r="E2513" s="17" t="str">
        <f>IFERROR(__xludf.DUMMYFUNCTION("""COMPUTED_VALUE"""),"嘉義市立嘉義國民中學")</f>
        <v>嘉義市立嘉義國民中學</v>
      </c>
      <c r="F2513" s="14" t="str">
        <f>IFERROR(__xludf.DUMMYFUNCTION("""COMPUTED_VALUE"""),"八年級")</f>
        <v>八年級</v>
      </c>
      <c r="G2513" s="14" t="str">
        <f>IFERROR(__xludf.DUMMYFUNCTION("""COMPUTED_VALUE"""),"獎狀")</f>
        <v>獎狀</v>
      </c>
      <c r="H2513" s="8"/>
    </row>
    <row r="2514">
      <c r="A2514" s="18"/>
      <c r="B2514" s="14">
        <f>IFERROR(__xludf.DUMMYFUNCTION("""COMPUTED_VALUE"""),182726.0)</f>
        <v>182726</v>
      </c>
      <c r="C2514" s="14" t="str">
        <f>IFERROR(__xludf.DUMMYFUNCTION("""COMPUTED_VALUE"""),"許芷嫙")</f>
        <v>許芷嫙</v>
      </c>
      <c r="D2514" s="16" t="str">
        <f>IFERROR(__xludf.DUMMYFUNCTION("""COMPUTED_VALUE"""),"s82*****hotmail.com")</f>
        <v>s82*****hotmail.com</v>
      </c>
      <c r="E2514" s="17" t="str">
        <f>IFERROR(__xludf.DUMMYFUNCTION("""COMPUTED_VALUE"""),"嘉義市立嘉義國民中學")</f>
        <v>嘉義市立嘉義國民中學</v>
      </c>
      <c r="F2514" s="14" t="str">
        <f>IFERROR(__xludf.DUMMYFUNCTION("""COMPUTED_VALUE"""),"九年級")</f>
        <v>九年級</v>
      </c>
      <c r="G2514" s="14" t="str">
        <f>IFERROR(__xludf.DUMMYFUNCTION("""COMPUTED_VALUE"""),"●小禮物")</f>
        <v>●小禮物</v>
      </c>
      <c r="H2514" s="8"/>
    </row>
    <row r="2515">
      <c r="A2515" s="18"/>
      <c r="B2515" s="14">
        <f>IFERROR(__xludf.DUMMYFUNCTION("""COMPUTED_VALUE"""),1098641.0)</f>
        <v>1098641</v>
      </c>
      <c r="C2515" s="14" t="str">
        <f>IFERROR(__xludf.DUMMYFUNCTION("""COMPUTED_VALUE"""),"羅元笙")</f>
        <v>羅元笙</v>
      </c>
      <c r="D2515" s="16" t="str">
        <f>IFERROR(__xludf.DUMMYFUNCTION("""COMPUTED_VALUE"""),"w10*****@gmail.com")</f>
        <v>w10*****@gmail.com</v>
      </c>
      <c r="E2515" s="17" t="str">
        <f>IFERROR(__xludf.DUMMYFUNCTION("""COMPUTED_VALUE"""),"嘉義市立蘭潭國民中學")</f>
        <v>嘉義市立蘭潭國民中學</v>
      </c>
      <c r="F2515" s="14" t="str">
        <f>IFERROR(__xludf.DUMMYFUNCTION("""COMPUTED_VALUE"""),"七年級")</f>
        <v>七年級</v>
      </c>
      <c r="G2515" s="14" t="str">
        <f>IFERROR(__xludf.DUMMYFUNCTION("""COMPUTED_VALUE"""),"獎狀")</f>
        <v>獎狀</v>
      </c>
      <c r="H2515" s="8"/>
    </row>
    <row r="2516">
      <c r="A2516" s="18"/>
      <c r="B2516" s="14">
        <f>IFERROR(__xludf.DUMMYFUNCTION("""COMPUTED_VALUE"""),864594.0)</f>
        <v>864594</v>
      </c>
      <c r="C2516" s="14" t="str">
        <f>IFERROR(__xludf.DUMMYFUNCTION("""COMPUTED_VALUE"""),"薛敦藝")</f>
        <v>薛敦藝</v>
      </c>
      <c r="D2516" s="16" t="str">
        <f>IFERROR(__xludf.DUMMYFUNCTION("""COMPUTED_VALUE"""),"d09*****936@gmail.com")</f>
        <v>d09*****936@gmail.com</v>
      </c>
      <c r="E2516" s="17" t="str">
        <f>IFERROR(__xludf.DUMMYFUNCTION("""COMPUTED_VALUE"""),"嘉義市私立嘉華高級中學附設國中部")</f>
        <v>嘉義市私立嘉華高級中學附設國中部</v>
      </c>
      <c r="F2516" s="14" t="str">
        <f>IFERROR(__xludf.DUMMYFUNCTION("""COMPUTED_VALUE"""),"八年級")</f>
        <v>八年級</v>
      </c>
      <c r="G2516" s="14" t="str">
        <f>IFERROR(__xludf.DUMMYFUNCTION("""COMPUTED_VALUE"""),"獎狀")</f>
        <v>獎狀</v>
      </c>
      <c r="H2516" s="8"/>
    </row>
    <row r="2517">
      <c r="A2517" s="18"/>
      <c r="B2517" s="14">
        <f>IFERROR(__xludf.DUMMYFUNCTION("""COMPUTED_VALUE"""),932274.0)</f>
        <v>932274</v>
      </c>
      <c r="C2517" s="14" t="str">
        <f>IFERROR(__xludf.DUMMYFUNCTION("""COMPUTED_VALUE"""),"曾亭萓")</f>
        <v>曾亭萓</v>
      </c>
      <c r="D2517" s="16" t="str">
        <f>IFERROR(__xludf.DUMMYFUNCTION("""COMPUTED_VALUE"""),"000*****sh.cy.edu.tw")</f>
        <v>000*****sh.cy.edu.tw</v>
      </c>
      <c r="E2517" s="17" t="str">
        <f>IFERROR(__xludf.DUMMYFUNCTION("""COMPUTED_VALUE"""),"嘉義市私立興華高級中學附設國中部")</f>
        <v>嘉義市私立興華高級中學附設國中部</v>
      </c>
      <c r="F2517" s="14" t="str">
        <f>IFERROR(__xludf.DUMMYFUNCTION("""COMPUTED_VALUE"""),"七年級")</f>
        <v>七年級</v>
      </c>
      <c r="G2517" s="14" t="str">
        <f>IFERROR(__xludf.DUMMYFUNCTION("""COMPUTED_VALUE"""),"●小禮物")</f>
        <v>●小禮物</v>
      </c>
      <c r="H2517" s="8"/>
    </row>
    <row r="2518">
      <c r="A2518" s="18"/>
      <c r="B2518" s="14">
        <f>IFERROR(__xludf.DUMMYFUNCTION("""COMPUTED_VALUE"""),1181608.0)</f>
        <v>1181608</v>
      </c>
      <c r="C2518" s="14" t="str">
        <f>IFERROR(__xludf.DUMMYFUNCTION("""COMPUTED_VALUE"""),"何雨欣")</f>
        <v>何雨欣</v>
      </c>
      <c r="D2518" s="16" t="str">
        <f>IFERROR(__xludf.DUMMYFUNCTION("""COMPUTED_VALUE"""),"100*****sh.cy.edu.tw")</f>
        <v>100*****sh.cy.edu.tw</v>
      </c>
      <c r="E2518" s="17" t="str">
        <f>IFERROR(__xludf.DUMMYFUNCTION("""COMPUTED_VALUE"""),"嘉義市私立興華高級中學附設國中部")</f>
        <v>嘉義市私立興華高級中學附設國中部</v>
      </c>
      <c r="F2518" s="14" t="str">
        <f>IFERROR(__xludf.DUMMYFUNCTION("""COMPUTED_VALUE"""),"七年級")</f>
        <v>七年級</v>
      </c>
      <c r="G2518" s="14" t="str">
        <f>IFERROR(__xludf.DUMMYFUNCTION("""COMPUTED_VALUE"""),"●小禮物")</f>
        <v>●小禮物</v>
      </c>
      <c r="H2518" s="8"/>
    </row>
    <row r="2519">
      <c r="A2519" s="18"/>
      <c r="B2519" s="14">
        <f>IFERROR(__xludf.DUMMYFUNCTION("""COMPUTED_VALUE"""),1192249.0)</f>
        <v>1192249</v>
      </c>
      <c r="C2519" s="14" t="str">
        <f>IFERROR(__xludf.DUMMYFUNCTION("""COMPUTED_VALUE"""),"施兆峰")</f>
        <v>施兆峰</v>
      </c>
      <c r="D2519" s="16" t="str">
        <f>IFERROR(__xludf.DUMMYFUNCTION("""COMPUTED_VALUE"""),"shi*****707@gmail.com")</f>
        <v>shi*****707@gmail.com</v>
      </c>
      <c r="E2519" s="17" t="str">
        <f>IFERROR(__xludf.DUMMYFUNCTION("""COMPUTED_VALUE"""),"嘉義市私立興華高級中學附設國中部")</f>
        <v>嘉義市私立興華高級中學附設國中部</v>
      </c>
      <c r="F2519" s="14" t="str">
        <f>IFERROR(__xludf.DUMMYFUNCTION("""COMPUTED_VALUE"""),"七年級")</f>
        <v>七年級</v>
      </c>
      <c r="G2519" s="14" t="str">
        <f>IFERROR(__xludf.DUMMYFUNCTION("""COMPUTED_VALUE"""),"●小禮物")</f>
        <v>●小禮物</v>
      </c>
      <c r="H2519" s="8"/>
    </row>
    <row r="2520">
      <c r="A2520" s="18"/>
      <c r="B2520" s="14">
        <f>IFERROR(__xludf.DUMMYFUNCTION("""COMPUTED_VALUE"""),1196401.0)</f>
        <v>1196401</v>
      </c>
      <c r="C2520" s="14" t="str">
        <f>IFERROR(__xludf.DUMMYFUNCTION("""COMPUTED_VALUE"""),"許慈殷")</f>
        <v>許慈殷</v>
      </c>
      <c r="D2520" s="16" t="str">
        <f>IFERROR(__xludf.DUMMYFUNCTION("""COMPUTED_VALUE"""),"ciy*****2@gmail.com")</f>
        <v>ciy*****2@gmail.com</v>
      </c>
      <c r="E2520" s="17" t="str">
        <f>IFERROR(__xludf.DUMMYFUNCTION("""COMPUTED_VALUE"""),"嘉義市私立興華高級中學附設國中部")</f>
        <v>嘉義市私立興華高級中學附設國中部</v>
      </c>
      <c r="F2520" s="14" t="str">
        <f>IFERROR(__xludf.DUMMYFUNCTION("""COMPUTED_VALUE"""),"七年級")</f>
        <v>七年級</v>
      </c>
      <c r="G2520" s="14" t="str">
        <f>IFERROR(__xludf.DUMMYFUNCTION("""COMPUTED_VALUE"""),"●小禮物")</f>
        <v>●小禮物</v>
      </c>
      <c r="H2520" s="8"/>
    </row>
    <row r="2521">
      <c r="A2521" s="18"/>
      <c r="B2521" s="14">
        <f>IFERROR(__xludf.DUMMYFUNCTION("""COMPUTED_VALUE"""),1181668.0)</f>
        <v>1181668</v>
      </c>
      <c r="C2521" s="14" t="str">
        <f>IFERROR(__xludf.DUMMYFUNCTION("""COMPUTED_VALUE"""),"蔡宗諺")</f>
        <v>蔡宗諺</v>
      </c>
      <c r="D2521" s="16" t="str">
        <f>IFERROR(__xludf.DUMMYFUNCTION("""COMPUTED_VALUE"""),"100*****sh.cy.edu.tw")</f>
        <v>100*****sh.cy.edu.tw</v>
      </c>
      <c r="E2521" s="17" t="str">
        <f>IFERROR(__xludf.DUMMYFUNCTION("""COMPUTED_VALUE"""),"嘉義市私立興華高級中學附設國中部")</f>
        <v>嘉義市私立興華高級中學附設國中部</v>
      </c>
      <c r="F2521" s="14" t="str">
        <f>IFERROR(__xludf.DUMMYFUNCTION("""COMPUTED_VALUE"""),"七年級")</f>
        <v>七年級</v>
      </c>
      <c r="G2521" s="14" t="str">
        <f>IFERROR(__xludf.DUMMYFUNCTION("""COMPUTED_VALUE"""),"●小禮物")</f>
        <v>●小禮物</v>
      </c>
      <c r="H2521" s="8"/>
    </row>
    <row r="2522">
      <c r="A2522" s="18"/>
      <c r="B2522" s="14">
        <f>IFERROR(__xludf.DUMMYFUNCTION("""COMPUTED_VALUE"""),1181737.0)</f>
        <v>1181737</v>
      </c>
      <c r="C2522" s="14" t="str">
        <f>IFERROR(__xludf.DUMMYFUNCTION("""COMPUTED_VALUE"""),"周品妍")</f>
        <v>周品妍</v>
      </c>
      <c r="D2522" s="16" t="str">
        <f>IFERROR(__xludf.DUMMYFUNCTION("""COMPUTED_VALUE"""),"Zho*****an090@gmail.com")</f>
        <v>Zho*****an090@gmail.com</v>
      </c>
      <c r="E2522" s="17" t="str">
        <f>IFERROR(__xludf.DUMMYFUNCTION("""COMPUTED_VALUE"""),"嘉義市私立興華高級中學附設國中部")</f>
        <v>嘉義市私立興華高級中學附設國中部</v>
      </c>
      <c r="F2522" s="14" t="str">
        <f>IFERROR(__xludf.DUMMYFUNCTION("""COMPUTED_VALUE"""),"七年級")</f>
        <v>七年級</v>
      </c>
      <c r="G2522" s="14" t="str">
        <f>IFERROR(__xludf.DUMMYFUNCTION("""COMPUTED_VALUE"""),"獎狀")</f>
        <v>獎狀</v>
      </c>
      <c r="H2522" s="8"/>
    </row>
    <row r="2523">
      <c r="A2523" s="18"/>
      <c r="B2523" s="14">
        <f>IFERROR(__xludf.DUMMYFUNCTION("""COMPUTED_VALUE"""),1181768.0)</f>
        <v>1181768</v>
      </c>
      <c r="C2523" s="14" t="str">
        <f>IFERROR(__xludf.DUMMYFUNCTION("""COMPUTED_VALUE"""),"劉凱云")</f>
        <v>劉凱云</v>
      </c>
      <c r="D2523" s="16" t="str">
        <f>IFERROR(__xludf.DUMMYFUNCTION("""COMPUTED_VALUE"""),"100*****sh.cy.edu.tw")</f>
        <v>100*****sh.cy.edu.tw</v>
      </c>
      <c r="E2523" s="17" t="str">
        <f>IFERROR(__xludf.DUMMYFUNCTION("""COMPUTED_VALUE"""),"嘉義市私立興華高級中學附設國中部")</f>
        <v>嘉義市私立興華高級中學附設國中部</v>
      </c>
      <c r="F2523" s="14" t="str">
        <f>IFERROR(__xludf.DUMMYFUNCTION("""COMPUTED_VALUE"""),"七年級")</f>
        <v>七年級</v>
      </c>
      <c r="G2523" s="14" t="str">
        <f>IFERROR(__xludf.DUMMYFUNCTION("""COMPUTED_VALUE"""),"獎狀")</f>
        <v>獎狀</v>
      </c>
      <c r="H2523" s="8"/>
    </row>
    <row r="2524">
      <c r="A2524" s="18"/>
      <c r="B2524" s="14">
        <f>IFERROR(__xludf.DUMMYFUNCTION("""COMPUTED_VALUE"""),1208608.0)</f>
        <v>1208608</v>
      </c>
      <c r="C2524" s="14" t="str">
        <f>IFERROR(__xludf.DUMMYFUNCTION("""COMPUTED_VALUE"""),"謝宇喆")</f>
        <v>謝宇喆</v>
      </c>
      <c r="D2524" s="16" t="str">
        <f>IFERROR(__xludf.DUMMYFUNCTION("""COMPUTED_VALUE"""),"pye*****25@gmail.com")</f>
        <v>pye*****25@gmail.com</v>
      </c>
      <c r="E2524" s="17" t="str">
        <f>IFERROR(__xludf.DUMMYFUNCTION("""COMPUTED_VALUE"""),"嘉義市私立興華高級中學附設國中部")</f>
        <v>嘉義市私立興華高級中學附設國中部</v>
      </c>
      <c r="F2524" s="14" t="str">
        <f>IFERROR(__xludf.DUMMYFUNCTION("""COMPUTED_VALUE"""),"七年級")</f>
        <v>七年級</v>
      </c>
      <c r="G2524" s="14" t="str">
        <f>IFERROR(__xludf.DUMMYFUNCTION("""COMPUTED_VALUE"""),"●小禮物")</f>
        <v>●小禮物</v>
      </c>
      <c r="H2524" s="8"/>
    </row>
    <row r="2525">
      <c r="A2525" s="18"/>
      <c r="B2525" s="14">
        <f>IFERROR(__xludf.DUMMYFUNCTION("""COMPUTED_VALUE"""),932263.0)</f>
        <v>932263</v>
      </c>
      <c r="C2525" s="14" t="str">
        <f>IFERROR(__xludf.DUMMYFUNCTION("""COMPUTED_VALUE"""),"侯語閏")</f>
        <v>侯語閏</v>
      </c>
      <c r="D2525" s="16" t="str">
        <f>IFERROR(__xludf.DUMMYFUNCTION("""COMPUTED_VALUE"""),"000*****sh.cy.edu.tw")</f>
        <v>000*****sh.cy.edu.tw</v>
      </c>
      <c r="E2525" s="17" t="str">
        <f>IFERROR(__xludf.DUMMYFUNCTION("""COMPUTED_VALUE"""),"嘉義市私立興華高級中學附設國中部")</f>
        <v>嘉義市私立興華高級中學附設國中部</v>
      </c>
      <c r="F2525" s="14" t="str">
        <f>IFERROR(__xludf.DUMMYFUNCTION("""COMPUTED_VALUE"""),"八年級")</f>
        <v>八年級</v>
      </c>
      <c r="G2525" s="14" t="str">
        <f>IFERROR(__xludf.DUMMYFUNCTION("""COMPUTED_VALUE"""),"●小禮物")</f>
        <v>●小禮物</v>
      </c>
      <c r="H2525" s="8"/>
    </row>
    <row r="2526">
      <c r="A2526" s="18"/>
      <c r="B2526" s="14">
        <f>IFERROR(__xludf.DUMMYFUNCTION("""COMPUTED_VALUE"""),932244.0)</f>
        <v>932244</v>
      </c>
      <c r="C2526" s="14" t="str">
        <f>IFERROR(__xludf.DUMMYFUNCTION("""COMPUTED_VALUE"""),"黃綉臻")</f>
        <v>黃綉臻</v>
      </c>
      <c r="D2526" s="16" t="str">
        <f>IFERROR(__xludf.DUMMYFUNCTION("""COMPUTED_VALUE"""),"000*****sh.cy.edu.tw")</f>
        <v>000*****sh.cy.edu.tw</v>
      </c>
      <c r="E2526" s="17" t="str">
        <f>IFERROR(__xludf.DUMMYFUNCTION("""COMPUTED_VALUE"""),"嘉義市私立興華高級中學附設國中部")</f>
        <v>嘉義市私立興華高級中學附設國中部</v>
      </c>
      <c r="F2526" s="14" t="str">
        <f>IFERROR(__xludf.DUMMYFUNCTION("""COMPUTED_VALUE"""),"八年級")</f>
        <v>八年級</v>
      </c>
      <c r="G2526" s="14" t="str">
        <f>IFERROR(__xludf.DUMMYFUNCTION("""COMPUTED_VALUE"""),"●小禮物")</f>
        <v>●小禮物</v>
      </c>
      <c r="H2526" s="8"/>
    </row>
    <row r="2527">
      <c r="A2527" s="18"/>
      <c r="B2527" s="14">
        <f>IFERROR(__xludf.DUMMYFUNCTION("""COMPUTED_VALUE"""),932250.0)</f>
        <v>932250</v>
      </c>
      <c r="C2527" s="14" t="str">
        <f>IFERROR(__xludf.DUMMYFUNCTION("""COMPUTED_VALUE"""),"謝宜彤")</f>
        <v>謝宜彤</v>
      </c>
      <c r="D2527" s="16" t="str">
        <f>IFERROR(__xludf.DUMMYFUNCTION("""COMPUTED_VALUE"""),"000*****sh.cy.edu.tw")</f>
        <v>000*****sh.cy.edu.tw</v>
      </c>
      <c r="E2527" s="17" t="str">
        <f>IFERROR(__xludf.DUMMYFUNCTION("""COMPUTED_VALUE"""),"嘉義市私立興華高級中學附設國中部")</f>
        <v>嘉義市私立興華高級中學附設國中部</v>
      </c>
      <c r="F2527" s="14" t="str">
        <f>IFERROR(__xludf.DUMMYFUNCTION("""COMPUTED_VALUE"""),"八年級")</f>
        <v>八年級</v>
      </c>
      <c r="G2527" s="14" t="str">
        <f>IFERROR(__xludf.DUMMYFUNCTION("""COMPUTED_VALUE"""),"獎狀")</f>
        <v>獎狀</v>
      </c>
      <c r="H2527" s="8"/>
    </row>
    <row r="2528">
      <c r="A2528" s="18"/>
      <c r="B2528" s="14">
        <f>IFERROR(__xludf.DUMMYFUNCTION("""COMPUTED_VALUE"""),932784.0)</f>
        <v>932784</v>
      </c>
      <c r="C2528" s="14" t="str">
        <f>IFERROR(__xludf.DUMMYFUNCTION("""COMPUTED_VALUE"""),"余映彤")</f>
        <v>余映彤</v>
      </c>
      <c r="D2528" s="16" t="str">
        <f>IFERROR(__xludf.DUMMYFUNCTION("""COMPUTED_VALUE"""),"000*****sh.cy.edu.tw")</f>
        <v>000*****sh.cy.edu.tw</v>
      </c>
      <c r="E2528" s="17" t="str">
        <f>IFERROR(__xludf.DUMMYFUNCTION("""COMPUTED_VALUE"""),"嘉義市私立興華高級中學附設國中部")</f>
        <v>嘉義市私立興華高級中學附設國中部</v>
      </c>
      <c r="F2528" s="14" t="str">
        <f>IFERROR(__xludf.DUMMYFUNCTION("""COMPUTED_VALUE"""),"八年級")</f>
        <v>八年級</v>
      </c>
      <c r="G2528" s="14" t="str">
        <f>IFERROR(__xludf.DUMMYFUNCTION("""COMPUTED_VALUE"""),"★禮券$200")</f>
        <v>★禮券$200</v>
      </c>
      <c r="H2528" s="8"/>
    </row>
    <row r="2529">
      <c r="A2529" s="18"/>
      <c r="B2529" s="14">
        <f>IFERROR(__xludf.DUMMYFUNCTION("""COMPUTED_VALUE"""),932272.0)</f>
        <v>932272</v>
      </c>
      <c r="C2529" s="14" t="str">
        <f>IFERROR(__xludf.DUMMYFUNCTION("""COMPUTED_VALUE"""),"孫婕馨")</f>
        <v>孫婕馨</v>
      </c>
      <c r="D2529" s="16" t="str">
        <f>IFERROR(__xludf.DUMMYFUNCTION("""COMPUTED_VALUE"""),"000*****sh.cy.edu.tw")</f>
        <v>000*****sh.cy.edu.tw</v>
      </c>
      <c r="E2529" s="17" t="str">
        <f>IFERROR(__xludf.DUMMYFUNCTION("""COMPUTED_VALUE"""),"嘉義市私立興華高級中學附設國中部")</f>
        <v>嘉義市私立興華高級中學附設國中部</v>
      </c>
      <c r="F2529" s="14" t="str">
        <f>IFERROR(__xludf.DUMMYFUNCTION("""COMPUTED_VALUE"""),"八年級")</f>
        <v>八年級</v>
      </c>
      <c r="G2529" s="14" t="str">
        <f>IFERROR(__xludf.DUMMYFUNCTION("""COMPUTED_VALUE"""),"●小禮物")</f>
        <v>●小禮物</v>
      </c>
      <c r="H2529" s="8"/>
    </row>
    <row r="2530">
      <c r="A2530" s="18"/>
      <c r="B2530" s="14">
        <f>IFERROR(__xludf.DUMMYFUNCTION("""COMPUTED_VALUE"""),932242.0)</f>
        <v>932242</v>
      </c>
      <c r="C2530" s="14" t="str">
        <f>IFERROR(__xludf.DUMMYFUNCTION("""COMPUTED_VALUE"""),"曾宥嘉")</f>
        <v>曾宥嘉</v>
      </c>
      <c r="D2530" s="16" t="str">
        <f>IFERROR(__xludf.DUMMYFUNCTION("""COMPUTED_VALUE"""),"000*****sh.cy.edu.tw")</f>
        <v>000*****sh.cy.edu.tw</v>
      </c>
      <c r="E2530" s="17" t="str">
        <f>IFERROR(__xludf.DUMMYFUNCTION("""COMPUTED_VALUE"""),"嘉義市私立興華高級中學附設國中部")</f>
        <v>嘉義市私立興華高級中學附設國中部</v>
      </c>
      <c r="F2530" s="14" t="str">
        <f>IFERROR(__xludf.DUMMYFUNCTION("""COMPUTED_VALUE"""),"八年級")</f>
        <v>八年級</v>
      </c>
      <c r="G2530" s="14" t="str">
        <f>IFERROR(__xludf.DUMMYFUNCTION("""COMPUTED_VALUE"""),"獎狀")</f>
        <v>獎狀</v>
      </c>
      <c r="H2530" s="8"/>
    </row>
    <row r="2531">
      <c r="A2531" s="18"/>
      <c r="B2531" s="14">
        <f>IFERROR(__xludf.DUMMYFUNCTION("""COMPUTED_VALUE"""),932257.0)</f>
        <v>932257</v>
      </c>
      <c r="C2531" s="14" t="str">
        <f>IFERROR(__xludf.DUMMYFUNCTION("""COMPUTED_VALUE"""),"楊杰叡")</f>
        <v>楊杰叡</v>
      </c>
      <c r="D2531" s="16" t="str">
        <f>IFERROR(__xludf.DUMMYFUNCTION("""COMPUTED_VALUE"""),"000*****sh.cy.edu.tw")</f>
        <v>000*****sh.cy.edu.tw</v>
      </c>
      <c r="E2531" s="17" t="str">
        <f>IFERROR(__xludf.DUMMYFUNCTION("""COMPUTED_VALUE"""),"嘉義市私立興華高級中學附設國中部")</f>
        <v>嘉義市私立興華高級中學附設國中部</v>
      </c>
      <c r="F2531" s="14" t="str">
        <f>IFERROR(__xludf.DUMMYFUNCTION("""COMPUTED_VALUE"""),"八年級")</f>
        <v>八年級</v>
      </c>
      <c r="G2531" s="14" t="str">
        <f>IFERROR(__xludf.DUMMYFUNCTION("""COMPUTED_VALUE"""),"獎狀")</f>
        <v>獎狀</v>
      </c>
      <c r="H2531" s="8"/>
    </row>
    <row r="2532">
      <c r="A2532" s="18"/>
      <c r="B2532" s="14">
        <f>IFERROR(__xludf.DUMMYFUNCTION("""COMPUTED_VALUE"""),959177.0)</f>
        <v>959177</v>
      </c>
      <c r="C2532" s="14" t="str">
        <f>IFERROR(__xludf.DUMMYFUNCTION("""COMPUTED_VALUE"""),"張子硯")</f>
        <v>張子硯</v>
      </c>
      <c r="D2532" s="16" t="str">
        <f>IFERROR(__xludf.DUMMYFUNCTION("""COMPUTED_VALUE"""),"tzh*****588@hotmail.com")</f>
        <v>tzh*****588@hotmail.com</v>
      </c>
      <c r="E2532" s="17" t="str">
        <f>IFERROR(__xludf.DUMMYFUNCTION("""COMPUTED_VALUE"""),"嘉義市私立興華高級中學附設國中部")</f>
        <v>嘉義市私立興華高級中學附設國中部</v>
      </c>
      <c r="F2532" s="14" t="str">
        <f>IFERROR(__xludf.DUMMYFUNCTION("""COMPUTED_VALUE"""),"九年級")</f>
        <v>九年級</v>
      </c>
      <c r="G2532" s="14" t="str">
        <f>IFERROR(__xludf.DUMMYFUNCTION("""COMPUTED_VALUE"""),"●小禮物")</f>
        <v>●小禮物</v>
      </c>
      <c r="H2532" s="8"/>
    </row>
    <row r="2533">
      <c r="A2533" s="18"/>
      <c r="B2533" s="14">
        <f>IFERROR(__xludf.DUMMYFUNCTION("""COMPUTED_VALUE"""),1050587.0)</f>
        <v>1050587</v>
      </c>
      <c r="C2533" s="14" t="str">
        <f>IFERROR(__xludf.DUMMYFUNCTION("""COMPUTED_VALUE"""),"蕭富源")</f>
        <v>蕭富源</v>
      </c>
      <c r="D2533" s="16" t="str">
        <f>IFERROR(__xludf.DUMMYFUNCTION("""COMPUTED_VALUE"""),"901*****sh.cy.edu.tw")</f>
        <v>901*****sh.cy.edu.tw</v>
      </c>
      <c r="E2533" s="17" t="str">
        <f>IFERROR(__xludf.DUMMYFUNCTION("""COMPUTED_VALUE"""),"嘉義市私立興華高級中學附設國中部")</f>
        <v>嘉義市私立興華高級中學附設國中部</v>
      </c>
      <c r="F2533" s="14" t="str">
        <f>IFERROR(__xludf.DUMMYFUNCTION("""COMPUTED_VALUE"""),"九年級")</f>
        <v>九年級</v>
      </c>
      <c r="G2533" s="14" t="str">
        <f>IFERROR(__xludf.DUMMYFUNCTION("""COMPUTED_VALUE"""),"●小禮物")</f>
        <v>●小禮物</v>
      </c>
      <c r="H2533" s="8"/>
    </row>
    <row r="2534">
      <c r="A2534" s="18"/>
      <c r="B2534" s="14">
        <f>IFERROR(__xludf.DUMMYFUNCTION("""COMPUTED_VALUE"""),1205980.0)</f>
        <v>1205980</v>
      </c>
      <c r="C2534" s="14" t="str">
        <f>IFERROR(__xludf.DUMMYFUNCTION("""COMPUTED_VALUE"""),"葉宥辰")</f>
        <v>葉宥辰</v>
      </c>
      <c r="D2534" s="16" t="str">
        <f>IFERROR(__xludf.DUMMYFUNCTION("""COMPUTED_VALUE"""),"901*****sh.cy.edu.tw")</f>
        <v>901*****sh.cy.edu.tw</v>
      </c>
      <c r="E2534" s="17" t="str">
        <f>IFERROR(__xludf.DUMMYFUNCTION("""COMPUTED_VALUE"""),"嘉義市私立興華高級中學附設國中部")</f>
        <v>嘉義市私立興華高級中學附設國中部</v>
      </c>
      <c r="F2534" s="14" t="str">
        <f>IFERROR(__xludf.DUMMYFUNCTION("""COMPUTED_VALUE"""),"九年級")</f>
        <v>九年級</v>
      </c>
      <c r="G2534" s="14" t="str">
        <f>IFERROR(__xludf.DUMMYFUNCTION("""COMPUTED_VALUE"""),"★禮券$200")</f>
        <v>★禮券$200</v>
      </c>
      <c r="H2534" s="8"/>
    </row>
    <row r="2535">
      <c r="A2535" s="18"/>
      <c r="B2535" s="14">
        <f>IFERROR(__xludf.DUMMYFUNCTION("""COMPUTED_VALUE"""),738628.0)</f>
        <v>738628</v>
      </c>
      <c r="C2535" s="14" t="str">
        <f>IFERROR(__xludf.DUMMYFUNCTION("""COMPUTED_VALUE"""),"呂馥竹")</f>
        <v>呂馥竹</v>
      </c>
      <c r="D2535" s="16" t="str">
        <f>IFERROR(__xludf.DUMMYFUNCTION("""COMPUTED_VALUE"""),"900*****sh.cy.edu.tw")</f>
        <v>900*****sh.cy.edu.tw</v>
      </c>
      <c r="E2535" s="17" t="str">
        <f>IFERROR(__xludf.DUMMYFUNCTION("""COMPUTED_VALUE"""),"嘉義市私立興華高級中學附設國中部")</f>
        <v>嘉義市私立興華高級中學附設國中部</v>
      </c>
      <c r="F2535" s="14" t="str">
        <f>IFERROR(__xludf.DUMMYFUNCTION("""COMPUTED_VALUE"""),"九年級")</f>
        <v>九年級</v>
      </c>
      <c r="G2535" s="14" t="str">
        <f>IFERROR(__xludf.DUMMYFUNCTION("""COMPUTED_VALUE"""),"●小禮物")</f>
        <v>●小禮物</v>
      </c>
      <c r="H2535" s="8"/>
    </row>
    <row r="2536">
      <c r="A2536" s="18"/>
      <c r="B2536" s="14">
        <f>IFERROR(__xludf.DUMMYFUNCTION("""COMPUTED_VALUE"""),738629.0)</f>
        <v>738629</v>
      </c>
      <c r="C2536" s="14" t="str">
        <f>IFERROR(__xludf.DUMMYFUNCTION("""COMPUTED_VALUE"""),"陳妤欣")</f>
        <v>陳妤欣</v>
      </c>
      <c r="D2536" s="16" t="str">
        <f>IFERROR(__xludf.DUMMYFUNCTION("""COMPUTED_VALUE"""),"900*****sh.cy.edu.tw")</f>
        <v>900*****sh.cy.edu.tw</v>
      </c>
      <c r="E2536" s="17" t="str">
        <f>IFERROR(__xludf.DUMMYFUNCTION("""COMPUTED_VALUE"""),"嘉義市私立興華高級中學附設國中部")</f>
        <v>嘉義市私立興華高級中學附設國中部</v>
      </c>
      <c r="F2536" s="14" t="str">
        <f>IFERROR(__xludf.DUMMYFUNCTION("""COMPUTED_VALUE"""),"九年級")</f>
        <v>九年級</v>
      </c>
      <c r="G2536" s="14" t="str">
        <f>IFERROR(__xludf.DUMMYFUNCTION("""COMPUTED_VALUE"""),"●小禮物")</f>
        <v>●小禮物</v>
      </c>
      <c r="H2536" s="8"/>
    </row>
    <row r="2537">
      <c r="A2537" s="18"/>
      <c r="B2537" s="14">
        <f>IFERROR(__xludf.DUMMYFUNCTION("""COMPUTED_VALUE"""),738665.0)</f>
        <v>738665</v>
      </c>
      <c r="C2537" s="14" t="str">
        <f>IFERROR(__xludf.DUMMYFUNCTION("""COMPUTED_VALUE"""),"馮秀珠")</f>
        <v>馮秀珠</v>
      </c>
      <c r="D2537" s="16" t="str">
        <f>IFERROR(__xludf.DUMMYFUNCTION("""COMPUTED_VALUE"""),"900*****sh.cy.edu.tw")</f>
        <v>900*****sh.cy.edu.tw</v>
      </c>
      <c r="E2537" s="17" t="str">
        <f>IFERROR(__xludf.DUMMYFUNCTION("""COMPUTED_VALUE"""),"嘉義市私立興華高級中學附設國中部")</f>
        <v>嘉義市私立興華高級中學附設國中部</v>
      </c>
      <c r="F2537" s="14" t="str">
        <f>IFERROR(__xludf.DUMMYFUNCTION("""COMPUTED_VALUE"""),"九年級")</f>
        <v>九年級</v>
      </c>
      <c r="G2537" s="14" t="str">
        <f>IFERROR(__xludf.DUMMYFUNCTION("""COMPUTED_VALUE"""),"●小禮物")</f>
        <v>●小禮物</v>
      </c>
      <c r="H2537" s="8"/>
    </row>
    <row r="2538">
      <c r="A2538" s="18"/>
      <c r="B2538" s="14">
        <f>IFERROR(__xludf.DUMMYFUNCTION("""COMPUTED_VALUE"""),738631.0)</f>
        <v>738631</v>
      </c>
      <c r="C2538" s="14" t="str">
        <f>IFERROR(__xludf.DUMMYFUNCTION("""COMPUTED_VALUE"""),"賴芷淇")</f>
        <v>賴芷淇</v>
      </c>
      <c r="D2538" s="16" t="str">
        <f>IFERROR(__xludf.DUMMYFUNCTION("""COMPUTED_VALUE"""),"900*****sh.cy.edu.tw")</f>
        <v>900*****sh.cy.edu.tw</v>
      </c>
      <c r="E2538" s="17" t="str">
        <f>IFERROR(__xludf.DUMMYFUNCTION("""COMPUTED_VALUE"""),"嘉義市私立興華高級中學附設國中部")</f>
        <v>嘉義市私立興華高級中學附設國中部</v>
      </c>
      <c r="F2538" s="14" t="str">
        <f>IFERROR(__xludf.DUMMYFUNCTION("""COMPUTED_VALUE"""),"九年級")</f>
        <v>九年級</v>
      </c>
      <c r="G2538" s="14" t="str">
        <f>IFERROR(__xludf.DUMMYFUNCTION("""COMPUTED_VALUE"""),"●小禮物")</f>
        <v>●小禮物</v>
      </c>
      <c r="H2538" s="8"/>
    </row>
    <row r="2539">
      <c r="A2539" s="18"/>
      <c r="B2539" s="14">
        <f>IFERROR(__xludf.DUMMYFUNCTION("""COMPUTED_VALUE"""),738621.0)</f>
        <v>738621</v>
      </c>
      <c r="C2539" s="14" t="str">
        <f>IFERROR(__xludf.DUMMYFUNCTION("""COMPUTED_VALUE"""),"呂承熙")</f>
        <v>呂承熙</v>
      </c>
      <c r="D2539" s="16" t="str">
        <f>IFERROR(__xludf.DUMMYFUNCTION("""COMPUTED_VALUE"""),"900*****sh.cy.edu.tw")</f>
        <v>900*****sh.cy.edu.tw</v>
      </c>
      <c r="E2539" s="17" t="str">
        <f>IFERROR(__xludf.DUMMYFUNCTION("""COMPUTED_VALUE"""),"嘉義市私立興華高級中學附設國中部")</f>
        <v>嘉義市私立興華高級中學附設國中部</v>
      </c>
      <c r="F2539" s="14" t="str">
        <f>IFERROR(__xludf.DUMMYFUNCTION("""COMPUTED_VALUE"""),"九年級")</f>
        <v>九年級</v>
      </c>
      <c r="G2539" s="14" t="str">
        <f>IFERROR(__xludf.DUMMYFUNCTION("""COMPUTED_VALUE"""),"獎狀")</f>
        <v>獎狀</v>
      </c>
      <c r="H2539" s="8"/>
    </row>
    <row r="2540">
      <c r="A2540" s="18"/>
      <c r="B2540" s="14">
        <f>IFERROR(__xludf.DUMMYFUNCTION("""COMPUTED_VALUE"""),738623.0)</f>
        <v>738623</v>
      </c>
      <c r="C2540" s="14" t="str">
        <f>IFERROR(__xludf.DUMMYFUNCTION("""COMPUTED_VALUE"""),"陳芊樺")</f>
        <v>陳芊樺</v>
      </c>
      <c r="D2540" s="16" t="str">
        <f>IFERROR(__xludf.DUMMYFUNCTION("""COMPUTED_VALUE"""),"900*****sh.cy.edu.tw")</f>
        <v>900*****sh.cy.edu.tw</v>
      </c>
      <c r="E2540" s="17" t="str">
        <f>IFERROR(__xludf.DUMMYFUNCTION("""COMPUTED_VALUE"""),"嘉義市私立興華高級中學附設國中部")</f>
        <v>嘉義市私立興華高級中學附設國中部</v>
      </c>
      <c r="F2540" s="14" t="str">
        <f>IFERROR(__xludf.DUMMYFUNCTION("""COMPUTED_VALUE"""),"九年級")</f>
        <v>九年級</v>
      </c>
      <c r="G2540" s="14" t="str">
        <f>IFERROR(__xludf.DUMMYFUNCTION("""COMPUTED_VALUE"""),"獎狀")</f>
        <v>獎狀</v>
      </c>
      <c r="H2540" s="8"/>
    </row>
    <row r="2541">
      <c r="A2541" s="18"/>
      <c r="B2541" s="14">
        <f>IFERROR(__xludf.DUMMYFUNCTION("""COMPUTED_VALUE"""),1205979.0)</f>
        <v>1205979</v>
      </c>
      <c r="C2541" s="14" t="str">
        <f>IFERROR(__xludf.DUMMYFUNCTION("""COMPUTED_VALUE"""),"黃佳惠")</f>
        <v>黃佳惠</v>
      </c>
      <c r="D2541" s="16" t="str">
        <f>IFERROR(__xludf.DUMMYFUNCTION("""COMPUTED_VALUE"""),"900*****sh.cy.edu.tw")</f>
        <v>900*****sh.cy.edu.tw</v>
      </c>
      <c r="E2541" s="17" t="str">
        <f>IFERROR(__xludf.DUMMYFUNCTION("""COMPUTED_VALUE"""),"嘉義市私立興華高級中學附設國中部")</f>
        <v>嘉義市私立興華高級中學附設國中部</v>
      </c>
      <c r="F2541" s="14" t="str">
        <f>IFERROR(__xludf.DUMMYFUNCTION("""COMPUTED_VALUE"""),"九年級")</f>
        <v>九年級</v>
      </c>
      <c r="G2541" s="14" t="str">
        <f>IFERROR(__xludf.DUMMYFUNCTION("""COMPUTED_VALUE"""),"●小禮物")</f>
        <v>●小禮物</v>
      </c>
      <c r="H2541" s="8"/>
    </row>
    <row r="2542">
      <c r="A2542" s="18"/>
      <c r="B2542" s="14">
        <f>IFERROR(__xludf.DUMMYFUNCTION("""COMPUTED_VALUE"""),959214.0)</f>
        <v>959214</v>
      </c>
      <c r="C2542" s="14" t="str">
        <f>IFERROR(__xludf.DUMMYFUNCTION("""COMPUTED_VALUE"""),"楊雅晴")</f>
        <v>楊雅晴</v>
      </c>
      <c r="D2542" s="16" t="str">
        <f>IFERROR(__xludf.DUMMYFUNCTION("""COMPUTED_VALUE"""),"900*****sh.cy.edu.tw")</f>
        <v>900*****sh.cy.edu.tw</v>
      </c>
      <c r="E2542" s="17" t="str">
        <f>IFERROR(__xludf.DUMMYFUNCTION("""COMPUTED_VALUE"""),"嘉義市私立興華高級中學附設國中部")</f>
        <v>嘉義市私立興華高級中學附設國中部</v>
      </c>
      <c r="F2542" s="14" t="str">
        <f>IFERROR(__xludf.DUMMYFUNCTION("""COMPUTED_VALUE"""),"九年級")</f>
        <v>九年級</v>
      </c>
      <c r="G2542" s="14" t="str">
        <f>IFERROR(__xludf.DUMMYFUNCTION("""COMPUTED_VALUE"""),"★禮券$200")</f>
        <v>★禮券$200</v>
      </c>
      <c r="H2542" s="8"/>
    </row>
    <row r="2543">
      <c r="A2543" s="18"/>
      <c r="B2543" s="14">
        <f>IFERROR(__xludf.DUMMYFUNCTION("""COMPUTED_VALUE"""),959218.0)</f>
        <v>959218</v>
      </c>
      <c r="C2543" s="14" t="str">
        <f>IFERROR(__xludf.DUMMYFUNCTION("""COMPUTED_VALUE"""),"洪瑞祺")</f>
        <v>洪瑞祺</v>
      </c>
      <c r="D2543" s="16" t="str">
        <f>IFERROR(__xludf.DUMMYFUNCTION("""COMPUTED_VALUE"""),"900*****sh.cy.edu.tw")</f>
        <v>900*****sh.cy.edu.tw</v>
      </c>
      <c r="E2543" s="17" t="str">
        <f>IFERROR(__xludf.DUMMYFUNCTION("""COMPUTED_VALUE"""),"嘉義市私立興華高級中學附設國中部")</f>
        <v>嘉義市私立興華高級中學附設國中部</v>
      </c>
      <c r="F2543" s="14" t="str">
        <f>IFERROR(__xludf.DUMMYFUNCTION("""COMPUTED_VALUE"""),"九年級")</f>
        <v>九年級</v>
      </c>
      <c r="G2543" s="14" t="str">
        <f>IFERROR(__xludf.DUMMYFUNCTION("""COMPUTED_VALUE"""),"獎狀")</f>
        <v>獎狀</v>
      </c>
      <c r="H2543" s="8"/>
    </row>
    <row r="2544">
      <c r="A2544" s="18"/>
      <c r="B2544" s="14">
        <f>IFERROR(__xludf.DUMMYFUNCTION("""COMPUTED_VALUE"""),959264.0)</f>
        <v>959264</v>
      </c>
      <c r="C2544" s="14" t="str">
        <f>IFERROR(__xludf.DUMMYFUNCTION("""COMPUTED_VALUE"""),"林子莛")</f>
        <v>林子莛</v>
      </c>
      <c r="D2544" s="16" t="str">
        <f>IFERROR(__xludf.DUMMYFUNCTION("""COMPUTED_VALUE"""),"900*****sh.cy.edu.tw")</f>
        <v>900*****sh.cy.edu.tw</v>
      </c>
      <c r="E2544" s="17" t="str">
        <f>IFERROR(__xludf.DUMMYFUNCTION("""COMPUTED_VALUE"""),"嘉義市私立興華高級中學附設國中部")</f>
        <v>嘉義市私立興華高級中學附設國中部</v>
      </c>
      <c r="F2544" s="14" t="str">
        <f>IFERROR(__xludf.DUMMYFUNCTION("""COMPUTED_VALUE"""),"九年級")</f>
        <v>九年級</v>
      </c>
      <c r="G2544" s="14" t="str">
        <f>IFERROR(__xludf.DUMMYFUNCTION("""COMPUTED_VALUE"""),"●小禮物")</f>
        <v>●小禮物</v>
      </c>
      <c r="H2544" s="8"/>
    </row>
    <row r="2545">
      <c r="A2545" s="18"/>
      <c r="B2545" s="14">
        <f>IFERROR(__xludf.DUMMYFUNCTION("""COMPUTED_VALUE"""),1050576.0)</f>
        <v>1050576</v>
      </c>
      <c r="C2545" s="14" t="str">
        <f>IFERROR(__xludf.DUMMYFUNCTION("""COMPUTED_VALUE"""),"林玟妡")</f>
        <v>林玟妡</v>
      </c>
      <c r="D2545" s="16" t="str">
        <f>IFERROR(__xludf.DUMMYFUNCTION("""COMPUTED_VALUE"""),"901*****sh.cy.edu.tw")</f>
        <v>901*****sh.cy.edu.tw</v>
      </c>
      <c r="E2545" s="17" t="str">
        <f>IFERROR(__xludf.DUMMYFUNCTION("""COMPUTED_VALUE"""),"嘉義市私立興華高級中學附設國中部")</f>
        <v>嘉義市私立興華高級中學附設國中部</v>
      </c>
      <c r="F2545" s="14" t="str">
        <f>IFERROR(__xludf.DUMMYFUNCTION("""COMPUTED_VALUE"""),"九年級")</f>
        <v>九年級</v>
      </c>
      <c r="G2545" s="14" t="str">
        <f>IFERROR(__xludf.DUMMYFUNCTION("""COMPUTED_VALUE"""),"●小禮物")</f>
        <v>●小禮物</v>
      </c>
      <c r="H2545" s="8"/>
    </row>
    <row r="2546">
      <c r="A2546" s="18"/>
      <c r="B2546" s="14">
        <f>IFERROR(__xludf.DUMMYFUNCTION("""COMPUTED_VALUE"""),959192.0)</f>
        <v>959192</v>
      </c>
      <c r="C2546" s="14" t="str">
        <f>IFERROR(__xludf.DUMMYFUNCTION("""COMPUTED_VALUE"""),"郭家勝")</f>
        <v>郭家勝</v>
      </c>
      <c r="D2546" s="16" t="str">
        <f>IFERROR(__xludf.DUMMYFUNCTION("""COMPUTED_VALUE"""),"jas*****961206@gmail.com")</f>
        <v>jas*****961206@gmail.com</v>
      </c>
      <c r="E2546" s="17" t="str">
        <f>IFERROR(__xludf.DUMMYFUNCTION("""COMPUTED_VALUE"""),"嘉義市私立興華高級中學附設國中部")</f>
        <v>嘉義市私立興華高級中學附設國中部</v>
      </c>
      <c r="F2546" s="14" t="str">
        <f>IFERROR(__xludf.DUMMYFUNCTION("""COMPUTED_VALUE"""),"九年級")</f>
        <v>九年級</v>
      </c>
      <c r="G2546" s="14" t="str">
        <f>IFERROR(__xludf.DUMMYFUNCTION("""COMPUTED_VALUE"""),"★禮券$500")</f>
        <v>★禮券$500</v>
      </c>
      <c r="H2546" s="8"/>
    </row>
    <row r="2547">
      <c r="A2547" s="18"/>
      <c r="B2547" s="14">
        <f>IFERROR(__xludf.DUMMYFUNCTION("""COMPUTED_VALUE"""),1050558.0)</f>
        <v>1050558</v>
      </c>
      <c r="C2547" s="14" t="str">
        <f>IFERROR(__xludf.DUMMYFUNCTION("""COMPUTED_VALUE"""),"邱香溱")</f>
        <v>邱香溱</v>
      </c>
      <c r="D2547" s="16" t="str">
        <f>IFERROR(__xludf.DUMMYFUNCTION("""COMPUTED_VALUE"""),"900*****sh.cy.edu.tw")</f>
        <v>900*****sh.cy.edu.tw</v>
      </c>
      <c r="E2547" s="17" t="str">
        <f>IFERROR(__xludf.DUMMYFUNCTION("""COMPUTED_VALUE"""),"嘉義市私立興華高級中學附設國中部")</f>
        <v>嘉義市私立興華高級中學附設國中部</v>
      </c>
      <c r="F2547" s="14" t="str">
        <f>IFERROR(__xludf.DUMMYFUNCTION("""COMPUTED_VALUE"""),"九年級")</f>
        <v>九年級</v>
      </c>
      <c r="G2547" s="14" t="str">
        <f>IFERROR(__xludf.DUMMYFUNCTION("""COMPUTED_VALUE"""),"獎狀")</f>
        <v>獎狀</v>
      </c>
      <c r="H2547" s="8"/>
    </row>
    <row r="2548">
      <c r="A2548" s="18"/>
      <c r="B2548" s="14">
        <f>IFERROR(__xludf.DUMMYFUNCTION("""COMPUTED_VALUE"""),959209.0)</f>
        <v>959209</v>
      </c>
      <c r="C2548" s="14" t="str">
        <f>IFERROR(__xludf.DUMMYFUNCTION("""COMPUTED_VALUE"""),"陳昕妍")</f>
        <v>陳昕妍</v>
      </c>
      <c r="D2548" s="16" t="str">
        <f>IFERROR(__xludf.DUMMYFUNCTION("""COMPUTED_VALUE"""),"901*****sh.cy.edu.tw")</f>
        <v>901*****sh.cy.edu.tw</v>
      </c>
      <c r="E2548" s="17" t="str">
        <f>IFERROR(__xludf.DUMMYFUNCTION("""COMPUTED_VALUE"""),"嘉義市私立興華高級中學附設國中部")</f>
        <v>嘉義市私立興華高級中學附設國中部</v>
      </c>
      <c r="F2548" s="14" t="str">
        <f>IFERROR(__xludf.DUMMYFUNCTION("""COMPUTED_VALUE"""),"九年級")</f>
        <v>九年級</v>
      </c>
      <c r="G2548" s="14" t="str">
        <f>IFERROR(__xludf.DUMMYFUNCTION("""COMPUTED_VALUE"""),"獎狀")</f>
        <v>獎狀</v>
      </c>
      <c r="H2548" s="8"/>
    </row>
    <row r="2549">
      <c r="A2549" s="18"/>
      <c r="B2549" s="14">
        <f>IFERROR(__xludf.DUMMYFUNCTION("""COMPUTED_VALUE"""),1050578.0)</f>
        <v>1050578</v>
      </c>
      <c r="C2549" s="14" t="str">
        <f>IFERROR(__xludf.DUMMYFUNCTION("""COMPUTED_VALUE"""),"廖晨睿")</f>
        <v>廖晨睿</v>
      </c>
      <c r="D2549" s="16" t="str">
        <f>IFERROR(__xludf.DUMMYFUNCTION("""COMPUTED_VALUE"""),"901*****sh.cy.edu.tw")</f>
        <v>901*****sh.cy.edu.tw</v>
      </c>
      <c r="E2549" s="17" t="str">
        <f>IFERROR(__xludf.DUMMYFUNCTION("""COMPUTED_VALUE"""),"嘉義市私立興華高級中學附設國中部")</f>
        <v>嘉義市私立興華高級中學附設國中部</v>
      </c>
      <c r="F2549" s="14" t="str">
        <f>IFERROR(__xludf.DUMMYFUNCTION("""COMPUTED_VALUE"""),"九年級")</f>
        <v>九年級</v>
      </c>
      <c r="G2549" s="14" t="str">
        <f>IFERROR(__xludf.DUMMYFUNCTION("""COMPUTED_VALUE"""),"獎狀")</f>
        <v>獎狀</v>
      </c>
      <c r="H2549" s="8"/>
    </row>
    <row r="2550">
      <c r="A2550" s="18"/>
      <c r="B2550" s="14">
        <f>IFERROR(__xludf.DUMMYFUNCTION("""COMPUTED_VALUE"""),1198884.0)</f>
        <v>1198884</v>
      </c>
      <c r="C2550" s="14" t="str">
        <f>IFERROR(__xludf.DUMMYFUNCTION("""COMPUTED_VALUE"""),"沈辰恩")</f>
        <v>沈辰恩</v>
      </c>
      <c r="D2550" s="16" t="str">
        <f>IFERROR(__xludf.DUMMYFUNCTION("""COMPUTED_VALUE"""),"901*****sh.cy.edu.tw")</f>
        <v>901*****sh.cy.edu.tw</v>
      </c>
      <c r="E2550" s="17" t="str">
        <f>IFERROR(__xludf.DUMMYFUNCTION("""COMPUTED_VALUE"""),"嘉義市私立興華高級中學附設國中部")</f>
        <v>嘉義市私立興華高級中學附設國中部</v>
      </c>
      <c r="F2550" s="14" t="str">
        <f>IFERROR(__xludf.DUMMYFUNCTION("""COMPUTED_VALUE"""),"九年級")</f>
        <v>九年級</v>
      </c>
      <c r="G2550" s="14" t="str">
        <f>IFERROR(__xludf.DUMMYFUNCTION("""COMPUTED_VALUE"""),"●小禮物")</f>
        <v>●小禮物</v>
      </c>
      <c r="H2550" s="8"/>
    </row>
    <row r="2551">
      <c r="A2551" s="18"/>
      <c r="B2551" s="14">
        <f>IFERROR(__xludf.DUMMYFUNCTION("""COMPUTED_VALUE"""),1050525.0)</f>
        <v>1050525</v>
      </c>
      <c r="C2551" s="14" t="str">
        <f>IFERROR(__xludf.DUMMYFUNCTION("""COMPUTED_VALUE"""),"侯冠丞")</f>
        <v>侯冠丞</v>
      </c>
      <c r="D2551" s="16" t="str">
        <f>IFERROR(__xludf.DUMMYFUNCTION("""COMPUTED_VALUE"""),"901*****sh.cy.edu.tw")</f>
        <v>901*****sh.cy.edu.tw</v>
      </c>
      <c r="E2551" s="17" t="str">
        <f>IFERROR(__xludf.DUMMYFUNCTION("""COMPUTED_VALUE"""),"嘉義市私立興華高級中學附設國中部")</f>
        <v>嘉義市私立興華高級中學附設國中部</v>
      </c>
      <c r="F2551" s="14" t="str">
        <f>IFERROR(__xludf.DUMMYFUNCTION("""COMPUTED_VALUE"""),"九年級")</f>
        <v>九年級</v>
      </c>
      <c r="G2551" s="14" t="str">
        <f>IFERROR(__xludf.DUMMYFUNCTION("""COMPUTED_VALUE"""),"●小禮物")</f>
        <v>●小禮物</v>
      </c>
      <c r="H2551" s="8"/>
    </row>
    <row r="2552">
      <c r="A2552" s="18"/>
      <c r="B2552" s="14">
        <f>IFERROR(__xludf.DUMMYFUNCTION("""COMPUTED_VALUE"""),959296.0)</f>
        <v>959296</v>
      </c>
      <c r="C2552" s="14" t="str">
        <f>IFERROR(__xludf.DUMMYFUNCTION("""COMPUTED_VALUE"""),"廖于榕")</f>
        <v>廖于榕</v>
      </c>
      <c r="D2552" s="16" t="str">
        <f>IFERROR(__xludf.DUMMYFUNCTION("""COMPUTED_VALUE"""),"901*****sh.cy.edu.tw")</f>
        <v>901*****sh.cy.edu.tw</v>
      </c>
      <c r="E2552" s="17" t="str">
        <f>IFERROR(__xludf.DUMMYFUNCTION("""COMPUTED_VALUE"""),"嘉義市私立興華高級中學附設國中部")</f>
        <v>嘉義市私立興華高級中學附設國中部</v>
      </c>
      <c r="F2552" s="14" t="str">
        <f>IFERROR(__xludf.DUMMYFUNCTION("""COMPUTED_VALUE"""),"九年級")</f>
        <v>九年級</v>
      </c>
      <c r="G2552" s="14" t="str">
        <f>IFERROR(__xludf.DUMMYFUNCTION("""COMPUTED_VALUE"""),"●小禮物")</f>
        <v>●小禮物</v>
      </c>
      <c r="H2552" s="8"/>
    </row>
    <row r="2553">
      <c r="A2553" s="18"/>
      <c r="B2553" s="14">
        <f>IFERROR(__xludf.DUMMYFUNCTION("""COMPUTED_VALUE"""),959168.0)</f>
        <v>959168</v>
      </c>
      <c r="C2553" s="14" t="str">
        <f>IFERROR(__xludf.DUMMYFUNCTION("""COMPUTED_VALUE"""),"劉芳君")</f>
        <v>劉芳君</v>
      </c>
      <c r="D2553" s="16" t="str">
        <f>IFERROR(__xludf.DUMMYFUNCTION("""COMPUTED_VALUE"""),"901*****sh.cy.edu.tw")</f>
        <v>901*****sh.cy.edu.tw</v>
      </c>
      <c r="E2553" s="17" t="str">
        <f>IFERROR(__xludf.DUMMYFUNCTION("""COMPUTED_VALUE"""),"嘉義市私立興華高級中學附設國中部")</f>
        <v>嘉義市私立興華高級中學附設國中部</v>
      </c>
      <c r="F2553" s="14" t="str">
        <f>IFERROR(__xludf.DUMMYFUNCTION("""COMPUTED_VALUE"""),"九年級")</f>
        <v>九年級</v>
      </c>
      <c r="G2553" s="14" t="str">
        <f>IFERROR(__xludf.DUMMYFUNCTION("""COMPUTED_VALUE"""),"●小禮物")</f>
        <v>●小禮物</v>
      </c>
      <c r="H2553" s="8"/>
    </row>
    <row r="2554">
      <c r="A2554" s="18"/>
      <c r="B2554" s="14">
        <f>IFERROR(__xludf.DUMMYFUNCTION("""COMPUTED_VALUE"""),959174.0)</f>
        <v>959174</v>
      </c>
      <c r="C2554" s="14" t="str">
        <f>IFERROR(__xludf.DUMMYFUNCTION("""COMPUTED_VALUE"""),"許稟鑫")</f>
        <v>許稟鑫</v>
      </c>
      <c r="D2554" s="16" t="str">
        <f>IFERROR(__xludf.DUMMYFUNCTION("""COMPUTED_VALUE"""),"901*****sh.cy.edu.tw")</f>
        <v>901*****sh.cy.edu.tw</v>
      </c>
      <c r="E2554" s="17" t="str">
        <f>IFERROR(__xludf.DUMMYFUNCTION("""COMPUTED_VALUE"""),"嘉義市私立興華高級中學附設國中部")</f>
        <v>嘉義市私立興華高級中學附設國中部</v>
      </c>
      <c r="F2554" s="14" t="str">
        <f>IFERROR(__xludf.DUMMYFUNCTION("""COMPUTED_VALUE"""),"九年級")</f>
        <v>九年級</v>
      </c>
      <c r="G2554" s="14" t="str">
        <f>IFERROR(__xludf.DUMMYFUNCTION("""COMPUTED_VALUE"""),"獎狀")</f>
        <v>獎狀</v>
      </c>
      <c r="H2554" s="8"/>
    </row>
    <row r="2555">
      <c r="A2555" s="18"/>
      <c r="B2555" s="14">
        <f>IFERROR(__xludf.DUMMYFUNCTION("""COMPUTED_VALUE"""),420778.0)</f>
        <v>420778</v>
      </c>
      <c r="C2555" s="14" t="str">
        <f>IFERROR(__xludf.DUMMYFUNCTION("""COMPUTED_VALUE"""),"蘇品熏")</f>
        <v>蘇品熏</v>
      </c>
      <c r="D2555" s="16" t="str">
        <f>IFERROR(__xludf.DUMMYFUNCTION("""COMPUTED_VALUE"""),"sha*****20su@gmail.com")</f>
        <v>sha*****20su@gmail.com</v>
      </c>
      <c r="E2555" s="17" t="str">
        <f>IFERROR(__xludf.DUMMYFUNCTION("""COMPUTED_VALUE"""),"嘉義市私立興華高級中學附設國中部")</f>
        <v>嘉義市私立興華高級中學附設國中部</v>
      </c>
      <c r="F2555" s="14" t="str">
        <f>IFERROR(__xludf.DUMMYFUNCTION("""COMPUTED_VALUE"""),"九年級")</f>
        <v>九年級</v>
      </c>
      <c r="G2555" s="14" t="str">
        <f>IFERROR(__xludf.DUMMYFUNCTION("""COMPUTED_VALUE"""),"獎狀")</f>
        <v>獎狀</v>
      </c>
      <c r="H2555" s="8"/>
    </row>
    <row r="2556">
      <c r="A2556" s="18"/>
      <c r="B2556" s="14">
        <f>IFERROR(__xludf.DUMMYFUNCTION("""COMPUTED_VALUE"""),1185804.0)</f>
        <v>1185804</v>
      </c>
      <c r="C2556" s="14" t="str">
        <f>IFERROR(__xludf.DUMMYFUNCTION("""COMPUTED_VALUE"""),"邱柏昌")</f>
        <v>邱柏昌</v>
      </c>
      <c r="D2556" s="16" t="str">
        <f>IFERROR(__xludf.DUMMYFUNCTION("""COMPUTED_VALUE"""),"111*****sjh.cy.edu.tw")</f>
        <v>111*****sjh.cy.edu.tw</v>
      </c>
      <c r="E2556" s="17" t="str">
        <f>IFERROR(__xludf.DUMMYFUNCTION("""COMPUTED_VALUE"""),"嘉義市立南興國民中學")</f>
        <v>嘉義市立南興國民中學</v>
      </c>
      <c r="F2556" s="14" t="str">
        <f>IFERROR(__xludf.DUMMYFUNCTION("""COMPUTED_VALUE"""),"七年級")</f>
        <v>七年級</v>
      </c>
      <c r="G2556" s="14" t="str">
        <f>IFERROR(__xludf.DUMMYFUNCTION("""COMPUTED_VALUE"""),"●小禮物")</f>
        <v>●小禮物</v>
      </c>
      <c r="H2556" s="8"/>
    </row>
    <row r="2557">
      <c r="A2557" s="18"/>
      <c r="B2557" s="14">
        <f>IFERROR(__xludf.DUMMYFUNCTION("""COMPUTED_VALUE"""),1185715.0)</f>
        <v>1185715</v>
      </c>
      <c r="C2557" s="14" t="str">
        <f>IFERROR(__xludf.DUMMYFUNCTION("""COMPUTED_VALUE"""),"蔡承峻")</f>
        <v>蔡承峻</v>
      </c>
      <c r="D2557" s="16" t="str">
        <f>IFERROR(__xludf.DUMMYFUNCTION("""COMPUTED_VALUE"""),"cw1*****11@mail.edu.tw")</f>
        <v>cw1*****11@mail.edu.tw</v>
      </c>
      <c r="E2557" s="17" t="str">
        <f>IFERROR(__xludf.DUMMYFUNCTION("""COMPUTED_VALUE"""),"嘉義市立南興國民中學")</f>
        <v>嘉義市立南興國民中學</v>
      </c>
      <c r="F2557" s="14" t="str">
        <f>IFERROR(__xludf.DUMMYFUNCTION("""COMPUTED_VALUE"""),"七年級")</f>
        <v>七年級</v>
      </c>
      <c r="G2557" s="14" t="str">
        <f>IFERROR(__xludf.DUMMYFUNCTION("""COMPUTED_VALUE"""),"●小禮物")</f>
        <v>●小禮物</v>
      </c>
      <c r="H2557" s="8"/>
    </row>
    <row r="2558">
      <c r="A2558" s="18"/>
      <c r="B2558" s="14">
        <f>IFERROR(__xludf.DUMMYFUNCTION("""COMPUTED_VALUE"""),1185712.0)</f>
        <v>1185712</v>
      </c>
      <c r="C2558" s="14" t="str">
        <f>IFERROR(__xludf.DUMMYFUNCTION("""COMPUTED_VALUE"""),"黃氏燕兒")</f>
        <v>黃氏燕兒</v>
      </c>
      <c r="D2558" s="16" t="str">
        <f>IFERROR(__xludf.DUMMYFUNCTION("""COMPUTED_VALUE"""),"nsj*****.cy@mail.edu.tw")</f>
        <v>nsj*****.cy@mail.edu.tw</v>
      </c>
      <c r="E2558" s="17" t="str">
        <f>IFERROR(__xludf.DUMMYFUNCTION("""COMPUTED_VALUE"""),"嘉義市立南興國民中學")</f>
        <v>嘉義市立南興國民中學</v>
      </c>
      <c r="F2558" s="14" t="str">
        <f>IFERROR(__xludf.DUMMYFUNCTION("""COMPUTED_VALUE"""),"七年級")</f>
        <v>七年級</v>
      </c>
      <c r="G2558" s="14" t="str">
        <f>IFERROR(__xludf.DUMMYFUNCTION("""COMPUTED_VALUE"""),"獎狀")</f>
        <v>獎狀</v>
      </c>
      <c r="H2558" s="8"/>
    </row>
    <row r="2559">
      <c r="A2559" s="18"/>
      <c r="B2559" s="14">
        <f>IFERROR(__xludf.DUMMYFUNCTION("""COMPUTED_VALUE"""),1191170.0)</f>
        <v>1191170</v>
      </c>
      <c r="C2559" s="14" t="str">
        <f>IFERROR(__xludf.DUMMYFUNCTION("""COMPUTED_VALUE"""),"莊晉綸")</f>
        <v>莊晉綸</v>
      </c>
      <c r="D2559" s="16" t="str">
        <f>IFERROR(__xludf.DUMMYFUNCTION("""COMPUTED_VALUE"""),"111*****sjh.cy.edu.tw")</f>
        <v>111*****sjh.cy.edu.tw</v>
      </c>
      <c r="E2559" s="17" t="str">
        <f>IFERROR(__xludf.DUMMYFUNCTION("""COMPUTED_VALUE"""),"嘉義市立南興國民中學")</f>
        <v>嘉義市立南興國民中學</v>
      </c>
      <c r="F2559" s="14" t="str">
        <f>IFERROR(__xludf.DUMMYFUNCTION("""COMPUTED_VALUE"""),"七年級")</f>
        <v>七年級</v>
      </c>
      <c r="G2559" s="14" t="str">
        <f>IFERROR(__xludf.DUMMYFUNCTION("""COMPUTED_VALUE"""),"●小禮物")</f>
        <v>●小禮物</v>
      </c>
      <c r="H2559" s="8"/>
    </row>
    <row r="2560">
      <c r="A2560" s="18"/>
      <c r="B2560" s="14">
        <f>IFERROR(__xludf.DUMMYFUNCTION("""COMPUTED_VALUE"""),988727.0)</f>
        <v>988727</v>
      </c>
      <c r="C2560" s="14" t="str">
        <f>IFERROR(__xludf.DUMMYFUNCTION("""COMPUTED_VALUE"""),"葉慈妤")</f>
        <v>葉慈妤</v>
      </c>
      <c r="D2560" s="16" t="str">
        <f>IFERROR(__xludf.DUMMYFUNCTION("""COMPUTED_VALUE"""),"hmp*****13@mail.edu.tw")</f>
        <v>hmp*****13@mail.edu.tw</v>
      </c>
      <c r="E2560" s="17" t="str">
        <f>IFERROR(__xludf.DUMMYFUNCTION("""COMPUTED_VALUE"""),"嘉義市立南興國民中學")</f>
        <v>嘉義市立南興國民中學</v>
      </c>
      <c r="F2560" s="14" t="str">
        <f>IFERROR(__xludf.DUMMYFUNCTION("""COMPUTED_VALUE"""),"七年級")</f>
        <v>七年級</v>
      </c>
      <c r="G2560" s="14" t="str">
        <f>IFERROR(__xludf.DUMMYFUNCTION("""COMPUTED_VALUE"""),"●小禮物")</f>
        <v>●小禮物</v>
      </c>
      <c r="H2560" s="8"/>
    </row>
    <row r="2561">
      <c r="A2561" s="18"/>
      <c r="B2561" s="14">
        <f>IFERROR(__xludf.DUMMYFUNCTION("""COMPUTED_VALUE"""),1007087.0)</f>
        <v>1007087</v>
      </c>
      <c r="C2561" s="14" t="str">
        <f>IFERROR(__xludf.DUMMYFUNCTION("""COMPUTED_VALUE"""),"潘睿晴")</f>
        <v>潘睿晴</v>
      </c>
      <c r="D2561" s="16" t="str">
        <f>IFERROR(__xludf.DUMMYFUNCTION("""COMPUTED_VALUE"""),"rac*****8@mail.edu.tw")</f>
        <v>rac*****8@mail.edu.tw</v>
      </c>
      <c r="E2561" s="17" t="str">
        <f>IFERROR(__xludf.DUMMYFUNCTION("""COMPUTED_VALUE"""),"嘉義市立南興國民中學")</f>
        <v>嘉義市立南興國民中學</v>
      </c>
      <c r="F2561" s="14" t="str">
        <f>IFERROR(__xludf.DUMMYFUNCTION("""COMPUTED_VALUE"""),"七年級")</f>
        <v>七年級</v>
      </c>
      <c r="G2561" s="14" t="str">
        <f>IFERROR(__xludf.DUMMYFUNCTION("""COMPUTED_VALUE"""),"獎狀")</f>
        <v>獎狀</v>
      </c>
      <c r="H2561" s="8"/>
    </row>
    <row r="2562">
      <c r="A2562" s="18"/>
      <c r="B2562" s="14">
        <f>IFERROR(__xludf.DUMMYFUNCTION("""COMPUTED_VALUE"""),1185813.0)</f>
        <v>1185813</v>
      </c>
      <c r="C2562" s="14" t="str">
        <f>IFERROR(__xludf.DUMMYFUNCTION("""COMPUTED_VALUE"""),"侯雨順")</f>
        <v>侯雨順</v>
      </c>
      <c r="D2562" s="16" t="str">
        <f>IFERROR(__xludf.DUMMYFUNCTION("""COMPUTED_VALUE"""),"111*****sjh.cy.edu.tw")</f>
        <v>111*****sjh.cy.edu.tw</v>
      </c>
      <c r="E2562" s="17" t="str">
        <f>IFERROR(__xludf.DUMMYFUNCTION("""COMPUTED_VALUE"""),"嘉義市立南興國民中學")</f>
        <v>嘉義市立南興國民中學</v>
      </c>
      <c r="F2562" s="14" t="str">
        <f>IFERROR(__xludf.DUMMYFUNCTION("""COMPUTED_VALUE"""),"七年級")</f>
        <v>七年級</v>
      </c>
      <c r="G2562" s="14" t="str">
        <f>IFERROR(__xludf.DUMMYFUNCTION("""COMPUTED_VALUE"""),"●小禮物")</f>
        <v>●小禮物</v>
      </c>
      <c r="H2562" s="8"/>
    </row>
    <row r="2563">
      <c r="A2563" s="18"/>
      <c r="B2563" s="14">
        <f>IFERROR(__xludf.DUMMYFUNCTION("""COMPUTED_VALUE"""),1185713.0)</f>
        <v>1185713</v>
      </c>
      <c r="C2563" s="14" t="str">
        <f>IFERROR(__xludf.DUMMYFUNCTION("""COMPUTED_VALUE"""),"黃啟恩")</f>
        <v>黃啟恩</v>
      </c>
      <c r="D2563" s="16" t="str">
        <f>IFERROR(__xludf.DUMMYFUNCTION("""COMPUTED_VALUE"""),"cy1*****406.cy@mail.edu.tw")</f>
        <v>cy1*****406.cy@mail.edu.tw</v>
      </c>
      <c r="E2563" s="17" t="str">
        <f>IFERROR(__xludf.DUMMYFUNCTION("""COMPUTED_VALUE"""),"嘉義市立南興國民中學")</f>
        <v>嘉義市立南興國民中學</v>
      </c>
      <c r="F2563" s="14" t="str">
        <f>IFERROR(__xludf.DUMMYFUNCTION("""COMPUTED_VALUE"""),"七年級")</f>
        <v>七年級</v>
      </c>
      <c r="G2563" s="14" t="str">
        <f>IFERROR(__xludf.DUMMYFUNCTION("""COMPUTED_VALUE"""),"●小禮物")</f>
        <v>●小禮物</v>
      </c>
      <c r="H2563" s="8"/>
    </row>
    <row r="2564">
      <c r="A2564" s="18"/>
      <c r="B2564" s="14">
        <f>IFERROR(__xludf.DUMMYFUNCTION("""COMPUTED_VALUE"""),418407.0)</f>
        <v>418407</v>
      </c>
      <c r="C2564" s="14" t="str">
        <f>IFERROR(__xludf.DUMMYFUNCTION("""COMPUTED_VALUE"""),"武妤婷")</f>
        <v>武妤婷</v>
      </c>
      <c r="D2564" s="16" t="str">
        <f>IFERROR(__xludf.DUMMYFUNCTION("""COMPUTED_VALUE"""),"stu*****6.cy@mail.edu.tw")</f>
        <v>stu*****6.cy@mail.edu.tw</v>
      </c>
      <c r="E2564" s="17" t="str">
        <f>IFERROR(__xludf.DUMMYFUNCTION("""COMPUTED_VALUE"""),"嘉義市立南興國民中學")</f>
        <v>嘉義市立南興國民中學</v>
      </c>
      <c r="F2564" s="14" t="str">
        <f>IFERROR(__xludf.DUMMYFUNCTION("""COMPUTED_VALUE"""),"七年級")</f>
        <v>七年級</v>
      </c>
      <c r="G2564" s="14" t="str">
        <f>IFERROR(__xludf.DUMMYFUNCTION("""COMPUTED_VALUE"""),"獎狀")</f>
        <v>獎狀</v>
      </c>
      <c r="H2564" s="8"/>
    </row>
    <row r="2565">
      <c r="A2565" s="18"/>
      <c r="B2565" s="14">
        <f>IFERROR(__xludf.DUMMYFUNCTION("""COMPUTED_VALUE"""),1185707.0)</f>
        <v>1185707</v>
      </c>
      <c r="C2565" s="14" t="str">
        <f>IFERROR(__xludf.DUMMYFUNCTION("""COMPUTED_VALUE"""),"房孜穎")</f>
        <v>房孜穎</v>
      </c>
      <c r="D2565" s="16" t="str">
        <f>IFERROR(__xludf.DUMMYFUNCTION("""COMPUTED_VALUE"""),"man*****6@mail.edu.tw")</f>
        <v>man*****6@mail.edu.tw</v>
      </c>
      <c r="E2565" s="17" t="str">
        <f>IFERROR(__xludf.DUMMYFUNCTION("""COMPUTED_VALUE"""),"嘉義市立南興國民中學")</f>
        <v>嘉義市立南興國民中學</v>
      </c>
      <c r="F2565" s="14" t="str">
        <f>IFERROR(__xludf.DUMMYFUNCTION("""COMPUTED_VALUE"""),"七年級")</f>
        <v>七年級</v>
      </c>
      <c r="G2565" s="14" t="str">
        <f>IFERROR(__xludf.DUMMYFUNCTION("""COMPUTED_VALUE"""),"●小禮物")</f>
        <v>●小禮物</v>
      </c>
      <c r="H2565" s="8"/>
    </row>
    <row r="2566">
      <c r="A2566" s="18"/>
      <c r="B2566" s="14">
        <f>IFERROR(__xludf.DUMMYFUNCTION("""COMPUTED_VALUE"""),1185716.0)</f>
        <v>1185716</v>
      </c>
      <c r="C2566" s="14" t="str">
        <f>IFERROR(__xludf.DUMMYFUNCTION("""COMPUTED_VALUE"""),"林哲煒")</f>
        <v>林哲煒</v>
      </c>
      <c r="D2566" s="16" t="str">
        <f>IFERROR(__xludf.DUMMYFUNCTION("""COMPUTED_VALUE"""),"cys*****36@mail.edu.tw")</f>
        <v>cys*****36@mail.edu.tw</v>
      </c>
      <c r="E2566" s="17" t="str">
        <f>IFERROR(__xludf.DUMMYFUNCTION("""COMPUTED_VALUE"""),"嘉義市立南興國民中學")</f>
        <v>嘉義市立南興國民中學</v>
      </c>
      <c r="F2566" s="14" t="str">
        <f>IFERROR(__xludf.DUMMYFUNCTION("""COMPUTED_VALUE"""),"七年級")</f>
        <v>七年級</v>
      </c>
      <c r="G2566" s="14" t="str">
        <f>IFERROR(__xludf.DUMMYFUNCTION("""COMPUTED_VALUE"""),"●小禮物")</f>
        <v>●小禮物</v>
      </c>
      <c r="H2566" s="8"/>
    </row>
    <row r="2567">
      <c r="A2567" s="18"/>
      <c r="B2567" s="14">
        <f>IFERROR(__xludf.DUMMYFUNCTION("""COMPUTED_VALUE"""),562053.0)</f>
        <v>562053</v>
      </c>
      <c r="C2567" s="14" t="str">
        <f>IFERROR(__xludf.DUMMYFUNCTION("""COMPUTED_VALUE"""),"徐睿懋")</f>
        <v>徐睿懋</v>
      </c>
      <c r="D2567" s="16" t="str">
        <f>IFERROR(__xludf.DUMMYFUNCTION("""COMPUTED_VALUE"""),"stu*****2.cy@mail.edu.tw")</f>
        <v>stu*****2.cy@mail.edu.tw</v>
      </c>
      <c r="E2567" s="17" t="str">
        <f>IFERROR(__xludf.DUMMYFUNCTION("""COMPUTED_VALUE"""),"嘉義市立南興國民中學")</f>
        <v>嘉義市立南興國民中學</v>
      </c>
      <c r="F2567" s="14" t="str">
        <f>IFERROR(__xludf.DUMMYFUNCTION("""COMPUTED_VALUE"""),"七年級")</f>
        <v>七年級</v>
      </c>
      <c r="G2567" s="14" t="str">
        <f>IFERROR(__xludf.DUMMYFUNCTION("""COMPUTED_VALUE"""),"●小禮物")</f>
        <v>●小禮物</v>
      </c>
      <c r="H2567" s="8"/>
    </row>
    <row r="2568">
      <c r="A2568" s="18"/>
      <c r="B2568" s="14">
        <f>IFERROR(__xludf.DUMMYFUNCTION("""COMPUTED_VALUE"""),971956.0)</f>
        <v>971956</v>
      </c>
      <c r="C2568" s="14" t="str">
        <f>IFERROR(__xludf.DUMMYFUNCTION("""COMPUTED_VALUE"""),"陳家婕")</f>
        <v>陳家婕</v>
      </c>
      <c r="D2568" s="16" t="str">
        <f>IFERROR(__xludf.DUMMYFUNCTION("""COMPUTED_VALUE"""),"ckp*****07@mail.edu.tw")</f>
        <v>ckp*****07@mail.edu.tw</v>
      </c>
      <c r="E2568" s="17" t="str">
        <f>IFERROR(__xludf.DUMMYFUNCTION("""COMPUTED_VALUE"""),"嘉義市立南興國民中學")</f>
        <v>嘉義市立南興國民中學</v>
      </c>
      <c r="F2568" s="14" t="str">
        <f>IFERROR(__xludf.DUMMYFUNCTION("""COMPUTED_VALUE"""),"七年級")</f>
        <v>七年級</v>
      </c>
      <c r="G2568" s="14" t="str">
        <f>IFERROR(__xludf.DUMMYFUNCTION("""COMPUTED_VALUE"""),"●小禮物")</f>
        <v>●小禮物</v>
      </c>
      <c r="H2568" s="8"/>
    </row>
    <row r="2569">
      <c r="A2569" s="18"/>
      <c r="B2569" s="14">
        <f>IFERROR(__xludf.DUMMYFUNCTION("""COMPUTED_VALUE"""),982961.0)</f>
        <v>982961</v>
      </c>
      <c r="C2569" s="14" t="str">
        <f>IFERROR(__xludf.DUMMYFUNCTION("""COMPUTED_VALUE"""),"廖育成")</f>
        <v>廖育成</v>
      </c>
      <c r="D2569" s="16" t="str">
        <f>IFERROR(__xludf.DUMMYFUNCTION("""COMPUTED_VALUE"""),"cha*****06@mail.edu.tw")</f>
        <v>cha*****06@mail.edu.tw</v>
      </c>
      <c r="E2569" s="17" t="str">
        <f>IFERROR(__xludf.DUMMYFUNCTION("""COMPUTED_VALUE"""),"嘉義市立南興國民中學")</f>
        <v>嘉義市立南興國民中學</v>
      </c>
      <c r="F2569" s="14" t="str">
        <f>IFERROR(__xludf.DUMMYFUNCTION("""COMPUTED_VALUE"""),"七年級")</f>
        <v>七年級</v>
      </c>
      <c r="G2569" s="14" t="str">
        <f>IFERROR(__xludf.DUMMYFUNCTION("""COMPUTED_VALUE"""),"●小禮物")</f>
        <v>●小禮物</v>
      </c>
      <c r="H2569" s="8"/>
    </row>
    <row r="2570">
      <c r="A2570" s="18"/>
      <c r="B2570" s="14">
        <f>IFERROR(__xludf.DUMMYFUNCTION("""COMPUTED_VALUE"""),874781.0)</f>
        <v>874781</v>
      </c>
      <c r="C2570" s="14" t="str">
        <f>IFERROR(__xludf.DUMMYFUNCTION("""COMPUTED_VALUE"""),"李浚維")</f>
        <v>李浚維</v>
      </c>
      <c r="D2570" s="16" t="str">
        <f>IFERROR(__xludf.DUMMYFUNCTION("""COMPUTED_VALUE"""),"tbn*****6@mail.edu.tw")</f>
        <v>tbn*****6@mail.edu.tw</v>
      </c>
      <c r="E2570" s="17" t="str">
        <f>IFERROR(__xludf.DUMMYFUNCTION("""COMPUTED_VALUE"""),"嘉義市立南興國民中學")</f>
        <v>嘉義市立南興國民中學</v>
      </c>
      <c r="F2570" s="14" t="str">
        <f>IFERROR(__xludf.DUMMYFUNCTION("""COMPUTED_VALUE"""),"七年級")</f>
        <v>七年級</v>
      </c>
      <c r="G2570" s="14" t="str">
        <f>IFERROR(__xludf.DUMMYFUNCTION("""COMPUTED_VALUE"""),"獎狀")</f>
        <v>獎狀</v>
      </c>
      <c r="H2570" s="8"/>
    </row>
    <row r="2571">
      <c r="A2571" s="18"/>
      <c r="B2571" s="14">
        <f>IFERROR(__xludf.DUMMYFUNCTION("""COMPUTED_VALUE"""),992953.0)</f>
        <v>992953</v>
      </c>
      <c r="C2571" s="14" t="str">
        <f>IFERROR(__xludf.DUMMYFUNCTION("""COMPUTED_VALUE"""),"林宜萱")</f>
        <v>林宜萱</v>
      </c>
      <c r="D2571" s="16" t="str">
        <f>IFERROR(__xludf.DUMMYFUNCTION("""COMPUTED_VALUE"""),"sop*****7@mail.edu.tw")</f>
        <v>sop*****7@mail.edu.tw</v>
      </c>
      <c r="E2571" s="17" t="str">
        <f>IFERROR(__xludf.DUMMYFUNCTION("""COMPUTED_VALUE"""),"嘉義市立南興國民中學")</f>
        <v>嘉義市立南興國民中學</v>
      </c>
      <c r="F2571" s="14" t="str">
        <f>IFERROR(__xludf.DUMMYFUNCTION("""COMPUTED_VALUE"""),"七年級")</f>
        <v>七年級</v>
      </c>
      <c r="G2571" s="14" t="str">
        <f>IFERROR(__xludf.DUMMYFUNCTION("""COMPUTED_VALUE"""),"獎狀")</f>
        <v>獎狀</v>
      </c>
      <c r="H2571" s="8"/>
    </row>
    <row r="2572">
      <c r="A2572" s="18"/>
      <c r="B2572" s="14">
        <f>IFERROR(__xludf.DUMMYFUNCTION("""COMPUTED_VALUE"""),1185714.0)</f>
        <v>1185714</v>
      </c>
      <c r="C2572" s="14" t="str">
        <f>IFERROR(__xludf.DUMMYFUNCTION("""COMPUTED_VALUE"""),"陳亞葳")</f>
        <v>陳亞葳</v>
      </c>
      <c r="D2572" s="16" t="str">
        <f>IFERROR(__xludf.DUMMYFUNCTION("""COMPUTED_VALUE"""),"cys*****72@mail.edu.tw")</f>
        <v>cys*****72@mail.edu.tw</v>
      </c>
      <c r="E2572" s="17" t="str">
        <f>IFERROR(__xludf.DUMMYFUNCTION("""COMPUTED_VALUE"""),"嘉義市立南興國民中學")</f>
        <v>嘉義市立南興國民中學</v>
      </c>
      <c r="F2572" s="14" t="str">
        <f>IFERROR(__xludf.DUMMYFUNCTION("""COMPUTED_VALUE"""),"七年級")</f>
        <v>七年級</v>
      </c>
      <c r="G2572" s="14" t="str">
        <f>IFERROR(__xludf.DUMMYFUNCTION("""COMPUTED_VALUE"""),"獎狀")</f>
        <v>獎狀</v>
      </c>
      <c r="H2572" s="8"/>
    </row>
    <row r="2573">
      <c r="A2573" s="18"/>
      <c r="B2573" s="14">
        <f>IFERROR(__xludf.DUMMYFUNCTION("""COMPUTED_VALUE"""),1185718.0)</f>
        <v>1185718</v>
      </c>
      <c r="C2573" s="14" t="str">
        <f>IFERROR(__xludf.DUMMYFUNCTION("""COMPUTED_VALUE"""),"蕭全佑")</f>
        <v>蕭全佑</v>
      </c>
      <c r="D2573" s="16" t="str">
        <f>IFERROR(__xludf.DUMMYFUNCTION("""COMPUTED_VALUE"""),"cys*****01@mail.edu.tw")</f>
        <v>cys*****01@mail.edu.tw</v>
      </c>
      <c r="E2573" s="17" t="str">
        <f>IFERROR(__xludf.DUMMYFUNCTION("""COMPUTED_VALUE"""),"嘉義市立南興國民中學")</f>
        <v>嘉義市立南興國民中學</v>
      </c>
      <c r="F2573" s="14" t="str">
        <f>IFERROR(__xludf.DUMMYFUNCTION("""COMPUTED_VALUE"""),"七年級")</f>
        <v>七年級</v>
      </c>
      <c r="G2573" s="14" t="str">
        <f>IFERROR(__xludf.DUMMYFUNCTION("""COMPUTED_VALUE"""),"獎狀")</f>
        <v>獎狀</v>
      </c>
      <c r="H2573" s="8"/>
    </row>
    <row r="2574">
      <c r="A2574" s="18"/>
      <c r="B2574" s="14">
        <f>IFERROR(__xludf.DUMMYFUNCTION("""COMPUTED_VALUE"""),887707.0)</f>
        <v>887707</v>
      </c>
      <c r="C2574" s="14" t="str">
        <f>IFERROR(__xludf.DUMMYFUNCTION("""COMPUTED_VALUE"""),"陳姸慈")</f>
        <v>陳姸慈</v>
      </c>
      <c r="D2574" s="16" t="str">
        <f>IFERROR(__xludf.DUMMYFUNCTION("""COMPUTED_VALUE"""),"aaa*****7@go.edu.tw")</f>
        <v>aaa*****7@go.edu.tw</v>
      </c>
      <c r="E2574" s="17" t="str">
        <f>IFERROR(__xludf.DUMMYFUNCTION("""COMPUTED_VALUE"""),"嘉義縣立朴子國民中學")</f>
        <v>嘉義縣立朴子國民中學</v>
      </c>
      <c r="F2574" s="14" t="str">
        <f>IFERROR(__xludf.DUMMYFUNCTION("""COMPUTED_VALUE"""),"七年級")</f>
        <v>七年級</v>
      </c>
      <c r="G2574" s="14" t="str">
        <f>IFERROR(__xludf.DUMMYFUNCTION("""COMPUTED_VALUE"""),"獎狀")</f>
        <v>獎狀</v>
      </c>
      <c r="H2574" s="8"/>
    </row>
    <row r="2575">
      <c r="A2575" s="18"/>
      <c r="B2575" s="14">
        <f>IFERROR(__xludf.DUMMYFUNCTION("""COMPUTED_VALUE"""),904305.0)</f>
        <v>904305</v>
      </c>
      <c r="C2575" s="14" t="str">
        <f>IFERROR(__xludf.DUMMYFUNCTION("""COMPUTED_VALUE"""),"王廷聿")</f>
        <v>王廷聿</v>
      </c>
      <c r="D2575" s="16" t="str">
        <f>IFERROR(__xludf.DUMMYFUNCTION("""COMPUTED_VALUE"""),"app*****16@mail.edu.tw")</f>
        <v>app*****16@mail.edu.tw</v>
      </c>
      <c r="E2575" s="17" t="str">
        <f>IFERROR(__xludf.DUMMYFUNCTION("""COMPUTED_VALUE"""),"嘉義縣立東榮國民中學")</f>
        <v>嘉義縣立東榮國民中學</v>
      </c>
      <c r="F2575" s="14" t="str">
        <f>IFERROR(__xludf.DUMMYFUNCTION("""COMPUTED_VALUE"""),"七年級")</f>
        <v>七年級</v>
      </c>
      <c r="G2575" s="14" t="str">
        <f>IFERROR(__xludf.DUMMYFUNCTION("""COMPUTED_VALUE"""),"獎狀")</f>
        <v>獎狀</v>
      </c>
      <c r="H2575" s="8"/>
    </row>
    <row r="2576">
      <c r="A2576" s="18"/>
      <c r="B2576" s="14">
        <f>IFERROR(__xludf.DUMMYFUNCTION("""COMPUTED_VALUE"""),1170626.0)</f>
        <v>1170626</v>
      </c>
      <c r="C2576" s="14" t="str">
        <f>IFERROR(__xludf.DUMMYFUNCTION("""COMPUTED_VALUE"""),"李怡慧")</f>
        <v>李怡慧</v>
      </c>
      <c r="D2576" s="16" t="str">
        <f>IFERROR(__xludf.DUMMYFUNCTION("""COMPUTED_VALUE"""),"tin*****@mail.edu.tw")</f>
        <v>tin*****@mail.edu.tw</v>
      </c>
      <c r="E2576" s="17" t="str">
        <f>IFERROR(__xludf.DUMMYFUNCTION("""COMPUTED_VALUE"""),"嘉義縣立東榮國民中學")</f>
        <v>嘉義縣立東榮國民中學</v>
      </c>
      <c r="F2576" s="14" t="str">
        <f>IFERROR(__xludf.DUMMYFUNCTION("""COMPUTED_VALUE"""),"七年級")</f>
        <v>七年級</v>
      </c>
      <c r="G2576" s="14" t="str">
        <f>IFERROR(__xludf.DUMMYFUNCTION("""COMPUTED_VALUE"""),"獎狀")</f>
        <v>獎狀</v>
      </c>
      <c r="H2576" s="8"/>
    </row>
    <row r="2577">
      <c r="A2577" s="18"/>
      <c r="B2577" s="14">
        <f>IFERROR(__xludf.DUMMYFUNCTION("""COMPUTED_VALUE"""),1018190.0)</f>
        <v>1018190</v>
      </c>
      <c r="C2577" s="14" t="str">
        <f>IFERROR(__xludf.DUMMYFUNCTION("""COMPUTED_VALUE"""),"戴峙帆")</f>
        <v>戴峙帆</v>
      </c>
      <c r="D2577" s="16" t="str">
        <f>IFERROR(__xludf.DUMMYFUNCTION("""COMPUTED_VALUE"""),"max*****mail.edu.tw")</f>
        <v>max*****mail.edu.tw</v>
      </c>
      <c r="E2577" s="17" t="str">
        <f>IFERROR(__xludf.DUMMYFUNCTION("""COMPUTED_VALUE"""),"嘉義縣立東榮國民中學")</f>
        <v>嘉義縣立東榮國民中學</v>
      </c>
      <c r="F2577" s="14" t="str">
        <f>IFERROR(__xludf.DUMMYFUNCTION("""COMPUTED_VALUE"""),"七年級")</f>
        <v>七年級</v>
      </c>
      <c r="G2577" s="14" t="str">
        <f>IFERROR(__xludf.DUMMYFUNCTION("""COMPUTED_VALUE"""),"★禮券$500")</f>
        <v>★禮券$500</v>
      </c>
      <c r="H2577" s="8"/>
    </row>
    <row r="2578">
      <c r="A2578" s="18"/>
      <c r="B2578" s="14">
        <f>IFERROR(__xludf.DUMMYFUNCTION("""COMPUTED_VALUE"""),916496.0)</f>
        <v>916496</v>
      </c>
      <c r="C2578" s="14" t="str">
        <f>IFERROR(__xludf.DUMMYFUNCTION("""COMPUTED_VALUE"""),"何健誠")</f>
        <v>何健誠</v>
      </c>
      <c r="D2578" s="16" t="str">
        <f>IFERROR(__xludf.DUMMYFUNCTION("""COMPUTED_VALUE"""),"and*****mail.edu.tw")</f>
        <v>and*****mail.edu.tw</v>
      </c>
      <c r="E2578" s="17" t="str">
        <f>IFERROR(__xludf.DUMMYFUNCTION("""COMPUTED_VALUE"""),"嘉義縣立東榮國民中學")</f>
        <v>嘉義縣立東榮國民中學</v>
      </c>
      <c r="F2578" s="14" t="str">
        <f>IFERROR(__xludf.DUMMYFUNCTION("""COMPUTED_VALUE"""),"七年級")</f>
        <v>七年級</v>
      </c>
      <c r="G2578" s="14" t="str">
        <f>IFERROR(__xludf.DUMMYFUNCTION("""COMPUTED_VALUE"""),"●小禮物")</f>
        <v>●小禮物</v>
      </c>
      <c r="H2578" s="8"/>
    </row>
    <row r="2579">
      <c r="A2579" s="18"/>
      <c r="B2579" s="14">
        <f>IFERROR(__xludf.DUMMYFUNCTION("""COMPUTED_VALUE"""),1169978.0)</f>
        <v>1169978</v>
      </c>
      <c r="C2579" s="14" t="str">
        <f>IFERROR(__xludf.DUMMYFUNCTION("""COMPUTED_VALUE"""),"吳育泰")</f>
        <v>吳育泰</v>
      </c>
      <c r="D2579" s="16" t="str">
        <f>IFERROR(__xludf.DUMMYFUNCTION("""COMPUTED_VALUE"""),"cyc*****tai@mail.edu.tw")</f>
        <v>cyc*****tai@mail.edu.tw</v>
      </c>
      <c r="E2579" s="17" t="str">
        <f>IFERROR(__xludf.DUMMYFUNCTION("""COMPUTED_VALUE"""),"嘉義縣立東榮國民中學")</f>
        <v>嘉義縣立東榮國民中學</v>
      </c>
      <c r="F2579" s="14" t="str">
        <f>IFERROR(__xludf.DUMMYFUNCTION("""COMPUTED_VALUE"""),"七年級")</f>
        <v>七年級</v>
      </c>
      <c r="G2579" s="14" t="str">
        <f>IFERROR(__xludf.DUMMYFUNCTION("""COMPUTED_VALUE"""),"●小禮物")</f>
        <v>●小禮物</v>
      </c>
      <c r="H2579" s="8"/>
    </row>
    <row r="2580">
      <c r="A2580" s="18"/>
      <c r="B2580" s="14">
        <f>IFERROR(__xludf.DUMMYFUNCTION("""COMPUTED_VALUE"""),1180258.0)</f>
        <v>1180258</v>
      </c>
      <c r="C2580" s="14" t="str">
        <f>IFERROR(__xludf.DUMMYFUNCTION("""COMPUTED_VALUE"""),"唐靖雅")</f>
        <v>唐靖雅</v>
      </c>
      <c r="D2580" s="16" t="str">
        <f>IFERROR(__xludf.DUMMYFUNCTION("""COMPUTED_VALUE"""),"cyc*****@go.edu.tw")</f>
        <v>cyc*****@go.edu.tw</v>
      </c>
      <c r="E2580" s="17" t="str">
        <f>IFERROR(__xludf.DUMMYFUNCTION("""COMPUTED_VALUE"""),"嘉義縣立東榮國民中學")</f>
        <v>嘉義縣立東榮國民中學</v>
      </c>
      <c r="F2580" s="14" t="str">
        <f>IFERROR(__xludf.DUMMYFUNCTION("""COMPUTED_VALUE"""),"七年級")</f>
        <v>七年級</v>
      </c>
      <c r="G2580" s="14" t="str">
        <f>IFERROR(__xludf.DUMMYFUNCTION("""COMPUTED_VALUE"""),"●小禮物")</f>
        <v>●小禮物</v>
      </c>
      <c r="H2580" s="8"/>
    </row>
    <row r="2581">
      <c r="A2581" s="18"/>
      <c r="B2581" s="14">
        <f>IFERROR(__xludf.DUMMYFUNCTION("""COMPUTED_VALUE"""),1169970.0)</f>
        <v>1169970</v>
      </c>
      <c r="C2581" s="14" t="str">
        <f>IFERROR(__xludf.DUMMYFUNCTION("""COMPUTED_VALUE"""),"蔡雅芹")</f>
        <v>蔡雅芹</v>
      </c>
      <c r="D2581" s="16" t="str">
        <f>IFERROR(__xludf.DUMMYFUNCTION("""COMPUTED_VALUE"""),"cai*****.tw@go.edu.tw")</f>
        <v>cai*****.tw@go.edu.tw</v>
      </c>
      <c r="E2581" s="17" t="str">
        <f>IFERROR(__xludf.DUMMYFUNCTION("""COMPUTED_VALUE"""),"嘉義縣立東榮國民中學")</f>
        <v>嘉義縣立東榮國民中學</v>
      </c>
      <c r="F2581" s="14" t="str">
        <f>IFERROR(__xludf.DUMMYFUNCTION("""COMPUTED_VALUE"""),"七年級")</f>
        <v>七年級</v>
      </c>
      <c r="G2581" s="14" t="str">
        <f>IFERROR(__xludf.DUMMYFUNCTION("""COMPUTED_VALUE"""),"獎狀")</f>
        <v>獎狀</v>
      </c>
      <c r="H2581" s="8"/>
    </row>
    <row r="2582">
      <c r="A2582" s="18"/>
      <c r="B2582" s="14">
        <f>IFERROR(__xludf.DUMMYFUNCTION("""COMPUTED_VALUE"""),926643.0)</f>
        <v>926643</v>
      </c>
      <c r="C2582" s="14" t="str">
        <f>IFERROR(__xludf.DUMMYFUNCTION("""COMPUTED_VALUE"""),"謝熟韓")</f>
        <v>謝熟韓</v>
      </c>
      <c r="D2582" s="16" t="str">
        <f>IFERROR(__xludf.DUMMYFUNCTION("""COMPUTED_VALUE"""),"she*****1028@mail.edu.tw")</f>
        <v>she*****1028@mail.edu.tw</v>
      </c>
      <c r="E2582" s="17" t="str">
        <f>IFERROR(__xludf.DUMMYFUNCTION("""COMPUTED_VALUE"""),"嘉義縣立新港國民中學")</f>
        <v>嘉義縣立新港國民中學</v>
      </c>
      <c r="F2582" s="14" t="str">
        <f>IFERROR(__xludf.DUMMYFUNCTION("""COMPUTED_VALUE"""),"七年級")</f>
        <v>七年級</v>
      </c>
      <c r="G2582" s="14" t="str">
        <f>IFERROR(__xludf.DUMMYFUNCTION("""COMPUTED_VALUE"""),"獎狀")</f>
        <v>獎狀</v>
      </c>
      <c r="H2582" s="8"/>
    </row>
    <row r="2583">
      <c r="A2583" s="18"/>
      <c r="B2583" s="14">
        <f>IFERROR(__xludf.DUMMYFUNCTION("""COMPUTED_VALUE"""),1024652.0)</f>
        <v>1024652</v>
      </c>
      <c r="C2583" s="14" t="str">
        <f>IFERROR(__xludf.DUMMYFUNCTION("""COMPUTED_VALUE"""),"林映辰")</f>
        <v>林映辰</v>
      </c>
      <c r="D2583" s="16" t="str">
        <f>IFERROR(__xludf.DUMMYFUNCTION("""COMPUTED_VALUE"""),"s11*****hkjh.cyc.edu.tw")</f>
        <v>s11*****hkjh.cyc.edu.tw</v>
      </c>
      <c r="E2583" s="17" t="str">
        <f>IFERROR(__xludf.DUMMYFUNCTION("""COMPUTED_VALUE"""),"嘉義縣立新港國民中學")</f>
        <v>嘉義縣立新港國民中學</v>
      </c>
      <c r="F2583" s="14" t="str">
        <f>IFERROR(__xludf.DUMMYFUNCTION("""COMPUTED_VALUE"""),"八年級")</f>
        <v>八年級</v>
      </c>
      <c r="G2583" s="14" t="str">
        <f>IFERROR(__xludf.DUMMYFUNCTION("""COMPUTED_VALUE"""),"獎狀")</f>
        <v>獎狀</v>
      </c>
      <c r="H2583" s="8"/>
    </row>
    <row r="2584">
      <c r="A2584" s="18"/>
      <c r="B2584" s="14">
        <f>IFERROR(__xludf.DUMMYFUNCTION("""COMPUTED_VALUE"""),943643.0)</f>
        <v>943643</v>
      </c>
      <c r="C2584" s="14" t="str">
        <f>IFERROR(__xludf.DUMMYFUNCTION("""COMPUTED_VALUE"""),"廖逸馨")</f>
        <v>廖逸馨</v>
      </c>
      <c r="D2584" s="16" t="str">
        <f>IFERROR(__xludf.DUMMYFUNCTION("""COMPUTED_VALUE"""),"110*****ihjh.cyc.edu.tw")</f>
        <v>110*****ihjh.cyc.edu.tw</v>
      </c>
      <c r="E2584" s="17" t="str">
        <f>IFERROR(__xludf.DUMMYFUNCTION("""COMPUTED_VALUE"""),"嘉義縣立民雄國民中學")</f>
        <v>嘉義縣立民雄國民中學</v>
      </c>
      <c r="F2584" s="14" t="str">
        <f>IFERROR(__xludf.DUMMYFUNCTION("""COMPUTED_VALUE"""),"八年級")</f>
        <v>八年級</v>
      </c>
      <c r="G2584" s="14" t="str">
        <f>IFERROR(__xludf.DUMMYFUNCTION("""COMPUTED_VALUE"""),"●小禮物")</f>
        <v>●小禮物</v>
      </c>
      <c r="H2584" s="8"/>
    </row>
    <row r="2585">
      <c r="A2585" s="18"/>
      <c r="B2585" s="14">
        <f>IFERROR(__xludf.DUMMYFUNCTION("""COMPUTED_VALUE"""),943636.0)</f>
        <v>943636</v>
      </c>
      <c r="C2585" s="14" t="str">
        <f>IFERROR(__xludf.DUMMYFUNCTION("""COMPUTED_VALUE"""),"湯尊安")</f>
        <v>湯尊安</v>
      </c>
      <c r="D2585" s="16" t="str">
        <f>IFERROR(__xludf.DUMMYFUNCTION("""COMPUTED_VALUE"""),"110*****ihjh.cyc.edu.tw")</f>
        <v>110*****ihjh.cyc.edu.tw</v>
      </c>
      <c r="E2585" s="17" t="str">
        <f>IFERROR(__xludf.DUMMYFUNCTION("""COMPUTED_VALUE"""),"嘉義縣立民雄國民中學")</f>
        <v>嘉義縣立民雄國民中學</v>
      </c>
      <c r="F2585" s="14" t="str">
        <f>IFERROR(__xludf.DUMMYFUNCTION("""COMPUTED_VALUE"""),"八年級")</f>
        <v>八年級</v>
      </c>
      <c r="G2585" s="14" t="str">
        <f>IFERROR(__xludf.DUMMYFUNCTION("""COMPUTED_VALUE"""),"獎狀")</f>
        <v>獎狀</v>
      </c>
      <c r="H2585" s="8"/>
    </row>
    <row r="2586">
      <c r="A2586" s="18"/>
      <c r="B2586" s="14">
        <f>IFERROR(__xludf.DUMMYFUNCTION("""COMPUTED_VALUE"""),964133.0)</f>
        <v>964133</v>
      </c>
      <c r="C2586" s="14" t="str">
        <f>IFERROR(__xludf.DUMMYFUNCTION("""COMPUTED_VALUE"""),"蔡睿謙")</f>
        <v>蔡睿謙</v>
      </c>
      <c r="D2586" s="16" t="str">
        <f>IFERROR(__xludf.DUMMYFUNCTION("""COMPUTED_VALUE"""),"s11*****mail.edu.tw")</f>
        <v>s11*****mail.edu.tw</v>
      </c>
      <c r="E2586" s="17" t="str">
        <f>IFERROR(__xludf.DUMMYFUNCTION("""COMPUTED_VALUE"""),"嘉義縣立民雄國民中學")</f>
        <v>嘉義縣立民雄國民中學</v>
      </c>
      <c r="F2586" s="14" t="str">
        <f>IFERROR(__xludf.DUMMYFUNCTION("""COMPUTED_VALUE"""),"八年級")</f>
        <v>八年級</v>
      </c>
      <c r="G2586" s="14" t="str">
        <f>IFERROR(__xludf.DUMMYFUNCTION("""COMPUTED_VALUE"""),"●小禮物")</f>
        <v>●小禮物</v>
      </c>
      <c r="H2586" s="8"/>
    </row>
    <row r="2587">
      <c r="A2587" s="18"/>
      <c r="B2587" s="14">
        <f>IFERROR(__xludf.DUMMYFUNCTION("""COMPUTED_VALUE"""),204714.0)</f>
        <v>204714</v>
      </c>
      <c r="C2587" s="14" t="str">
        <f>IFERROR(__xludf.DUMMYFUNCTION("""COMPUTED_VALUE"""),"許瑜恬")</f>
        <v>許瑜恬</v>
      </c>
      <c r="D2587" s="16" t="str">
        <f>IFERROR(__xludf.DUMMYFUNCTION("""COMPUTED_VALUE"""),"lic*****er@yahoo.com.tw")</f>
        <v>lic*****er@yahoo.com.tw</v>
      </c>
      <c r="E2587" s="17" t="str">
        <f>IFERROR(__xludf.DUMMYFUNCTION("""COMPUTED_VALUE"""),"嘉義縣私立協同高級中學附設國中部")</f>
        <v>嘉義縣私立協同高級中學附設國中部</v>
      </c>
      <c r="F2587" s="14" t="str">
        <f>IFERROR(__xludf.DUMMYFUNCTION("""COMPUTED_VALUE"""),"七年級")</f>
        <v>七年級</v>
      </c>
      <c r="G2587" s="14" t="str">
        <f>IFERROR(__xludf.DUMMYFUNCTION("""COMPUTED_VALUE"""),"獎狀")</f>
        <v>獎狀</v>
      </c>
      <c r="H2587" s="8"/>
    </row>
    <row r="2588">
      <c r="A2588" s="18"/>
      <c r="B2588" s="14">
        <f>IFERROR(__xludf.DUMMYFUNCTION("""COMPUTED_VALUE"""),1152014.0)</f>
        <v>1152014</v>
      </c>
      <c r="C2588" s="14" t="str">
        <f>IFERROR(__xludf.DUMMYFUNCTION("""COMPUTED_VALUE"""),"侯秉泓")</f>
        <v>侯秉泓</v>
      </c>
      <c r="D2588" s="16" t="str">
        <f>IFERROR(__xludf.DUMMYFUNCTION("""COMPUTED_VALUE"""),"alb*****u927@gmail.com")</f>
        <v>alb*****u927@gmail.com</v>
      </c>
      <c r="E2588" s="17" t="str">
        <f>IFERROR(__xludf.DUMMYFUNCTION("""COMPUTED_VALUE"""),"嘉義縣私立協同高級中學附設國中部")</f>
        <v>嘉義縣私立協同高級中學附設國中部</v>
      </c>
      <c r="F2588" s="14" t="str">
        <f>IFERROR(__xludf.DUMMYFUNCTION("""COMPUTED_VALUE"""),"七年級")</f>
        <v>七年級</v>
      </c>
      <c r="G2588" s="14" t="str">
        <f>IFERROR(__xludf.DUMMYFUNCTION("""COMPUTED_VALUE"""),"●小禮物")</f>
        <v>●小禮物</v>
      </c>
      <c r="H2588" s="8"/>
    </row>
    <row r="2589">
      <c r="A2589" s="18"/>
      <c r="B2589" s="14">
        <f>IFERROR(__xludf.DUMMYFUNCTION("""COMPUTED_VALUE"""),948505.0)</f>
        <v>948505</v>
      </c>
      <c r="C2589" s="14" t="str">
        <f>IFERROR(__xludf.DUMMYFUNCTION("""COMPUTED_VALUE"""),"林子妍")</f>
        <v>林子妍</v>
      </c>
      <c r="D2589" s="16" t="str">
        <f>IFERROR(__xludf.DUMMYFUNCTION("""COMPUTED_VALUE"""),"j10*****my.cmsh.cyc.edu.tw")</f>
        <v>j10*****my.cmsh.cyc.edu.tw</v>
      </c>
      <c r="E2589" s="17" t="str">
        <f>IFERROR(__xludf.DUMMYFUNCTION("""COMPUTED_VALUE"""),"嘉義縣私立協同高級中學附設國中部")</f>
        <v>嘉義縣私立協同高級中學附設國中部</v>
      </c>
      <c r="F2589" s="14" t="str">
        <f>IFERROR(__xludf.DUMMYFUNCTION("""COMPUTED_VALUE"""),"八年級")</f>
        <v>八年級</v>
      </c>
      <c r="G2589" s="14" t="str">
        <f>IFERROR(__xludf.DUMMYFUNCTION("""COMPUTED_VALUE"""),"獎狀")</f>
        <v>獎狀</v>
      </c>
      <c r="H2589" s="8"/>
    </row>
    <row r="2590">
      <c r="A2590" s="18"/>
      <c r="B2590" s="14">
        <f>IFERROR(__xludf.DUMMYFUNCTION("""COMPUTED_VALUE"""),126338.0)</f>
        <v>126338</v>
      </c>
      <c r="C2590" s="14" t="str">
        <f>IFERROR(__xludf.DUMMYFUNCTION("""COMPUTED_VALUE"""),"張儷馨")</f>
        <v>張儷馨</v>
      </c>
      <c r="D2590" s="16" t="str">
        <f>IFERROR(__xludf.DUMMYFUNCTION("""COMPUTED_VALUE"""),"cyc*****5@gmail.com")</f>
        <v>cyc*****5@gmail.com</v>
      </c>
      <c r="E2590" s="17" t="str">
        <f>IFERROR(__xludf.DUMMYFUNCTION("""COMPUTED_VALUE"""),"嘉義縣私立協同高級中學附設國中部")</f>
        <v>嘉義縣私立協同高級中學附設國中部</v>
      </c>
      <c r="F2590" s="14" t="str">
        <f>IFERROR(__xludf.DUMMYFUNCTION("""COMPUTED_VALUE"""),"八年級")</f>
        <v>八年級</v>
      </c>
      <c r="G2590" s="14" t="str">
        <f>IFERROR(__xludf.DUMMYFUNCTION("""COMPUTED_VALUE"""),"獎狀")</f>
        <v>獎狀</v>
      </c>
      <c r="H2590" s="8"/>
    </row>
    <row r="2591">
      <c r="A2591" s="18"/>
      <c r="B2591" s="14">
        <f>IFERROR(__xludf.DUMMYFUNCTION("""COMPUTED_VALUE"""),477221.0)</f>
        <v>477221</v>
      </c>
      <c r="C2591" s="14" t="str">
        <f>IFERROR(__xludf.DUMMYFUNCTION("""COMPUTED_VALUE"""),"許沛忻")</f>
        <v>許沛忻</v>
      </c>
      <c r="D2591" s="16" t="str">
        <f>IFERROR(__xludf.DUMMYFUNCTION("""COMPUTED_VALUE"""),"j09*****my.cmsh.cyc.edu.tw")</f>
        <v>j09*****my.cmsh.cyc.edu.tw</v>
      </c>
      <c r="E2591" s="17" t="str">
        <f>IFERROR(__xludf.DUMMYFUNCTION("""COMPUTED_VALUE"""),"嘉義縣私立協同高級中學附設國中部")</f>
        <v>嘉義縣私立協同高級中學附設國中部</v>
      </c>
      <c r="F2591" s="14" t="str">
        <f>IFERROR(__xludf.DUMMYFUNCTION("""COMPUTED_VALUE"""),"九年級")</f>
        <v>九年級</v>
      </c>
      <c r="G2591" s="14" t="str">
        <f>IFERROR(__xludf.DUMMYFUNCTION("""COMPUTED_VALUE"""),"●小禮物")</f>
        <v>●小禮物</v>
      </c>
      <c r="H2591" s="8"/>
    </row>
    <row r="2592">
      <c r="A2592" s="18"/>
      <c r="B2592" s="14">
        <f>IFERROR(__xludf.DUMMYFUNCTION("""COMPUTED_VALUE"""),472312.0)</f>
        <v>472312</v>
      </c>
      <c r="C2592" s="14" t="str">
        <f>IFERROR(__xludf.DUMMYFUNCTION("""COMPUTED_VALUE"""),"曾楷筑")</f>
        <v>曾楷筑</v>
      </c>
      <c r="D2592" s="16" t="str">
        <f>IFERROR(__xludf.DUMMYFUNCTION("""COMPUTED_VALUE"""),"j09*****my.cmsh.cyc.edu.tw")</f>
        <v>j09*****my.cmsh.cyc.edu.tw</v>
      </c>
      <c r="E2592" s="17" t="str">
        <f>IFERROR(__xludf.DUMMYFUNCTION("""COMPUTED_VALUE"""),"嘉義縣私立協同高級中學附設國中部")</f>
        <v>嘉義縣私立協同高級中學附設國中部</v>
      </c>
      <c r="F2592" s="14" t="str">
        <f>IFERROR(__xludf.DUMMYFUNCTION("""COMPUTED_VALUE"""),"九年級")</f>
        <v>九年級</v>
      </c>
      <c r="G2592" s="14" t="str">
        <f>IFERROR(__xludf.DUMMYFUNCTION("""COMPUTED_VALUE"""),"●小禮物")</f>
        <v>●小禮物</v>
      </c>
      <c r="H2592" s="8"/>
    </row>
    <row r="2593">
      <c r="A2593" s="18"/>
      <c r="B2593" s="14">
        <f>IFERROR(__xludf.DUMMYFUNCTION("""COMPUTED_VALUE"""),323964.0)</f>
        <v>323964</v>
      </c>
      <c r="C2593" s="14" t="str">
        <f>IFERROR(__xludf.DUMMYFUNCTION("""COMPUTED_VALUE"""),"陳相丞")</f>
        <v>陳相丞</v>
      </c>
      <c r="D2593" s="16" t="str">
        <f>IFERROR(__xludf.DUMMYFUNCTION("""COMPUTED_VALUE"""),"ccr*****8@gmail.com")</f>
        <v>ccr*****8@gmail.com</v>
      </c>
      <c r="E2593" s="17" t="str">
        <f>IFERROR(__xludf.DUMMYFUNCTION("""COMPUTED_VALUE"""),"嘉義縣立大林國民中學")</f>
        <v>嘉義縣立大林國民中學</v>
      </c>
      <c r="F2593" s="14" t="str">
        <f>IFERROR(__xludf.DUMMYFUNCTION("""COMPUTED_VALUE"""),"七年級")</f>
        <v>七年級</v>
      </c>
      <c r="G2593" s="14" t="str">
        <f>IFERROR(__xludf.DUMMYFUNCTION("""COMPUTED_VALUE"""),"獎狀")</f>
        <v>獎狀</v>
      </c>
      <c r="H2593" s="8"/>
    </row>
    <row r="2594">
      <c r="A2594" s="18"/>
      <c r="B2594" s="14">
        <f>IFERROR(__xludf.DUMMYFUNCTION("""COMPUTED_VALUE"""),516846.0)</f>
        <v>516846</v>
      </c>
      <c r="C2594" s="14" t="str">
        <f>IFERROR(__xludf.DUMMYFUNCTION("""COMPUTED_VALUE"""),"陳茂得")</f>
        <v>陳茂得</v>
      </c>
      <c r="D2594" s="16" t="str">
        <f>IFERROR(__xludf.DUMMYFUNCTION("""COMPUTED_VALUE"""),"s10*****tljh.cyc.edu.tw")</f>
        <v>s10*****tljh.cyc.edu.tw</v>
      </c>
      <c r="E2594" s="17" t="str">
        <f>IFERROR(__xludf.DUMMYFUNCTION("""COMPUTED_VALUE"""),"嘉義縣立大林國民中學")</f>
        <v>嘉義縣立大林國民中學</v>
      </c>
      <c r="F2594" s="14" t="str">
        <f>IFERROR(__xludf.DUMMYFUNCTION("""COMPUTED_VALUE"""),"九年級")</f>
        <v>九年級</v>
      </c>
      <c r="G2594" s="14" t="str">
        <f>IFERROR(__xludf.DUMMYFUNCTION("""COMPUTED_VALUE"""),"獎狀")</f>
        <v>獎狀</v>
      </c>
      <c r="H2594" s="8"/>
    </row>
    <row r="2595">
      <c r="A2595" s="18"/>
      <c r="B2595" s="14">
        <f>IFERROR(__xludf.DUMMYFUNCTION("""COMPUTED_VALUE"""),942443.0)</f>
        <v>942443</v>
      </c>
      <c r="C2595" s="14" t="str">
        <f>IFERROR(__xludf.DUMMYFUNCTION("""COMPUTED_VALUE"""),"吳守白")</f>
        <v>吳守白</v>
      </c>
      <c r="D2595" s="16" t="str">
        <f>IFERROR(__xludf.DUMMYFUNCTION("""COMPUTED_VALUE"""),"sup*****15@mail.edu.tw")</f>
        <v>sup*****15@mail.edu.tw</v>
      </c>
      <c r="E2595" s="17" t="str">
        <f>IFERROR(__xludf.DUMMYFUNCTION("""COMPUTED_VALUE"""),"嘉義縣立義竹國民中學")</f>
        <v>嘉義縣立義竹國民中學</v>
      </c>
      <c r="F2595" s="14" t="str">
        <f>IFERROR(__xludf.DUMMYFUNCTION("""COMPUTED_VALUE"""),"七年級")</f>
        <v>七年級</v>
      </c>
      <c r="G2595" s="14" t="str">
        <f>IFERROR(__xludf.DUMMYFUNCTION("""COMPUTED_VALUE"""),"●小禮物")</f>
        <v>●小禮物</v>
      </c>
      <c r="H2595" s="8"/>
    </row>
    <row r="2596">
      <c r="A2596" s="18"/>
      <c r="B2596" s="14">
        <f>IFERROR(__xludf.DUMMYFUNCTION("""COMPUTED_VALUE"""),988112.0)</f>
        <v>988112</v>
      </c>
      <c r="C2596" s="14" t="str">
        <f>IFERROR(__xludf.DUMMYFUNCTION("""COMPUTED_VALUE"""),"黃聖傑")</f>
        <v>黃聖傑</v>
      </c>
      <c r="D2596" s="16" t="str">
        <f>IFERROR(__xludf.DUMMYFUNCTION("""COMPUTED_VALUE"""),"cyc*****35@mail.edu.tw")</f>
        <v>cyc*****35@mail.edu.tw</v>
      </c>
      <c r="E2596" s="17" t="str">
        <f>IFERROR(__xludf.DUMMYFUNCTION("""COMPUTED_VALUE"""),"嘉義縣立義竹國民中學")</f>
        <v>嘉義縣立義竹國民中學</v>
      </c>
      <c r="F2596" s="14" t="str">
        <f>IFERROR(__xludf.DUMMYFUNCTION("""COMPUTED_VALUE"""),"七年級")</f>
        <v>七年級</v>
      </c>
      <c r="G2596" s="14" t="str">
        <f>IFERROR(__xludf.DUMMYFUNCTION("""COMPUTED_VALUE"""),"●小禮物")</f>
        <v>●小禮物</v>
      </c>
      <c r="H2596" s="8"/>
    </row>
    <row r="2597">
      <c r="A2597" s="18"/>
      <c r="B2597" s="14">
        <f>IFERROR(__xludf.DUMMYFUNCTION("""COMPUTED_VALUE"""),1213979.0)</f>
        <v>1213979</v>
      </c>
      <c r="C2597" s="14" t="str">
        <f>IFERROR(__xludf.DUMMYFUNCTION("""COMPUTED_VALUE"""),"蔡汶倚")</f>
        <v>蔡汶倚</v>
      </c>
      <c r="D2597" s="16" t="str">
        <f>IFERROR(__xludf.DUMMYFUNCTION("""COMPUTED_VALUE"""),"cyc*****i@mail.edu.tw")</f>
        <v>cyc*****i@mail.edu.tw</v>
      </c>
      <c r="E2597" s="17" t="str">
        <f>IFERROR(__xludf.DUMMYFUNCTION("""COMPUTED_VALUE"""),"嘉義縣立義竹國民中學")</f>
        <v>嘉義縣立義竹國民中學</v>
      </c>
      <c r="F2597" s="14" t="str">
        <f>IFERROR(__xludf.DUMMYFUNCTION("""COMPUTED_VALUE"""),"七年級")</f>
        <v>七年級</v>
      </c>
      <c r="G2597" s="14" t="str">
        <f>IFERROR(__xludf.DUMMYFUNCTION("""COMPUTED_VALUE"""),"★禮券$200")</f>
        <v>★禮券$200</v>
      </c>
      <c r="H2597" s="8"/>
    </row>
    <row r="2598">
      <c r="A2598" s="18"/>
      <c r="B2598" s="14">
        <f>IFERROR(__xludf.DUMMYFUNCTION("""COMPUTED_VALUE"""),996181.0)</f>
        <v>996181</v>
      </c>
      <c r="C2598" s="14" t="str">
        <f>IFERROR(__xludf.DUMMYFUNCTION("""COMPUTED_VALUE"""),"郭珈瑋")</f>
        <v>郭珈瑋</v>
      </c>
      <c r="D2598" s="16" t="str">
        <f>IFERROR(__xludf.DUMMYFUNCTION("""COMPUTED_VALUE"""),"leo*****mail.edu.tw")</f>
        <v>leo*****mail.edu.tw</v>
      </c>
      <c r="E2598" s="17" t="str">
        <f>IFERROR(__xludf.DUMMYFUNCTION("""COMPUTED_VALUE"""),"嘉義縣立義竹國民中學")</f>
        <v>嘉義縣立義竹國民中學</v>
      </c>
      <c r="F2598" s="14" t="str">
        <f>IFERROR(__xludf.DUMMYFUNCTION("""COMPUTED_VALUE"""),"七年級")</f>
        <v>七年級</v>
      </c>
      <c r="G2598" s="14" t="str">
        <f>IFERROR(__xludf.DUMMYFUNCTION("""COMPUTED_VALUE"""),"獎狀")</f>
        <v>獎狀</v>
      </c>
      <c r="H2598" s="8"/>
    </row>
    <row r="2599">
      <c r="A2599" s="18"/>
      <c r="B2599" s="14">
        <f>IFERROR(__xludf.DUMMYFUNCTION("""COMPUTED_VALUE"""),914471.0)</f>
        <v>914471</v>
      </c>
      <c r="C2599" s="14" t="str">
        <f>IFERROR(__xludf.DUMMYFUNCTION("""COMPUTED_VALUE"""),"黃雅意")</f>
        <v>黃雅意</v>
      </c>
      <c r="D2599" s="16" t="str">
        <f>IFERROR(__xludf.DUMMYFUNCTION("""COMPUTED_VALUE"""),"q99*****mail.edu.tw")</f>
        <v>q99*****mail.edu.tw</v>
      </c>
      <c r="E2599" s="17" t="str">
        <f>IFERROR(__xludf.DUMMYFUNCTION("""COMPUTED_VALUE"""),"嘉義縣立義竹國民中學")</f>
        <v>嘉義縣立義竹國民中學</v>
      </c>
      <c r="F2599" s="14" t="str">
        <f>IFERROR(__xludf.DUMMYFUNCTION("""COMPUTED_VALUE"""),"七年級")</f>
        <v>七年級</v>
      </c>
      <c r="G2599" s="14" t="str">
        <f>IFERROR(__xludf.DUMMYFUNCTION("""COMPUTED_VALUE"""),"獎狀")</f>
        <v>獎狀</v>
      </c>
      <c r="H2599" s="8"/>
    </row>
    <row r="2600">
      <c r="A2600" s="18"/>
      <c r="B2600" s="14">
        <f>IFERROR(__xludf.DUMMYFUNCTION("""COMPUTED_VALUE"""),541300.0)</f>
        <v>541300</v>
      </c>
      <c r="C2600" s="14" t="str">
        <f>IFERROR(__xludf.DUMMYFUNCTION("""COMPUTED_VALUE"""),"黃郁淇")</f>
        <v>黃郁淇</v>
      </c>
      <c r="D2600" s="16" t="str">
        <f>IFERROR(__xludf.DUMMYFUNCTION("""COMPUTED_VALUE"""),"yuc*****725@gmail.com")</f>
        <v>yuc*****725@gmail.com</v>
      </c>
      <c r="E2600" s="17" t="str">
        <f>IFERROR(__xludf.DUMMYFUNCTION("""COMPUTED_VALUE"""),"嘉義縣立義竹國民中學")</f>
        <v>嘉義縣立義竹國民中學</v>
      </c>
      <c r="F2600" s="14" t="str">
        <f>IFERROR(__xludf.DUMMYFUNCTION("""COMPUTED_VALUE"""),"九年級")</f>
        <v>九年級</v>
      </c>
      <c r="G2600" s="14" t="str">
        <f>IFERROR(__xludf.DUMMYFUNCTION("""COMPUTED_VALUE"""),"●小禮物")</f>
        <v>●小禮物</v>
      </c>
      <c r="H2600" s="8"/>
    </row>
    <row r="2601">
      <c r="A2601" s="18"/>
      <c r="B2601" s="14">
        <f>IFERROR(__xludf.DUMMYFUNCTION("""COMPUTED_VALUE"""),1154041.0)</f>
        <v>1154041</v>
      </c>
      <c r="C2601" s="14" t="str">
        <f>IFERROR(__xludf.DUMMYFUNCTION("""COMPUTED_VALUE"""),"李宛璇")</f>
        <v>李宛璇</v>
      </c>
      <c r="D2601" s="16" t="str">
        <f>IFERROR(__xludf.DUMMYFUNCTION("""COMPUTED_VALUE"""),"dp1*****@mail.dpjh.ylc.edu.tw")</f>
        <v>dp1*****@mail.dpjh.ylc.edu.tw</v>
      </c>
      <c r="E2601" s="17" t="str">
        <f>IFERROR(__xludf.DUMMYFUNCTION("""COMPUTED_VALUE"""),"雲林縣立大埤國民中學")</f>
        <v>雲林縣立大埤國民中學</v>
      </c>
      <c r="F2601" s="14" t="str">
        <f>IFERROR(__xludf.DUMMYFUNCTION("""COMPUTED_VALUE"""),"八年級")</f>
        <v>八年級</v>
      </c>
      <c r="G2601" s="14" t="str">
        <f>IFERROR(__xludf.DUMMYFUNCTION("""COMPUTED_VALUE"""),"獎狀")</f>
        <v>獎狀</v>
      </c>
      <c r="H2601" s="8"/>
    </row>
    <row r="2602">
      <c r="A2602" s="18"/>
      <c r="B2602" s="14">
        <f>IFERROR(__xludf.DUMMYFUNCTION("""COMPUTED_VALUE"""),854885.0)</f>
        <v>854885</v>
      </c>
      <c r="C2602" s="14" t="str">
        <f>IFERROR(__xludf.DUMMYFUNCTION("""COMPUTED_VALUE"""),"蔡念哲")</f>
        <v>蔡念哲</v>
      </c>
      <c r="D2602" s="16" t="str">
        <f>IFERROR(__xludf.DUMMYFUNCTION("""COMPUTED_VALUE"""),"luc*****ai0903@mail.edu.tw")</f>
        <v>luc*****ai0903@mail.edu.tw</v>
      </c>
      <c r="E2602" s="17" t="str">
        <f>IFERROR(__xludf.DUMMYFUNCTION("""COMPUTED_VALUE"""),"雲林縣立東仁國民中學")</f>
        <v>雲林縣立東仁國民中學</v>
      </c>
      <c r="F2602" s="14" t="str">
        <f>IFERROR(__xludf.DUMMYFUNCTION("""COMPUTED_VALUE"""),"九年級")</f>
        <v>九年級</v>
      </c>
      <c r="G2602" s="14" t="str">
        <f>IFERROR(__xludf.DUMMYFUNCTION("""COMPUTED_VALUE"""),"●小禮物")</f>
        <v>●小禮物</v>
      </c>
      <c r="H2602" s="8"/>
    </row>
    <row r="2603">
      <c r="A2603" s="18"/>
      <c r="B2603" s="14">
        <f>IFERROR(__xludf.DUMMYFUNCTION("""COMPUTED_VALUE"""),854890.0)</f>
        <v>854890</v>
      </c>
      <c r="C2603" s="14" t="str">
        <f>IFERROR(__xludf.DUMMYFUNCTION("""COMPUTED_VALUE"""),"蔡念恩")</f>
        <v>蔡念恩</v>
      </c>
      <c r="D2603" s="16" t="str">
        <f>IFERROR(__xludf.DUMMYFUNCTION("""COMPUTED_VALUE"""),"chl*****70903@mail.edu.tw")</f>
        <v>chl*****70903@mail.edu.tw</v>
      </c>
      <c r="E2603" s="17" t="str">
        <f>IFERROR(__xludf.DUMMYFUNCTION("""COMPUTED_VALUE"""),"雲林縣立東仁國民中學")</f>
        <v>雲林縣立東仁國民中學</v>
      </c>
      <c r="F2603" s="14" t="str">
        <f>IFERROR(__xludf.DUMMYFUNCTION("""COMPUTED_VALUE"""),"九年級")</f>
        <v>九年級</v>
      </c>
      <c r="G2603" s="14" t="str">
        <f>IFERROR(__xludf.DUMMYFUNCTION("""COMPUTED_VALUE"""),"獎狀")</f>
        <v>獎狀</v>
      </c>
      <c r="H2603" s="8"/>
    </row>
    <row r="2604">
      <c r="A2604" s="18"/>
      <c r="B2604" s="14">
        <f>IFERROR(__xludf.DUMMYFUNCTION("""COMPUTED_VALUE"""),1140993.0)</f>
        <v>1140993</v>
      </c>
      <c r="C2604" s="14" t="str">
        <f>IFERROR(__xludf.DUMMYFUNCTION("""COMPUTED_VALUE"""),"李宛怡")</f>
        <v>李宛怡</v>
      </c>
      <c r="D2604" s="16" t="str">
        <f>IFERROR(__xludf.DUMMYFUNCTION("""COMPUTED_VALUE"""),"wan*****8@gmail.com")</f>
        <v>wan*****8@gmail.com</v>
      </c>
      <c r="E2604" s="17" t="str">
        <f>IFERROR(__xludf.DUMMYFUNCTION("""COMPUTED_VALUE"""),"雲林縣私立揚子高級中學附設國中部")</f>
        <v>雲林縣私立揚子高級中學附設國中部</v>
      </c>
      <c r="F2604" s="14" t="str">
        <f>IFERROR(__xludf.DUMMYFUNCTION("""COMPUTED_VALUE"""),"七年級")</f>
        <v>七年級</v>
      </c>
      <c r="G2604" s="14" t="str">
        <f>IFERROR(__xludf.DUMMYFUNCTION("""COMPUTED_VALUE"""),"●小禮物")</f>
        <v>●小禮物</v>
      </c>
      <c r="H2604" s="8"/>
    </row>
    <row r="2605">
      <c r="A2605" s="18"/>
      <c r="B2605" s="14">
        <f>IFERROR(__xludf.DUMMYFUNCTION("""COMPUTED_VALUE"""),1141018.0)</f>
        <v>1141018</v>
      </c>
      <c r="C2605" s="14" t="str">
        <f>IFERROR(__xludf.DUMMYFUNCTION("""COMPUTED_VALUE"""),"陳諺楷")</f>
        <v>陳諺楷</v>
      </c>
      <c r="D2605" s="16" t="str">
        <f>IFERROR(__xludf.DUMMYFUNCTION("""COMPUTED_VALUE"""),"ykc*****01@gmail.com")</f>
        <v>ykc*****01@gmail.com</v>
      </c>
      <c r="E2605" s="17" t="str">
        <f>IFERROR(__xludf.DUMMYFUNCTION("""COMPUTED_VALUE"""),"雲林縣私立揚子高級中學附設國中部")</f>
        <v>雲林縣私立揚子高級中學附設國中部</v>
      </c>
      <c r="F2605" s="14" t="str">
        <f>IFERROR(__xludf.DUMMYFUNCTION("""COMPUTED_VALUE"""),"七年級")</f>
        <v>七年級</v>
      </c>
      <c r="G2605" s="14" t="str">
        <f>IFERROR(__xludf.DUMMYFUNCTION("""COMPUTED_VALUE"""),"●小禮物")</f>
        <v>●小禮物</v>
      </c>
      <c r="H2605" s="8"/>
    </row>
    <row r="2606">
      <c r="A2606" s="18"/>
      <c r="B2606" s="14">
        <f>IFERROR(__xludf.DUMMYFUNCTION("""COMPUTED_VALUE"""),684473.0)</f>
        <v>684473</v>
      </c>
      <c r="C2606" s="14" t="str">
        <f>IFERROR(__xludf.DUMMYFUNCTION("""COMPUTED_VALUE"""),"蔡于衧")</f>
        <v>蔡于衧</v>
      </c>
      <c r="D2606" s="16" t="str">
        <f>IFERROR(__xludf.DUMMYFUNCTION("""COMPUTED_VALUE"""),"a09*****035@gmail.com")</f>
        <v>a09*****035@gmail.com</v>
      </c>
      <c r="E2606" s="17" t="str">
        <f>IFERROR(__xludf.DUMMYFUNCTION("""COMPUTED_VALUE"""),"雲林縣私立揚子高級中學附設國中部")</f>
        <v>雲林縣私立揚子高級中學附設國中部</v>
      </c>
      <c r="F2606" s="14" t="str">
        <f>IFERROR(__xludf.DUMMYFUNCTION("""COMPUTED_VALUE"""),"七年級")</f>
        <v>七年級</v>
      </c>
      <c r="G2606" s="14" t="str">
        <f>IFERROR(__xludf.DUMMYFUNCTION("""COMPUTED_VALUE"""),"●小禮物")</f>
        <v>●小禮物</v>
      </c>
      <c r="H2606" s="8"/>
    </row>
    <row r="2607">
      <c r="A2607" s="18"/>
      <c r="B2607" s="14">
        <f>IFERROR(__xludf.DUMMYFUNCTION("""COMPUTED_VALUE"""),1141124.0)</f>
        <v>1141124</v>
      </c>
      <c r="C2607" s="14" t="str">
        <f>IFERROR(__xludf.DUMMYFUNCTION("""COMPUTED_VALUE"""),"陳祥輝")</f>
        <v>陳祥輝</v>
      </c>
      <c r="D2607" s="16" t="str">
        <f>IFERROR(__xludf.DUMMYFUNCTION("""COMPUTED_VALUE"""),"lhe*****6@gmail.com")</f>
        <v>lhe*****6@gmail.com</v>
      </c>
      <c r="E2607" s="17" t="str">
        <f>IFERROR(__xludf.DUMMYFUNCTION("""COMPUTED_VALUE"""),"雲林縣私立揚子高級中學附設國中部")</f>
        <v>雲林縣私立揚子高級中學附設國中部</v>
      </c>
      <c r="F2607" s="14" t="str">
        <f>IFERROR(__xludf.DUMMYFUNCTION("""COMPUTED_VALUE"""),"七年級")</f>
        <v>七年級</v>
      </c>
      <c r="G2607" s="14" t="str">
        <f>IFERROR(__xludf.DUMMYFUNCTION("""COMPUTED_VALUE"""),"獎狀")</f>
        <v>獎狀</v>
      </c>
      <c r="H2607" s="8"/>
    </row>
    <row r="2608">
      <c r="A2608" s="18"/>
      <c r="B2608" s="14">
        <f>IFERROR(__xludf.DUMMYFUNCTION("""COMPUTED_VALUE"""),516273.0)</f>
        <v>516273</v>
      </c>
      <c r="C2608" s="14" t="str">
        <f>IFERROR(__xludf.DUMMYFUNCTION("""COMPUTED_VALUE"""),"陳永恩")</f>
        <v>陳永恩</v>
      </c>
      <c r="D2608" s="16" t="str">
        <f>IFERROR(__xludf.DUMMYFUNCTION("""COMPUTED_VALUE"""),"s10*****ms1.dses.ylc.edu.tw")</f>
        <v>s10*****ms1.dses.ylc.edu.tw</v>
      </c>
      <c r="E2608" s="17" t="str">
        <f>IFERROR(__xludf.DUMMYFUNCTION("""COMPUTED_VALUE"""),"雲林縣私立揚子高級中學附設國中部")</f>
        <v>雲林縣私立揚子高級中學附設國中部</v>
      </c>
      <c r="F2608" s="14" t="str">
        <f>IFERROR(__xludf.DUMMYFUNCTION("""COMPUTED_VALUE"""),"七年級")</f>
        <v>七年級</v>
      </c>
      <c r="G2608" s="14" t="str">
        <f>IFERROR(__xludf.DUMMYFUNCTION("""COMPUTED_VALUE"""),"●小禮物")</f>
        <v>●小禮物</v>
      </c>
      <c r="H2608" s="8"/>
    </row>
    <row r="2609">
      <c r="A2609" s="18"/>
      <c r="B2609" s="14">
        <f>IFERROR(__xludf.DUMMYFUNCTION("""COMPUTED_VALUE"""),1217342.0)</f>
        <v>1217342</v>
      </c>
      <c r="C2609" s="14" t="str">
        <f>IFERROR(__xludf.DUMMYFUNCTION("""COMPUTED_VALUE"""),"黃上睿")</f>
        <v>黃上睿</v>
      </c>
      <c r="D2609" s="16" t="str">
        <f>IFERROR(__xludf.DUMMYFUNCTION("""COMPUTED_VALUE"""),"hua*****0720@yahoo.com")</f>
        <v>hua*****0720@yahoo.com</v>
      </c>
      <c r="E2609" s="17" t="str">
        <f>IFERROR(__xludf.DUMMYFUNCTION("""COMPUTED_VALUE"""),"雲林縣私立揚子高級中學附設國中部")</f>
        <v>雲林縣私立揚子高級中學附設國中部</v>
      </c>
      <c r="F2609" s="14" t="str">
        <f>IFERROR(__xludf.DUMMYFUNCTION("""COMPUTED_VALUE"""),"七年級")</f>
        <v>七年級</v>
      </c>
      <c r="G2609" s="14" t="str">
        <f>IFERROR(__xludf.DUMMYFUNCTION("""COMPUTED_VALUE"""),"●小禮物")</f>
        <v>●小禮物</v>
      </c>
      <c r="H2609" s="8"/>
    </row>
    <row r="2610">
      <c r="A2610" s="18"/>
      <c r="B2610" s="14">
        <f>IFERROR(__xludf.DUMMYFUNCTION("""COMPUTED_VALUE"""),1141855.0)</f>
        <v>1141855</v>
      </c>
      <c r="C2610" s="14" t="str">
        <f>IFERROR(__xludf.DUMMYFUNCTION("""COMPUTED_VALUE"""),"吳絜新")</f>
        <v>吳絜新</v>
      </c>
      <c r="D2610" s="16" t="str">
        <f>IFERROR(__xludf.DUMMYFUNCTION("""COMPUTED_VALUE"""),"jay*****4@gmail.com")</f>
        <v>jay*****4@gmail.com</v>
      </c>
      <c r="E2610" s="17" t="str">
        <f>IFERROR(__xludf.DUMMYFUNCTION("""COMPUTED_VALUE"""),"雲林縣私立揚子高級中學附設國中部")</f>
        <v>雲林縣私立揚子高級中學附設國中部</v>
      </c>
      <c r="F2610" s="14" t="str">
        <f>IFERROR(__xludf.DUMMYFUNCTION("""COMPUTED_VALUE"""),"七年級")</f>
        <v>七年級</v>
      </c>
      <c r="G2610" s="14" t="str">
        <f>IFERROR(__xludf.DUMMYFUNCTION("""COMPUTED_VALUE"""),"獎狀")</f>
        <v>獎狀</v>
      </c>
      <c r="H2610" s="8"/>
    </row>
    <row r="2611">
      <c r="A2611" s="18"/>
      <c r="B2611" s="14">
        <f>IFERROR(__xludf.DUMMYFUNCTION("""COMPUTED_VALUE"""),1127617.0)</f>
        <v>1127617</v>
      </c>
      <c r="C2611" s="14" t="str">
        <f>IFERROR(__xludf.DUMMYFUNCTION("""COMPUTED_VALUE"""),"王意婷")</f>
        <v>王意婷</v>
      </c>
      <c r="D2611" s="16" t="str">
        <f>IFERROR(__xludf.DUMMYFUNCTION("""COMPUTED_VALUE"""),"hon*****117@gmail.com")</f>
        <v>hon*****117@gmail.com</v>
      </c>
      <c r="E2611" s="17" t="str">
        <f>IFERROR(__xludf.DUMMYFUNCTION("""COMPUTED_VALUE"""),"雲林縣私立揚子高級中學附設國中部")</f>
        <v>雲林縣私立揚子高級中學附設國中部</v>
      </c>
      <c r="F2611" s="14" t="str">
        <f>IFERROR(__xludf.DUMMYFUNCTION("""COMPUTED_VALUE"""),"七年級")</f>
        <v>七年級</v>
      </c>
      <c r="G2611" s="14" t="str">
        <f>IFERROR(__xludf.DUMMYFUNCTION("""COMPUTED_VALUE"""),"●小禮物")</f>
        <v>●小禮物</v>
      </c>
      <c r="H2611" s="8"/>
    </row>
    <row r="2612">
      <c r="A2612" s="18"/>
      <c r="B2612" s="14">
        <f>IFERROR(__xludf.DUMMYFUNCTION("""COMPUTED_VALUE"""),1107584.0)</f>
        <v>1107584</v>
      </c>
      <c r="C2612" s="14" t="str">
        <f>IFERROR(__xludf.DUMMYFUNCTION("""COMPUTED_VALUE"""),"李俊毅")</f>
        <v>李俊毅</v>
      </c>
      <c r="D2612" s="16" t="str">
        <f>IFERROR(__xludf.DUMMYFUNCTION("""COMPUTED_VALUE"""),"eeo*****mail.com")</f>
        <v>eeo*****mail.com</v>
      </c>
      <c r="E2612" s="17" t="str">
        <f>IFERROR(__xludf.DUMMYFUNCTION("""COMPUTED_VALUE"""),"雲林縣私立揚子高級中學附設國中部")</f>
        <v>雲林縣私立揚子高級中學附設國中部</v>
      </c>
      <c r="F2612" s="14" t="str">
        <f>IFERROR(__xludf.DUMMYFUNCTION("""COMPUTED_VALUE"""),"七年級")</f>
        <v>七年級</v>
      </c>
      <c r="G2612" s="14" t="str">
        <f>IFERROR(__xludf.DUMMYFUNCTION("""COMPUTED_VALUE"""),"●小禮物")</f>
        <v>●小禮物</v>
      </c>
      <c r="H2612" s="8"/>
    </row>
    <row r="2613">
      <c r="A2613" s="18"/>
      <c r="B2613" s="14">
        <f>IFERROR(__xludf.DUMMYFUNCTION("""COMPUTED_VALUE"""),1127713.0)</f>
        <v>1127713</v>
      </c>
      <c r="C2613" s="14" t="str">
        <f>IFERROR(__xludf.DUMMYFUNCTION("""COMPUTED_VALUE"""),"周忞嫻")</f>
        <v>周忞嫻</v>
      </c>
      <c r="D2613" s="16" t="str">
        <f>IFERROR(__xludf.DUMMYFUNCTION("""COMPUTED_VALUE"""),"ody*****10@gmail.com")</f>
        <v>ody*****10@gmail.com</v>
      </c>
      <c r="E2613" s="17" t="str">
        <f>IFERROR(__xludf.DUMMYFUNCTION("""COMPUTED_VALUE"""),"雲林縣私立揚子高級中學附設國中部")</f>
        <v>雲林縣私立揚子高級中學附設國中部</v>
      </c>
      <c r="F2613" s="14" t="str">
        <f>IFERROR(__xludf.DUMMYFUNCTION("""COMPUTED_VALUE"""),"七年級")</f>
        <v>七年級</v>
      </c>
      <c r="G2613" s="14" t="str">
        <f>IFERROR(__xludf.DUMMYFUNCTION("""COMPUTED_VALUE"""),"獎狀")</f>
        <v>獎狀</v>
      </c>
      <c r="H2613" s="8"/>
    </row>
    <row r="2614">
      <c r="A2614" s="18"/>
      <c r="B2614" s="14">
        <f>IFERROR(__xludf.DUMMYFUNCTION("""COMPUTED_VALUE"""),1144506.0)</f>
        <v>1144506</v>
      </c>
      <c r="C2614" s="14" t="str">
        <f>IFERROR(__xludf.DUMMYFUNCTION("""COMPUTED_VALUE"""),"林沛穎")</f>
        <v>林沛穎</v>
      </c>
      <c r="D2614" s="16" t="str">
        <f>IFERROR(__xludf.DUMMYFUNCTION("""COMPUTED_VALUE"""),"p09*****399@gmail.com")</f>
        <v>p09*****399@gmail.com</v>
      </c>
      <c r="E2614" s="17" t="str">
        <f>IFERROR(__xludf.DUMMYFUNCTION("""COMPUTED_VALUE"""),"雲林縣私立揚子高級中學附設國中部")</f>
        <v>雲林縣私立揚子高級中學附設國中部</v>
      </c>
      <c r="F2614" s="14" t="str">
        <f>IFERROR(__xludf.DUMMYFUNCTION("""COMPUTED_VALUE"""),"七年級")</f>
        <v>七年級</v>
      </c>
      <c r="G2614" s="14" t="str">
        <f>IFERROR(__xludf.DUMMYFUNCTION("""COMPUTED_VALUE"""),"●小禮物")</f>
        <v>●小禮物</v>
      </c>
      <c r="H2614" s="8"/>
    </row>
    <row r="2615">
      <c r="A2615" s="18"/>
      <c r="B2615" s="14">
        <f>IFERROR(__xludf.DUMMYFUNCTION("""COMPUTED_VALUE"""),1135575.0)</f>
        <v>1135575</v>
      </c>
      <c r="C2615" s="14" t="str">
        <f>IFERROR(__xludf.DUMMYFUNCTION("""COMPUTED_VALUE"""),"林彥儒")</f>
        <v>林彥儒</v>
      </c>
      <c r="D2615" s="16" t="str">
        <f>IFERROR(__xludf.DUMMYFUNCTION("""COMPUTED_VALUE"""),"s10*****ms1.mles.ylc.edu.tw")</f>
        <v>s10*****ms1.mles.ylc.edu.tw</v>
      </c>
      <c r="E2615" s="17" t="str">
        <f>IFERROR(__xludf.DUMMYFUNCTION("""COMPUTED_VALUE"""),"雲林縣私立揚子高級中學附設國中部")</f>
        <v>雲林縣私立揚子高級中學附設國中部</v>
      </c>
      <c r="F2615" s="14" t="str">
        <f>IFERROR(__xludf.DUMMYFUNCTION("""COMPUTED_VALUE"""),"七年級")</f>
        <v>七年級</v>
      </c>
      <c r="G2615" s="14" t="str">
        <f>IFERROR(__xludf.DUMMYFUNCTION("""COMPUTED_VALUE"""),"★禮券$200")</f>
        <v>★禮券$200</v>
      </c>
      <c r="H2615" s="8"/>
    </row>
    <row r="2616">
      <c r="A2616" s="18"/>
      <c r="B2616" s="14">
        <f>IFERROR(__xludf.DUMMYFUNCTION("""COMPUTED_VALUE"""),1127548.0)</f>
        <v>1127548</v>
      </c>
      <c r="C2616" s="14" t="str">
        <f>IFERROR(__xludf.DUMMYFUNCTION("""COMPUTED_VALUE"""),"吳宜蓁")</f>
        <v>吳宜蓁</v>
      </c>
      <c r="D2616" s="16" t="str">
        <f>IFERROR(__xludf.DUMMYFUNCTION("""COMPUTED_VALUE"""),"els*****701@gmail.com")</f>
        <v>els*****701@gmail.com</v>
      </c>
      <c r="E2616" s="17" t="str">
        <f>IFERROR(__xludf.DUMMYFUNCTION("""COMPUTED_VALUE"""),"雲林縣私立揚子高級中學附設國中部")</f>
        <v>雲林縣私立揚子高級中學附設國中部</v>
      </c>
      <c r="F2616" s="14" t="str">
        <f>IFERROR(__xludf.DUMMYFUNCTION("""COMPUTED_VALUE"""),"七年級")</f>
        <v>七年級</v>
      </c>
      <c r="G2616" s="14" t="str">
        <f>IFERROR(__xludf.DUMMYFUNCTION("""COMPUTED_VALUE"""),"獎狀")</f>
        <v>獎狀</v>
      </c>
      <c r="H2616" s="8"/>
    </row>
    <row r="2617">
      <c r="A2617" s="18"/>
      <c r="B2617" s="14">
        <f>IFERROR(__xludf.DUMMYFUNCTION("""COMPUTED_VALUE"""),1015427.0)</f>
        <v>1015427</v>
      </c>
      <c r="C2617" s="14" t="str">
        <f>IFERROR(__xludf.DUMMYFUNCTION("""COMPUTED_VALUE"""),"謝宛芯")</f>
        <v>謝宛芯</v>
      </c>
      <c r="D2617" s="16" t="str">
        <f>IFERROR(__xludf.DUMMYFUNCTION("""COMPUTED_VALUE"""),"wan*****15@gmail.com")</f>
        <v>wan*****15@gmail.com</v>
      </c>
      <c r="E2617" s="17" t="str">
        <f>IFERROR(__xludf.DUMMYFUNCTION("""COMPUTED_VALUE"""),"雲林縣私立揚子高級中學附設國中部")</f>
        <v>雲林縣私立揚子高級中學附設國中部</v>
      </c>
      <c r="F2617" s="14" t="str">
        <f>IFERROR(__xludf.DUMMYFUNCTION("""COMPUTED_VALUE"""),"八年級")</f>
        <v>八年級</v>
      </c>
      <c r="G2617" s="14" t="str">
        <f>IFERROR(__xludf.DUMMYFUNCTION("""COMPUTED_VALUE"""),"●小禮物")</f>
        <v>●小禮物</v>
      </c>
      <c r="H2617" s="8"/>
    </row>
    <row r="2618">
      <c r="A2618" s="18"/>
      <c r="B2618" s="14">
        <f>IFERROR(__xludf.DUMMYFUNCTION("""COMPUTED_VALUE"""),1147968.0)</f>
        <v>1147968</v>
      </c>
      <c r="C2618" s="14" t="str">
        <f>IFERROR(__xludf.DUMMYFUNCTION("""COMPUTED_VALUE"""),"吳宥辰")</f>
        <v>吳宥辰</v>
      </c>
      <c r="D2618" s="16" t="str">
        <f>IFERROR(__xludf.DUMMYFUNCTION("""COMPUTED_VALUE"""),"jer*****002971002@gmail.com")</f>
        <v>jer*****002971002@gmail.com</v>
      </c>
      <c r="E2618" s="17" t="str">
        <f>IFERROR(__xludf.DUMMYFUNCTION("""COMPUTED_VALUE"""),"雲林縣私立揚子高級中學附設國中部")</f>
        <v>雲林縣私立揚子高級中學附設國中部</v>
      </c>
      <c r="F2618" s="14" t="str">
        <f>IFERROR(__xludf.DUMMYFUNCTION("""COMPUTED_VALUE"""),"八年級")</f>
        <v>八年級</v>
      </c>
      <c r="G2618" s="14" t="str">
        <f>IFERROR(__xludf.DUMMYFUNCTION("""COMPUTED_VALUE"""),"★禮券$200")</f>
        <v>★禮券$200</v>
      </c>
      <c r="H2618" s="8"/>
    </row>
    <row r="2619">
      <c r="A2619" s="18"/>
      <c r="B2619" s="14">
        <f>IFERROR(__xludf.DUMMYFUNCTION("""COMPUTED_VALUE"""),1092995.0)</f>
        <v>1092995</v>
      </c>
      <c r="C2619" s="14" t="str">
        <f>IFERROR(__xludf.DUMMYFUNCTION("""COMPUTED_VALUE"""),"陳平達")</f>
        <v>陳平達</v>
      </c>
      <c r="D2619" s="16" t="str">
        <f>IFERROR(__xludf.DUMMYFUNCTION("""COMPUTED_VALUE"""),"110*****nhs.ylc.edu.tw")</f>
        <v>110*****nhs.ylc.edu.tw</v>
      </c>
      <c r="E2619" s="17" t="str">
        <f>IFERROR(__xludf.DUMMYFUNCTION("""COMPUTED_VALUE"""),"雲林縣私立永年高級中學附設國中部")</f>
        <v>雲林縣私立永年高級中學附設國中部</v>
      </c>
      <c r="F2619" s="14" t="str">
        <f>IFERROR(__xludf.DUMMYFUNCTION("""COMPUTED_VALUE"""),"八年級")</f>
        <v>八年級</v>
      </c>
      <c r="G2619" s="14" t="str">
        <f>IFERROR(__xludf.DUMMYFUNCTION("""COMPUTED_VALUE"""),"●小禮物")</f>
        <v>●小禮物</v>
      </c>
      <c r="H2619" s="8"/>
    </row>
    <row r="2620">
      <c r="A2620" s="18"/>
      <c r="B2620" s="14">
        <f>IFERROR(__xludf.DUMMYFUNCTION("""COMPUTED_VALUE"""),937592.0)</f>
        <v>937592</v>
      </c>
      <c r="C2620" s="14" t="str">
        <f>IFERROR(__xludf.DUMMYFUNCTION("""COMPUTED_VALUE"""),"陳芝畇")</f>
        <v>陳芝畇</v>
      </c>
      <c r="D2620" s="16" t="str">
        <f>IFERROR(__xludf.DUMMYFUNCTION("""COMPUTED_VALUE"""),"110*****nhs.ylc.edu.tw")</f>
        <v>110*****nhs.ylc.edu.tw</v>
      </c>
      <c r="E2620" s="17" t="str">
        <f>IFERROR(__xludf.DUMMYFUNCTION("""COMPUTED_VALUE"""),"雲林縣私立永年高級中學附設國中部")</f>
        <v>雲林縣私立永年高級中學附設國中部</v>
      </c>
      <c r="F2620" s="14" t="str">
        <f>IFERROR(__xludf.DUMMYFUNCTION("""COMPUTED_VALUE"""),"八年級")</f>
        <v>八年級</v>
      </c>
      <c r="G2620" s="14" t="str">
        <f>IFERROR(__xludf.DUMMYFUNCTION("""COMPUTED_VALUE"""),"●小禮物")</f>
        <v>●小禮物</v>
      </c>
      <c r="H2620" s="8"/>
    </row>
    <row r="2621">
      <c r="A2621" s="18"/>
      <c r="B2621" s="14">
        <f>IFERROR(__xludf.DUMMYFUNCTION("""COMPUTED_VALUE"""),935590.0)</f>
        <v>935590</v>
      </c>
      <c r="C2621" s="14" t="str">
        <f>IFERROR(__xludf.DUMMYFUNCTION("""COMPUTED_VALUE"""),"陳維勗")</f>
        <v>陳維勗</v>
      </c>
      <c r="D2621" s="16" t="str">
        <f>IFERROR(__xludf.DUMMYFUNCTION("""COMPUTED_VALUE"""),"110*****nhs.ylc.edu.tw")</f>
        <v>110*****nhs.ylc.edu.tw</v>
      </c>
      <c r="E2621" s="17" t="str">
        <f>IFERROR(__xludf.DUMMYFUNCTION("""COMPUTED_VALUE"""),"雲林縣私立永年高級中學附設國中部")</f>
        <v>雲林縣私立永年高級中學附設國中部</v>
      </c>
      <c r="F2621" s="14" t="str">
        <f>IFERROR(__xludf.DUMMYFUNCTION("""COMPUTED_VALUE"""),"八年級")</f>
        <v>八年級</v>
      </c>
      <c r="G2621" s="14" t="str">
        <f>IFERROR(__xludf.DUMMYFUNCTION("""COMPUTED_VALUE"""),"●小禮物")</f>
        <v>●小禮物</v>
      </c>
      <c r="H2621" s="8"/>
    </row>
    <row r="2622">
      <c r="A2622" s="18"/>
      <c r="B2622" s="14">
        <f>IFERROR(__xludf.DUMMYFUNCTION("""COMPUTED_VALUE"""),947158.0)</f>
        <v>947158</v>
      </c>
      <c r="C2622" s="14" t="str">
        <f>IFERROR(__xludf.DUMMYFUNCTION("""COMPUTED_VALUE"""),"賴玟君")</f>
        <v>賴玟君</v>
      </c>
      <c r="D2622" s="16" t="str">
        <f>IFERROR(__xludf.DUMMYFUNCTION("""COMPUTED_VALUE"""),"110*****nhs.ylc.edu.tw")</f>
        <v>110*****nhs.ylc.edu.tw</v>
      </c>
      <c r="E2622" s="17" t="str">
        <f>IFERROR(__xludf.DUMMYFUNCTION("""COMPUTED_VALUE"""),"雲林縣私立永年高級中學附設國中部")</f>
        <v>雲林縣私立永年高級中學附設國中部</v>
      </c>
      <c r="F2622" s="14" t="str">
        <f>IFERROR(__xludf.DUMMYFUNCTION("""COMPUTED_VALUE"""),"八年級")</f>
        <v>八年級</v>
      </c>
      <c r="G2622" s="14" t="str">
        <f>IFERROR(__xludf.DUMMYFUNCTION("""COMPUTED_VALUE"""),"●小禮物")</f>
        <v>●小禮物</v>
      </c>
      <c r="H2622" s="8"/>
    </row>
    <row r="2623">
      <c r="A2623" s="18"/>
      <c r="B2623" s="14">
        <f>IFERROR(__xludf.DUMMYFUNCTION("""COMPUTED_VALUE"""),947164.0)</f>
        <v>947164</v>
      </c>
      <c r="C2623" s="14" t="str">
        <f>IFERROR(__xludf.DUMMYFUNCTION("""COMPUTED_VALUE"""),"沈家鈞")</f>
        <v>沈家鈞</v>
      </c>
      <c r="D2623" s="16" t="str">
        <f>IFERROR(__xludf.DUMMYFUNCTION("""COMPUTED_VALUE"""),"110*****nhs.ylc.edu.tw")</f>
        <v>110*****nhs.ylc.edu.tw</v>
      </c>
      <c r="E2623" s="17" t="str">
        <f>IFERROR(__xludf.DUMMYFUNCTION("""COMPUTED_VALUE"""),"雲林縣私立永年高級中學附設國中部")</f>
        <v>雲林縣私立永年高級中學附設國中部</v>
      </c>
      <c r="F2623" s="14" t="str">
        <f>IFERROR(__xludf.DUMMYFUNCTION("""COMPUTED_VALUE"""),"八年級")</f>
        <v>八年級</v>
      </c>
      <c r="G2623" s="14" t="str">
        <f>IFERROR(__xludf.DUMMYFUNCTION("""COMPUTED_VALUE"""),"獎狀")</f>
        <v>獎狀</v>
      </c>
      <c r="H2623" s="8"/>
    </row>
    <row r="2624">
      <c r="A2624" s="18"/>
      <c r="B2624" s="14">
        <f>IFERROR(__xludf.DUMMYFUNCTION("""COMPUTED_VALUE"""),935626.0)</f>
        <v>935626</v>
      </c>
      <c r="C2624" s="14" t="str">
        <f>IFERROR(__xludf.DUMMYFUNCTION("""COMPUTED_VALUE"""),"林羿岑")</f>
        <v>林羿岑</v>
      </c>
      <c r="D2624" s="16" t="str">
        <f>IFERROR(__xludf.DUMMYFUNCTION("""COMPUTED_VALUE"""),"lin*****3@gmail.com")</f>
        <v>lin*****3@gmail.com</v>
      </c>
      <c r="E2624" s="17" t="str">
        <f>IFERROR(__xludf.DUMMYFUNCTION("""COMPUTED_VALUE"""),"雲林縣私立永年高級中學附設國中部")</f>
        <v>雲林縣私立永年高級中學附設國中部</v>
      </c>
      <c r="F2624" s="14" t="str">
        <f>IFERROR(__xludf.DUMMYFUNCTION("""COMPUTED_VALUE"""),"八年級")</f>
        <v>八年級</v>
      </c>
      <c r="G2624" s="14" t="str">
        <f>IFERROR(__xludf.DUMMYFUNCTION("""COMPUTED_VALUE"""),"獎狀")</f>
        <v>獎狀</v>
      </c>
      <c r="H2624" s="8"/>
    </row>
    <row r="2625">
      <c r="A2625" s="18"/>
      <c r="B2625" s="14">
        <f>IFERROR(__xludf.DUMMYFUNCTION("""COMPUTED_VALUE"""),960071.0)</f>
        <v>960071</v>
      </c>
      <c r="C2625" s="14" t="str">
        <f>IFERROR(__xludf.DUMMYFUNCTION("""COMPUTED_VALUE"""),"唐釩碩")</f>
        <v>唐釩碩</v>
      </c>
      <c r="D2625" s="16" t="str">
        <f>IFERROR(__xludf.DUMMYFUNCTION("""COMPUTED_VALUE"""),"110*****nhs.ylc.edu.tw")</f>
        <v>110*****nhs.ylc.edu.tw</v>
      </c>
      <c r="E2625" s="17" t="str">
        <f>IFERROR(__xludf.DUMMYFUNCTION("""COMPUTED_VALUE"""),"雲林縣私立永年高級中學附設國中部")</f>
        <v>雲林縣私立永年高級中學附設國中部</v>
      </c>
      <c r="F2625" s="14" t="str">
        <f>IFERROR(__xludf.DUMMYFUNCTION("""COMPUTED_VALUE"""),"八年級")</f>
        <v>八年級</v>
      </c>
      <c r="G2625" s="14" t="str">
        <f>IFERROR(__xludf.DUMMYFUNCTION("""COMPUTED_VALUE"""),"獎狀")</f>
        <v>獎狀</v>
      </c>
      <c r="H2625" s="8"/>
    </row>
    <row r="2626">
      <c r="A2626" s="18"/>
      <c r="B2626" s="14">
        <f>IFERROR(__xludf.DUMMYFUNCTION("""COMPUTED_VALUE"""),936078.0)</f>
        <v>936078</v>
      </c>
      <c r="C2626" s="14" t="str">
        <f>IFERROR(__xludf.DUMMYFUNCTION("""COMPUTED_VALUE"""),"留宇彤")</f>
        <v>留宇彤</v>
      </c>
      <c r="D2626" s="16" t="str">
        <f>IFERROR(__xludf.DUMMYFUNCTION("""COMPUTED_VALUE"""),"110*****nhs.ylc.edu.tw")</f>
        <v>110*****nhs.ylc.edu.tw</v>
      </c>
      <c r="E2626" s="17" t="str">
        <f>IFERROR(__xludf.DUMMYFUNCTION("""COMPUTED_VALUE"""),"雲林縣私立永年高級中學附設國中部")</f>
        <v>雲林縣私立永年高級中學附設國中部</v>
      </c>
      <c r="F2626" s="14" t="str">
        <f>IFERROR(__xludf.DUMMYFUNCTION("""COMPUTED_VALUE"""),"八年級")</f>
        <v>八年級</v>
      </c>
      <c r="G2626" s="14" t="str">
        <f>IFERROR(__xludf.DUMMYFUNCTION("""COMPUTED_VALUE"""),"獎狀")</f>
        <v>獎狀</v>
      </c>
      <c r="H2626" s="8"/>
    </row>
    <row r="2627">
      <c r="A2627" s="18"/>
      <c r="B2627" s="14">
        <f>IFERROR(__xludf.DUMMYFUNCTION("""COMPUTED_VALUE"""),947081.0)</f>
        <v>947081</v>
      </c>
      <c r="C2627" s="14" t="str">
        <f>IFERROR(__xludf.DUMMYFUNCTION("""COMPUTED_VALUE"""),"張芷琳")</f>
        <v>張芷琳</v>
      </c>
      <c r="D2627" s="16" t="str">
        <f>IFERROR(__xludf.DUMMYFUNCTION("""COMPUTED_VALUE"""),"110*****nhs.ylc.edu.tw")</f>
        <v>110*****nhs.ylc.edu.tw</v>
      </c>
      <c r="E2627" s="17" t="str">
        <f>IFERROR(__xludf.DUMMYFUNCTION("""COMPUTED_VALUE"""),"雲林縣私立永年高級中學附設國中部")</f>
        <v>雲林縣私立永年高級中學附設國中部</v>
      </c>
      <c r="F2627" s="14" t="str">
        <f>IFERROR(__xludf.DUMMYFUNCTION("""COMPUTED_VALUE"""),"八年級")</f>
        <v>八年級</v>
      </c>
      <c r="G2627" s="14" t="str">
        <f>IFERROR(__xludf.DUMMYFUNCTION("""COMPUTED_VALUE"""),"獎狀")</f>
        <v>獎狀</v>
      </c>
      <c r="H2627" s="8"/>
    </row>
    <row r="2628">
      <c r="A2628" s="18"/>
      <c r="B2628" s="14">
        <f>IFERROR(__xludf.DUMMYFUNCTION("""COMPUTED_VALUE"""),947101.0)</f>
        <v>947101</v>
      </c>
      <c r="C2628" s="14" t="str">
        <f>IFERROR(__xludf.DUMMYFUNCTION("""COMPUTED_VALUE"""),"曾季芹")</f>
        <v>曾季芹</v>
      </c>
      <c r="D2628" s="16" t="str">
        <f>IFERROR(__xludf.DUMMYFUNCTION("""COMPUTED_VALUE"""),"110*****nhs.ylc.edu.tw")</f>
        <v>110*****nhs.ylc.edu.tw</v>
      </c>
      <c r="E2628" s="17" t="str">
        <f>IFERROR(__xludf.DUMMYFUNCTION("""COMPUTED_VALUE"""),"雲林縣私立永年高級中學附設國中部")</f>
        <v>雲林縣私立永年高級中學附設國中部</v>
      </c>
      <c r="F2628" s="14" t="str">
        <f>IFERROR(__xludf.DUMMYFUNCTION("""COMPUTED_VALUE"""),"八年級")</f>
        <v>八年級</v>
      </c>
      <c r="G2628" s="14" t="str">
        <f>IFERROR(__xludf.DUMMYFUNCTION("""COMPUTED_VALUE"""),"獎狀")</f>
        <v>獎狀</v>
      </c>
      <c r="H2628" s="8"/>
    </row>
    <row r="2629">
      <c r="A2629" s="18"/>
      <c r="B2629" s="14">
        <f>IFERROR(__xludf.DUMMYFUNCTION("""COMPUTED_VALUE"""),1092986.0)</f>
        <v>1092986</v>
      </c>
      <c r="C2629" s="14" t="str">
        <f>IFERROR(__xludf.DUMMYFUNCTION("""COMPUTED_VALUE"""),"程詩涵")</f>
        <v>程詩涵</v>
      </c>
      <c r="D2629" s="16" t="str">
        <f>IFERROR(__xludf.DUMMYFUNCTION("""COMPUTED_VALUE"""),"110*****nhs.ylc.edu.tw")</f>
        <v>110*****nhs.ylc.edu.tw</v>
      </c>
      <c r="E2629" s="17" t="str">
        <f>IFERROR(__xludf.DUMMYFUNCTION("""COMPUTED_VALUE"""),"雲林縣私立永年高級中學附設國中部")</f>
        <v>雲林縣私立永年高級中學附設國中部</v>
      </c>
      <c r="F2629" s="14" t="str">
        <f>IFERROR(__xludf.DUMMYFUNCTION("""COMPUTED_VALUE"""),"八年級")</f>
        <v>八年級</v>
      </c>
      <c r="G2629" s="14" t="str">
        <f>IFERROR(__xludf.DUMMYFUNCTION("""COMPUTED_VALUE"""),"獎狀")</f>
        <v>獎狀</v>
      </c>
      <c r="H2629" s="8"/>
    </row>
    <row r="2630">
      <c r="A2630" s="18"/>
      <c r="B2630" s="14">
        <f>IFERROR(__xludf.DUMMYFUNCTION("""COMPUTED_VALUE"""),947188.0)</f>
        <v>947188</v>
      </c>
      <c r="C2630" s="14" t="str">
        <f>IFERROR(__xludf.DUMMYFUNCTION("""COMPUTED_VALUE"""),"蔡藍萱")</f>
        <v>蔡藍萱</v>
      </c>
      <c r="D2630" s="16" t="str">
        <f>IFERROR(__xludf.DUMMYFUNCTION("""COMPUTED_VALUE"""),"110*****nhs.ylc.edu.tw")</f>
        <v>110*****nhs.ylc.edu.tw</v>
      </c>
      <c r="E2630" s="17" t="str">
        <f>IFERROR(__xludf.DUMMYFUNCTION("""COMPUTED_VALUE"""),"雲林縣私立永年高級中學附設國中部")</f>
        <v>雲林縣私立永年高級中學附設國中部</v>
      </c>
      <c r="F2630" s="14" t="str">
        <f>IFERROR(__xludf.DUMMYFUNCTION("""COMPUTED_VALUE"""),"八年級")</f>
        <v>八年級</v>
      </c>
      <c r="G2630" s="14" t="str">
        <f>IFERROR(__xludf.DUMMYFUNCTION("""COMPUTED_VALUE"""),"獎狀")</f>
        <v>獎狀</v>
      </c>
      <c r="H2630" s="8"/>
    </row>
    <row r="2631">
      <c r="A2631" s="18"/>
      <c r="B2631" s="14">
        <f>IFERROR(__xludf.DUMMYFUNCTION("""COMPUTED_VALUE"""),161560.0)</f>
        <v>161560</v>
      </c>
      <c r="C2631" s="14" t="str">
        <f>IFERROR(__xludf.DUMMYFUNCTION("""COMPUTED_VALUE"""),"吳其翰")</f>
        <v>吳其翰</v>
      </c>
      <c r="D2631" s="16" t="str">
        <f>IFERROR(__xludf.DUMMYFUNCTION("""COMPUTED_VALUE"""),"wuc*****gmail.com")</f>
        <v>wuc*****gmail.com</v>
      </c>
      <c r="E2631" s="17" t="str">
        <f>IFERROR(__xludf.DUMMYFUNCTION("""COMPUTED_VALUE"""),"雲林縣私立永年高級中學附設國中部")</f>
        <v>雲林縣私立永年高級中學附設國中部</v>
      </c>
      <c r="F2631" s="14" t="str">
        <f>IFERROR(__xludf.DUMMYFUNCTION("""COMPUTED_VALUE"""),"八年級")</f>
        <v>八年級</v>
      </c>
      <c r="G2631" s="14" t="str">
        <f>IFERROR(__xludf.DUMMYFUNCTION("""COMPUTED_VALUE"""),"獎狀")</f>
        <v>獎狀</v>
      </c>
      <c r="H2631" s="8"/>
    </row>
    <row r="2632">
      <c r="A2632" s="18"/>
      <c r="B2632" s="14">
        <f>IFERROR(__xludf.DUMMYFUNCTION("""COMPUTED_VALUE"""),1139290.0)</f>
        <v>1139290</v>
      </c>
      <c r="C2632" s="14" t="str">
        <f>IFERROR(__xludf.DUMMYFUNCTION("""COMPUTED_VALUE"""),"周芷筠")</f>
        <v>周芷筠</v>
      </c>
      <c r="D2632" s="16" t="str">
        <f>IFERROR(__xludf.DUMMYFUNCTION("""COMPUTED_VALUE"""),"111*****kjh.ylc.edu.tw")</f>
        <v>111*****kjh.ylc.edu.tw</v>
      </c>
      <c r="E2632" s="17" t="str">
        <f>IFERROR(__xludf.DUMMYFUNCTION("""COMPUTED_VALUE"""),"雲林縣立土庫國民中學")</f>
        <v>雲林縣立土庫國民中學</v>
      </c>
      <c r="F2632" s="14" t="str">
        <f>IFERROR(__xludf.DUMMYFUNCTION("""COMPUTED_VALUE"""),"七年級")</f>
        <v>七年級</v>
      </c>
      <c r="G2632" s="14" t="str">
        <f>IFERROR(__xludf.DUMMYFUNCTION("""COMPUTED_VALUE"""),"●小禮物")</f>
        <v>●小禮物</v>
      </c>
      <c r="H2632" s="8"/>
    </row>
    <row r="2633">
      <c r="A2633" s="18"/>
      <c r="B2633" s="14">
        <f>IFERROR(__xludf.DUMMYFUNCTION("""COMPUTED_VALUE"""),1139281.0)</f>
        <v>1139281</v>
      </c>
      <c r="C2633" s="14" t="str">
        <f>IFERROR(__xludf.DUMMYFUNCTION("""COMPUTED_VALUE"""),"郭晉佑")</f>
        <v>郭晉佑</v>
      </c>
      <c r="D2633" s="16" t="str">
        <f>IFERROR(__xludf.DUMMYFUNCTION("""COMPUTED_VALUE"""),"111*****kjh.ylc.edu.tw")</f>
        <v>111*****kjh.ylc.edu.tw</v>
      </c>
      <c r="E2633" s="17" t="str">
        <f>IFERROR(__xludf.DUMMYFUNCTION("""COMPUTED_VALUE"""),"雲林縣立土庫國民中學")</f>
        <v>雲林縣立土庫國民中學</v>
      </c>
      <c r="F2633" s="14" t="str">
        <f>IFERROR(__xludf.DUMMYFUNCTION("""COMPUTED_VALUE"""),"七年級")</f>
        <v>七年級</v>
      </c>
      <c r="G2633" s="14" t="str">
        <f>IFERROR(__xludf.DUMMYFUNCTION("""COMPUTED_VALUE"""),"●小禮物")</f>
        <v>●小禮物</v>
      </c>
      <c r="H2633" s="8"/>
    </row>
    <row r="2634">
      <c r="A2634" s="18"/>
      <c r="B2634" s="14">
        <f>IFERROR(__xludf.DUMMYFUNCTION("""COMPUTED_VALUE"""),1139280.0)</f>
        <v>1139280</v>
      </c>
      <c r="C2634" s="14" t="str">
        <f>IFERROR(__xludf.DUMMYFUNCTION("""COMPUTED_VALUE"""),"魏子恩")</f>
        <v>魏子恩</v>
      </c>
      <c r="D2634" s="16" t="str">
        <f>IFERROR(__xludf.DUMMYFUNCTION("""COMPUTED_VALUE"""),"111*****kjh.ylc.edu.tw")</f>
        <v>111*****kjh.ylc.edu.tw</v>
      </c>
      <c r="E2634" s="17" t="str">
        <f>IFERROR(__xludf.DUMMYFUNCTION("""COMPUTED_VALUE"""),"雲林縣立土庫國民中學")</f>
        <v>雲林縣立土庫國民中學</v>
      </c>
      <c r="F2634" s="14" t="str">
        <f>IFERROR(__xludf.DUMMYFUNCTION("""COMPUTED_VALUE"""),"七年級")</f>
        <v>七年級</v>
      </c>
      <c r="G2634" s="14" t="str">
        <f>IFERROR(__xludf.DUMMYFUNCTION("""COMPUTED_VALUE"""),"●小禮物")</f>
        <v>●小禮物</v>
      </c>
      <c r="H2634" s="8"/>
    </row>
    <row r="2635">
      <c r="A2635" s="18"/>
      <c r="B2635" s="14">
        <f>IFERROR(__xludf.DUMMYFUNCTION("""COMPUTED_VALUE"""),1140249.0)</f>
        <v>1140249</v>
      </c>
      <c r="C2635" s="14" t="str">
        <f>IFERROR(__xludf.DUMMYFUNCTION("""COMPUTED_VALUE"""),"吳玨璦")</f>
        <v>吳玨璦</v>
      </c>
      <c r="D2635" s="16" t="str">
        <f>IFERROR(__xludf.DUMMYFUNCTION("""COMPUTED_VALUE"""),"111*****kjh.ylc.edu.tw")</f>
        <v>111*****kjh.ylc.edu.tw</v>
      </c>
      <c r="E2635" s="17" t="str">
        <f>IFERROR(__xludf.DUMMYFUNCTION("""COMPUTED_VALUE"""),"雲林縣立土庫國民中學")</f>
        <v>雲林縣立土庫國民中學</v>
      </c>
      <c r="F2635" s="14" t="str">
        <f>IFERROR(__xludf.DUMMYFUNCTION("""COMPUTED_VALUE"""),"七年級")</f>
        <v>七年級</v>
      </c>
      <c r="G2635" s="14" t="str">
        <f>IFERROR(__xludf.DUMMYFUNCTION("""COMPUTED_VALUE"""),"★禮券$200")</f>
        <v>★禮券$200</v>
      </c>
      <c r="H2635" s="8"/>
    </row>
    <row r="2636">
      <c r="A2636" s="18"/>
      <c r="B2636" s="14">
        <f>IFERROR(__xludf.DUMMYFUNCTION("""COMPUTED_VALUE"""),1147966.0)</f>
        <v>1147966</v>
      </c>
      <c r="C2636" s="14" t="str">
        <f>IFERROR(__xludf.DUMMYFUNCTION("""COMPUTED_VALUE"""),"黃昱涵")</f>
        <v>黃昱涵</v>
      </c>
      <c r="D2636" s="16" t="str">
        <f>IFERROR(__xludf.DUMMYFUNCTION("""COMPUTED_VALUE"""),"111*****kjh.ylc.edu.tw")</f>
        <v>111*****kjh.ylc.edu.tw</v>
      </c>
      <c r="E2636" s="17" t="str">
        <f>IFERROR(__xludf.DUMMYFUNCTION("""COMPUTED_VALUE"""),"雲林縣立土庫國民中學")</f>
        <v>雲林縣立土庫國民中學</v>
      </c>
      <c r="F2636" s="14" t="str">
        <f>IFERROR(__xludf.DUMMYFUNCTION("""COMPUTED_VALUE"""),"七年級")</f>
        <v>七年級</v>
      </c>
      <c r="G2636" s="14" t="str">
        <f>IFERROR(__xludf.DUMMYFUNCTION("""COMPUTED_VALUE"""),"獎狀")</f>
        <v>獎狀</v>
      </c>
      <c r="H2636" s="8"/>
    </row>
    <row r="2637">
      <c r="A2637" s="18"/>
      <c r="B2637" s="14">
        <f>IFERROR(__xludf.DUMMYFUNCTION("""COMPUTED_VALUE"""),1153182.0)</f>
        <v>1153182</v>
      </c>
      <c r="C2637" s="14" t="str">
        <f>IFERROR(__xludf.DUMMYFUNCTION("""COMPUTED_VALUE"""),"楊家欣")</f>
        <v>楊家欣</v>
      </c>
      <c r="D2637" s="16" t="str">
        <f>IFERROR(__xludf.DUMMYFUNCTION("""COMPUTED_VALUE"""),"111*****kjh.ylc.edu.tw")</f>
        <v>111*****kjh.ylc.edu.tw</v>
      </c>
      <c r="E2637" s="17" t="str">
        <f>IFERROR(__xludf.DUMMYFUNCTION("""COMPUTED_VALUE"""),"雲林縣立土庫國民中學")</f>
        <v>雲林縣立土庫國民中學</v>
      </c>
      <c r="F2637" s="14" t="str">
        <f>IFERROR(__xludf.DUMMYFUNCTION("""COMPUTED_VALUE"""),"七年級")</f>
        <v>七年級</v>
      </c>
      <c r="G2637" s="14" t="str">
        <f>IFERROR(__xludf.DUMMYFUNCTION("""COMPUTED_VALUE"""),"獎狀")</f>
        <v>獎狀</v>
      </c>
      <c r="H2637" s="8"/>
    </row>
    <row r="2638">
      <c r="A2638" s="18"/>
      <c r="B2638" s="14">
        <f>IFERROR(__xludf.DUMMYFUNCTION("""COMPUTED_VALUE"""),1186446.0)</f>
        <v>1186446</v>
      </c>
      <c r="C2638" s="14" t="str">
        <f>IFERROR(__xludf.DUMMYFUNCTION("""COMPUTED_VALUE"""),"吳巧涵")</f>
        <v>吳巧涵</v>
      </c>
      <c r="D2638" s="16" t="str">
        <f>IFERROR(__xludf.DUMMYFUNCTION("""COMPUTED_VALUE"""),"111*****kjh.ylc.edu.tw")</f>
        <v>111*****kjh.ylc.edu.tw</v>
      </c>
      <c r="E2638" s="17" t="str">
        <f>IFERROR(__xludf.DUMMYFUNCTION("""COMPUTED_VALUE"""),"雲林縣立土庫國民中學")</f>
        <v>雲林縣立土庫國民中學</v>
      </c>
      <c r="F2638" s="14" t="str">
        <f>IFERROR(__xludf.DUMMYFUNCTION("""COMPUTED_VALUE"""),"七年級")</f>
        <v>七年級</v>
      </c>
      <c r="G2638" s="14" t="str">
        <f>IFERROR(__xludf.DUMMYFUNCTION("""COMPUTED_VALUE"""),"●小禮物")</f>
        <v>●小禮物</v>
      </c>
      <c r="H2638" s="8"/>
    </row>
    <row r="2639">
      <c r="A2639" s="18"/>
      <c r="B2639" s="14">
        <f>IFERROR(__xludf.DUMMYFUNCTION("""COMPUTED_VALUE"""),1139405.0)</f>
        <v>1139405</v>
      </c>
      <c r="C2639" s="14" t="str">
        <f>IFERROR(__xludf.DUMMYFUNCTION("""COMPUTED_VALUE"""),"江杰原")</f>
        <v>江杰原</v>
      </c>
      <c r="D2639" s="16" t="str">
        <f>IFERROR(__xludf.DUMMYFUNCTION("""COMPUTED_VALUE"""),"111*****kjh.ylc.edu.tw")</f>
        <v>111*****kjh.ylc.edu.tw</v>
      </c>
      <c r="E2639" s="17" t="str">
        <f>IFERROR(__xludf.DUMMYFUNCTION("""COMPUTED_VALUE"""),"雲林縣立土庫國民中學")</f>
        <v>雲林縣立土庫國民中學</v>
      </c>
      <c r="F2639" s="14" t="str">
        <f>IFERROR(__xludf.DUMMYFUNCTION("""COMPUTED_VALUE"""),"七年級")</f>
        <v>七年級</v>
      </c>
      <c r="G2639" s="14" t="str">
        <f>IFERROR(__xludf.DUMMYFUNCTION("""COMPUTED_VALUE"""),"獎狀")</f>
        <v>獎狀</v>
      </c>
      <c r="H2639" s="8"/>
    </row>
    <row r="2640">
      <c r="A2640" s="18"/>
      <c r="B2640" s="14">
        <f>IFERROR(__xludf.DUMMYFUNCTION("""COMPUTED_VALUE"""),1155039.0)</f>
        <v>1155039</v>
      </c>
      <c r="C2640" s="14" t="str">
        <f>IFERROR(__xludf.DUMMYFUNCTION("""COMPUTED_VALUE"""),"莊宥榆")</f>
        <v>莊宥榆</v>
      </c>
      <c r="D2640" s="16" t="str">
        <f>IFERROR(__xludf.DUMMYFUNCTION("""COMPUTED_VALUE"""),"111*****kjh.ylc.edu.tw")</f>
        <v>111*****kjh.ylc.edu.tw</v>
      </c>
      <c r="E2640" s="17" t="str">
        <f>IFERROR(__xludf.DUMMYFUNCTION("""COMPUTED_VALUE"""),"雲林縣立土庫國民中學")</f>
        <v>雲林縣立土庫國民中學</v>
      </c>
      <c r="F2640" s="14" t="str">
        <f>IFERROR(__xludf.DUMMYFUNCTION("""COMPUTED_VALUE"""),"七年級")</f>
        <v>七年級</v>
      </c>
      <c r="G2640" s="14" t="str">
        <f>IFERROR(__xludf.DUMMYFUNCTION("""COMPUTED_VALUE"""),"獎狀")</f>
        <v>獎狀</v>
      </c>
      <c r="H2640" s="8"/>
    </row>
    <row r="2641">
      <c r="A2641" s="18"/>
      <c r="B2641" s="14">
        <f>IFERROR(__xludf.DUMMYFUNCTION("""COMPUTED_VALUE"""),831630.0)</f>
        <v>831630</v>
      </c>
      <c r="C2641" s="14" t="str">
        <f>IFERROR(__xludf.DUMMYFUNCTION("""COMPUTED_VALUE"""),"張斐薰")</f>
        <v>張斐薰</v>
      </c>
      <c r="D2641" s="16" t="str">
        <f>IFERROR(__xludf.DUMMYFUNCTION("""COMPUTED_VALUE"""),"110*****kjh.ylc.edu.tw")</f>
        <v>110*****kjh.ylc.edu.tw</v>
      </c>
      <c r="E2641" s="17" t="str">
        <f>IFERROR(__xludf.DUMMYFUNCTION("""COMPUTED_VALUE"""),"雲林縣立土庫國民中學")</f>
        <v>雲林縣立土庫國民中學</v>
      </c>
      <c r="F2641" s="14" t="str">
        <f>IFERROR(__xludf.DUMMYFUNCTION("""COMPUTED_VALUE"""),"八年級")</f>
        <v>八年級</v>
      </c>
      <c r="G2641" s="14" t="str">
        <f>IFERROR(__xludf.DUMMYFUNCTION("""COMPUTED_VALUE"""),"獎狀")</f>
        <v>獎狀</v>
      </c>
      <c r="H2641" s="8"/>
    </row>
    <row r="2642">
      <c r="A2642" s="18"/>
      <c r="B2642" s="14">
        <f>IFERROR(__xludf.DUMMYFUNCTION("""COMPUTED_VALUE"""),809298.0)</f>
        <v>809298</v>
      </c>
      <c r="C2642" s="14" t="str">
        <f>IFERROR(__xludf.DUMMYFUNCTION("""COMPUTED_VALUE"""),"余芷宸")</f>
        <v>余芷宸</v>
      </c>
      <c r="D2642" s="16" t="str">
        <f>IFERROR(__xludf.DUMMYFUNCTION("""COMPUTED_VALUE"""),"110*****kjh.ylc.edu.tw")</f>
        <v>110*****kjh.ylc.edu.tw</v>
      </c>
      <c r="E2642" s="17" t="str">
        <f>IFERROR(__xludf.DUMMYFUNCTION("""COMPUTED_VALUE"""),"雲林縣立土庫國民中學")</f>
        <v>雲林縣立土庫國民中學</v>
      </c>
      <c r="F2642" s="14" t="str">
        <f>IFERROR(__xludf.DUMMYFUNCTION("""COMPUTED_VALUE"""),"八年級")</f>
        <v>八年級</v>
      </c>
      <c r="G2642" s="14" t="str">
        <f>IFERROR(__xludf.DUMMYFUNCTION("""COMPUTED_VALUE"""),"●小禮物")</f>
        <v>●小禮物</v>
      </c>
      <c r="H2642" s="8"/>
    </row>
    <row r="2643">
      <c r="A2643" s="18"/>
      <c r="B2643" s="14">
        <f>IFERROR(__xludf.DUMMYFUNCTION("""COMPUTED_VALUE"""),809237.0)</f>
        <v>809237</v>
      </c>
      <c r="C2643" s="14" t="str">
        <f>IFERROR(__xludf.DUMMYFUNCTION("""COMPUTED_VALUE"""),"陳沛旋")</f>
        <v>陳沛旋</v>
      </c>
      <c r="D2643" s="16" t="str">
        <f>IFERROR(__xludf.DUMMYFUNCTION("""COMPUTED_VALUE"""),"110*****kjh.ylc.edu.tw")</f>
        <v>110*****kjh.ylc.edu.tw</v>
      </c>
      <c r="E2643" s="17" t="str">
        <f>IFERROR(__xludf.DUMMYFUNCTION("""COMPUTED_VALUE"""),"雲林縣立土庫國民中學")</f>
        <v>雲林縣立土庫國民中學</v>
      </c>
      <c r="F2643" s="14" t="str">
        <f>IFERROR(__xludf.DUMMYFUNCTION("""COMPUTED_VALUE"""),"八年級")</f>
        <v>八年級</v>
      </c>
      <c r="G2643" s="14" t="str">
        <f>IFERROR(__xludf.DUMMYFUNCTION("""COMPUTED_VALUE"""),"●小禮物")</f>
        <v>●小禮物</v>
      </c>
      <c r="H2643" s="8"/>
    </row>
    <row r="2644">
      <c r="A2644" s="18"/>
      <c r="B2644" s="14">
        <f>IFERROR(__xludf.DUMMYFUNCTION("""COMPUTED_VALUE"""),808017.0)</f>
        <v>808017</v>
      </c>
      <c r="C2644" s="14" t="str">
        <f>IFERROR(__xludf.DUMMYFUNCTION("""COMPUTED_VALUE"""),"黃洵琳")</f>
        <v>黃洵琳</v>
      </c>
      <c r="D2644" s="16" t="str">
        <f>IFERROR(__xludf.DUMMYFUNCTION("""COMPUTED_VALUE"""),"110*****kjh.ylc.edu.tw")</f>
        <v>110*****kjh.ylc.edu.tw</v>
      </c>
      <c r="E2644" s="17" t="str">
        <f>IFERROR(__xludf.DUMMYFUNCTION("""COMPUTED_VALUE"""),"雲林縣立土庫國民中學")</f>
        <v>雲林縣立土庫國民中學</v>
      </c>
      <c r="F2644" s="14" t="str">
        <f>IFERROR(__xludf.DUMMYFUNCTION("""COMPUTED_VALUE"""),"八年級")</f>
        <v>八年級</v>
      </c>
      <c r="G2644" s="14" t="str">
        <f>IFERROR(__xludf.DUMMYFUNCTION("""COMPUTED_VALUE"""),"●小禮物")</f>
        <v>●小禮物</v>
      </c>
      <c r="H2644" s="8"/>
    </row>
    <row r="2645">
      <c r="A2645" s="18"/>
      <c r="B2645" s="14">
        <f>IFERROR(__xludf.DUMMYFUNCTION("""COMPUTED_VALUE"""),809284.0)</f>
        <v>809284</v>
      </c>
      <c r="C2645" s="14" t="str">
        <f>IFERROR(__xludf.DUMMYFUNCTION("""COMPUTED_VALUE"""),"許永旭")</f>
        <v>許永旭</v>
      </c>
      <c r="D2645" s="16" t="str">
        <f>IFERROR(__xludf.DUMMYFUNCTION("""COMPUTED_VALUE"""),"110*****kjh.ylc.edu.tw")</f>
        <v>110*****kjh.ylc.edu.tw</v>
      </c>
      <c r="E2645" s="17" t="str">
        <f>IFERROR(__xludf.DUMMYFUNCTION("""COMPUTED_VALUE"""),"雲林縣立土庫國民中學")</f>
        <v>雲林縣立土庫國民中學</v>
      </c>
      <c r="F2645" s="14" t="str">
        <f>IFERROR(__xludf.DUMMYFUNCTION("""COMPUTED_VALUE"""),"八年級")</f>
        <v>八年級</v>
      </c>
      <c r="G2645" s="14" t="str">
        <f>IFERROR(__xludf.DUMMYFUNCTION("""COMPUTED_VALUE"""),"獎狀")</f>
        <v>獎狀</v>
      </c>
      <c r="H2645" s="8"/>
    </row>
    <row r="2646">
      <c r="A2646" s="18"/>
      <c r="B2646" s="14">
        <f>IFERROR(__xludf.DUMMYFUNCTION("""COMPUTED_VALUE"""),809306.0)</f>
        <v>809306</v>
      </c>
      <c r="C2646" s="14" t="str">
        <f>IFERROR(__xludf.DUMMYFUNCTION("""COMPUTED_VALUE"""),"陳思羽")</f>
        <v>陳思羽</v>
      </c>
      <c r="D2646" s="16" t="str">
        <f>IFERROR(__xludf.DUMMYFUNCTION("""COMPUTED_VALUE"""),"110*****kjh.ylc.edu.tw")</f>
        <v>110*****kjh.ylc.edu.tw</v>
      </c>
      <c r="E2646" s="17" t="str">
        <f>IFERROR(__xludf.DUMMYFUNCTION("""COMPUTED_VALUE"""),"雲林縣立土庫國民中學")</f>
        <v>雲林縣立土庫國民中學</v>
      </c>
      <c r="F2646" s="14" t="str">
        <f>IFERROR(__xludf.DUMMYFUNCTION("""COMPUTED_VALUE"""),"八年級")</f>
        <v>八年級</v>
      </c>
      <c r="G2646" s="14" t="str">
        <f>IFERROR(__xludf.DUMMYFUNCTION("""COMPUTED_VALUE"""),"獎狀")</f>
        <v>獎狀</v>
      </c>
      <c r="H2646" s="8"/>
    </row>
    <row r="2647">
      <c r="A2647" s="18"/>
      <c r="B2647" s="14">
        <f>IFERROR(__xludf.DUMMYFUNCTION("""COMPUTED_VALUE"""),808664.0)</f>
        <v>808664</v>
      </c>
      <c r="C2647" s="14" t="str">
        <f>IFERROR(__xludf.DUMMYFUNCTION("""COMPUTED_VALUE"""),"蔡函君")</f>
        <v>蔡函君</v>
      </c>
      <c r="D2647" s="16" t="str">
        <f>IFERROR(__xludf.DUMMYFUNCTION("""COMPUTED_VALUE"""),"110*****kjh.ylc.edu.tw")</f>
        <v>110*****kjh.ylc.edu.tw</v>
      </c>
      <c r="E2647" s="17" t="str">
        <f>IFERROR(__xludf.DUMMYFUNCTION("""COMPUTED_VALUE"""),"雲林縣立土庫國民中學")</f>
        <v>雲林縣立土庫國民中學</v>
      </c>
      <c r="F2647" s="14" t="str">
        <f>IFERROR(__xludf.DUMMYFUNCTION("""COMPUTED_VALUE"""),"八年級")</f>
        <v>八年級</v>
      </c>
      <c r="G2647" s="14" t="str">
        <f>IFERROR(__xludf.DUMMYFUNCTION("""COMPUTED_VALUE"""),"獎狀")</f>
        <v>獎狀</v>
      </c>
      <c r="H2647" s="8"/>
    </row>
    <row r="2648">
      <c r="A2648" s="18"/>
      <c r="B2648" s="14">
        <f>IFERROR(__xludf.DUMMYFUNCTION("""COMPUTED_VALUE"""),838685.0)</f>
        <v>838685</v>
      </c>
      <c r="C2648" s="14" t="str">
        <f>IFERROR(__xludf.DUMMYFUNCTION("""COMPUTED_VALUE"""),"許愷真")</f>
        <v>許愷真</v>
      </c>
      <c r="D2648" s="16" t="str">
        <f>IFERROR(__xludf.DUMMYFUNCTION("""COMPUTED_VALUE"""),"110*****ail.lpjh.ylc.edu.tw")</f>
        <v>110*****ail.lpjh.ylc.edu.tw</v>
      </c>
      <c r="E2648" s="17" t="str">
        <f>IFERROR(__xludf.DUMMYFUNCTION("""COMPUTED_VALUE"""),"雲林縣立崙背國民中學")</f>
        <v>雲林縣立崙背國民中學</v>
      </c>
      <c r="F2648" s="14" t="str">
        <f>IFERROR(__xludf.DUMMYFUNCTION("""COMPUTED_VALUE"""),"八年級")</f>
        <v>八年級</v>
      </c>
      <c r="G2648" s="14" t="str">
        <f>IFERROR(__xludf.DUMMYFUNCTION("""COMPUTED_VALUE"""),"●小禮物")</f>
        <v>●小禮物</v>
      </c>
      <c r="H2648" s="8"/>
    </row>
    <row r="2649">
      <c r="A2649" s="18"/>
      <c r="B2649" s="14">
        <f>IFERROR(__xludf.DUMMYFUNCTION("""COMPUTED_VALUE"""),553835.0)</f>
        <v>553835</v>
      </c>
      <c r="C2649" s="14" t="str">
        <f>IFERROR(__xludf.DUMMYFUNCTION("""COMPUTED_VALUE"""),"楊盛合")</f>
        <v>楊盛合</v>
      </c>
      <c r="D2649" s="16" t="str">
        <f>IFERROR(__xludf.DUMMYFUNCTION("""COMPUTED_VALUE"""),"ace*****1113@mail.edu.tw")</f>
        <v>ace*****1113@mail.edu.tw</v>
      </c>
      <c r="E2649" s="17" t="str">
        <f>IFERROR(__xludf.DUMMYFUNCTION("""COMPUTED_VALUE"""),"雲林縣私立正心高級中學附設國中部")</f>
        <v>雲林縣私立正心高級中學附設國中部</v>
      </c>
      <c r="F2649" s="14" t="str">
        <f>IFERROR(__xludf.DUMMYFUNCTION("""COMPUTED_VALUE"""),"七年級")</f>
        <v>七年級</v>
      </c>
      <c r="G2649" s="14" t="str">
        <f>IFERROR(__xludf.DUMMYFUNCTION("""COMPUTED_VALUE"""),"●小禮物")</f>
        <v>●小禮物</v>
      </c>
      <c r="H2649" s="8"/>
    </row>
    <row r="2650">
      <c r="A2650" s="18"/>
      <c r="B2650" s="14">
        <f>IFERROR(__xludf.DUMMYFUNCTION("""COMPUTED_VALUE"""),540684.0)</f>
        <v>540684</v>
      </c>
      <c r="C2650" s="14" t="str">
        <f>IFERROR(__xludf.DUMMYFUNCTION("""COMPUTED_VALUE"""),"廖文溱")</f>
        <v>廖文溱</v>
      </c>
      <c r="D2650" s="16" t="str">
        <f>IFERROR(__xludf.DUMMYFUNCTION("""COMPUTED_VALUE"""),"csp*****67@mail.edu.tw")</f>
        <v>csp*****67@mail.edu.tw</v>
      </c>
      <c r="E2650" s="17" t="str">
        <f>IFERROR(__xludf.DUMMYFUNCTION("""COMPUTED_VALUE"""),"雲林縣私立東南國民中學")</f>
        <v>雲林縣私立東南國民中學</v>
      </c>
      <c r="F2650" s="14" t="str">
        <f>IFERROR(__xludf.DUMMYFUNCTION("""COMPUTED_VALUE"""),"八年級")</f>
        <v>八年級</v>
      </c>
      <c r="G2650" s="14" t="str">
        <f>IFERROR(__xludf.DUMMYFUNCTION("""COMPUTED_VALUE"""),"●小禮物")</f>
        <v>●小禮物</v>
      </c>
      <c r="H2650" s="8"/>
    </row>
    <row r="2651">
      <c r="A2651" s="18"/>
      <c r="B2651" s="14">
        <f>IFERROR(__xludf.DUMMYFUNCTION("""COMPUTED_VALUE"""),827493.0)</f>
        <v>827493</v>
      </c>
      <c r="C2651" s="14" t="str">
        <f>IFERROR(__xludf.DUMMYFUNCTION("""COMPUTED_VALUE"""),"陳妍彤")</f>
        <v>陳妍彤</v>
      </c>
      <c r="D2651" s="16" t="str">
        <f>IFERROR(__xludf.DUMMYFUNCTION("""COMPUTED_VALUE"""),"amy*****ail.edu.tw")</f>
        <v>amy*****ail.edu.tw</v>
      </c>
      <c r="E2651" s="17" t="str">
        <f>IFERROR(__xludf.DUMMYFUNCTION("""COMPUTED_VALUE"""),"雲林縣立建國國民中學")</f>
        <v>雲林縣立建國國民中學</v>
      </c>
      <c r="F2651" s="14" t="str">
        <f>IFERROR(__xludf.DUMMYFUNCTION("""COMPUTED_VALUE"""),"七年級")</f>
        <v>七年級</v>
      </c>
      <c r="G2651" s="14" t="str">
        <f>IFERROR(__xludf.DUMMYFUNCTION("""COMPUTED_VALUE"""),"獎狀")</f>
        <v>獎狀</v>
      </c>
      <c r="H2651" s="8"/>
    </row>
    <row r="2652">
      <c r="A2652" s="18"/>
      <c r="B2652" s="14">
        <f>IFERROR(__xludf.DUMMYFUNCTION("""COMPUTED_VALUE"""),1139825.0)</f>
        <v>1139825</v>
      </c>
      <c r="C2652" s="14" t="str">
        <f>IFERROR(__xludf.DUMMYFUNCTION("""COMPUTED_VALUE"""),"楊子賢")</f>
        <v>楊子賢</v>
      </c>
      <c r="D2652" s="16" t="str">
        <f>IFERROR(__xludf.DUMMYFUNCTION("""COMPUTED_VALUE"""),"yan*****12yang@gmail.com")</f>
        <v>yan*****12yang@gmail.com</v>
      </c>
      <c r="E2652" s="17" t="str">
        <f>IFERROR(__xludf.DUMMYFUNCTION("""COMPUTED_VALUE"""),"雲林縣立建國國民中學")</f>
        <v>雲林縣立建國國民中學</v>
      </c>
      <c r="F2652" s="14" t="str">
        <f>IFERROR(__xludf.DUMMYFUNCTION("""COMPUTED_VALUE"""),"八年級")</f>
        <v>八年級</v>
      </c>
      <c r="G2652" s="14" t="str">
        <f>IFERROR(__xludf.DUMMYFUNCTION("""COMPUTED_VALUE"""),"●小禮物")</f>
        <v>●小禮物</v>
      </c>
      <c r="H2652" s="8"/>
    </row>
    <row r="2653">
      <c r="A2653" s="18"/>
      <c r="B2653" s="14">
        <f>IFERROR(__xludf.DUMMYFUNCTION("""COMPUTED_VALUE"""),1141107.0)</f>
        <v>1141107</v>
      </c>
      <c r="C2653" s="14" t="str">
        <f>IFERROR(__xludf.DUMMYFUNCTION("""COMPUTED_VALUE"""),"楊敬彬")</f>
        <v>楊敬彬</v>
      </c>
      <c r="D2653" s="16" t="str">
        <f>IFERROR(__xludf.DUMMYFUNCTION("""COMPUTED_VALUE"""),"b30*****o.edu.tw")</f>
        <v>b30*****o.edu.tw</v>
      </c>
      <c r="E2653" s="17" t="str">
        <f>IFERROR(__xludf.DUMMYFUNCTION("""COMPUTED_VALUE"""),"雲林縣立建國國民中學")</f>
        <v>雲林縣立建國國民中學</v>
      </c>
      <c r="F2653" s="14" t="str">
        <f>IFERROR(__xludf.DUMMYFUNCTION("""COMPUTED_VALUE"""),"九年級")</f>
        <v>九年級</v>
      </c>
      <c r="G2653" s="14" t="str">
        <f>IFERROR(__xludf.DUMMYFUNCTION("""COMPUTED_VALUE"""),"獎狀")</f>
        <v>獎狀</v>
      </c>
      <c r="H2653" s="8"/>
    </row>
    <row r="2654">
      <c r="A2654" s="18"/>
      <c r="B2654" s="14">
        <f>IFERROR(__xludf.DUMMYFUNCTION("""COMPUTED_VALUE"""),1183341.0)</f>
        <v>1183341</v>
      </c>
      <c r="C2654" s="14" t="str">
        <f>IFERROR(__xludf.DUMMYFUNCTION("""COMPUTED_VALUE"""),"王東耀")</f>
        <v>王東耀</v>
      </c>
      <c r="D2654" s="16" t="str">
        <f>IFERROR(__xludf.DUMMYFUNCTION("""COMPUTED_VALUE"""),"s11*****sljs.ylc.edu.tw")</f>
        <v>s11*****sljs.ylc.edu.tw</v>
      </c>
      <c r="E2654" s="17" t="str">
        <f>IFERROR(__xludf.DUMMYFUNCTION("""COMPUTED_VALUE"""),"雲林縣立水林國民中學")</f>
        <v>雲林縣立水林國民中學</v>
      </c>
      <c r="F2654" s="14" t="str">
        <f>IFERROR(__xludf.DUMMYFUNCTION("""COMPUTED_VALUE"""),"七年級")</f>
        <v>七年級</v>
      </c>
      <c r="G2654" s="14" t="str">
        <f>IFERROR(__xludf.DUMMYFUNCTION("""COMPUTED_VALUE"""),"●小禮物")</f>
        <v>●小禮物</v>
      </c>
      <c r="H2654" s="8"/>
    </row>
    <row r="2655">
      <c r="A2655" s="18"/>
      <c r="B2655" s="14">
        <f>IFERROR(__xludf.DUMMYFUNCTION("""COMPUTED_VALUE"""),1181529.0)</f>
        <v>1181529</v>
      </c>
      <c r="C2655" s="14" t="str">
        <f>IFERROR(__xludf.DUMMYFUNCTION("""COMPUTED_VALUE"""),"李峙璇")</f>
        <v>李峙璇</v>
      </c>
      <c r="D2655" s="16" t="str">
        <f>IFERROR(__xludf.DUMMYFUNCTION("""COMPUTED_VALUE"""),"s11*****sljs.ylc.edu.tw")</f>
        <v>s11*****sljs.ylc.edu.tw</v>
      </c>
      <c r="E2655" s="17" t="str">
        <f>IFERROR(__xludf.DUMMYFUNCTION("""COMPUTED_VALUE"""),"雲林縣立水林國民中學")</f>
        <v>雲林縣立水林國民中學</v>
      </c>
      <c r="F2655" s="14" t="str">
        <f>IFERROR(__xludf.DUMMYFUNCTION("""COMPUTED_VALUE"""),"七年級")</f>
        <v>七年級</v>
      </c>
      <c r="G2655" s="14" t="str">
        <f>IFERROR(__xludf.DUMMYFUNCTION("""COMPUTED_VALUE"""),"●小禮物")</f>
        <v>●小禮物</v>
      </c>
      <c r="H2655" s="8"/>
    </row>
    <row r="2656">
      <c r="A2656" s="18"/>
      <c r="B2656" s="14">
        <f>IFERROR(__xludf.DUMMYFUNCTION("""COMPUTED_VALUE"""),1183325.0)</f>
        <v>1183325</v>
      </c>
      <c r="C2656" s="14" t="str">
        <f>IFERROR(__xludf.DUMMYFUNCTION("""COMPUTED_VALUE"""),"張育甄")</f>
        <v>張育甄</v>
      </c>
      <c r="D2656" s="16" t="str">
        <f>IFERROR(__xludf.DUMMYFUNCTION("""COMPUTED_VALUE"""),"s11*****sljs.ylc.edu.tw")</f>
        <v>s11*****sljs.ylc.edu.tw</v>
      </c>
      <c r="E2656" s="17" t="str">
        <f>IFERROR(__xludf.DUMMYFUNCTION("""COMPUTED_VALUE"""),"雲林縣立水林國民中學")</f>
        <v>雲林縣立水林國民中學</v>
      </c>
      <c r="F2656" s="14" t="str">
        <f>IFERROR(__xludf.DUMMYFUNCTION("""COMPUTED_VALUE"""),"七年級")</f>
        <v>七年級</v>
      </c>
      <c r="G2656" s="14" t="str">
        <f>IFERROR(__xludf.DUMMYFUNCTION("""COMPUTED_VALUE"""),"●小禮物")</f>
        <v>●小禮物</v>
      </c>
      <c r="H2656" s="8"/>
    </row>
    <row r="2657">
      <c r="A2657" s="18"/>
      <c r="B2657" s="14">
        <f>IFERROR(__xludf.DUMMYFUNCTION("""COMPUTED_VALUE"""),1183328.0)</f>
        <v>1183328</v>
      </c>
      <c r="C2657" s="14" t="str">
        <f>IFERROR(__xludf.DUMMYFUNCTION("""COMPUTED_VALUE"""),"陳郁婷")</f>
        <v>陳郁婷</v>
      </c>
      <c r="D2657" s="16" t="str">
        <f>IFERROR(__xludf.DUMMYFUNCTION("""COMPUTED_VALUE"""),"s11*****sljs.ylc.edu.tw")</f>
        <v>s11*****sljs.ylc.edu.tw</v>
      </c>
      <c r="E2657" s="17" t="str">
        <f>IFERROR(__xludf.DUMMYFUNCTION("""COMPUTED_VALUE"""),"雲林縣立水林國民中學")</f>
        <v>雲林縣立水林國民中學</v>
      </c>
      <c r="F2657" s="14" t="str">
        <f>IFERROR(__xludf.DUMMYFUNCTION("""COMPUTED_VALUE"""),"七年級")</f>
        <v>七年級</v>
      </c>
      <c r="G2657" s="14" t="str">
        <f>IFERROR(__xludf.DUMMYFUNCTION("""COMPUTED_VALUE"""),"●小禮物")</f>
        <v>●小禮物</v>
      </c>
      <c r="H2657" s="8"/>
    </row>
    <row r="2658">
      <c r="A2658" s="18"/>
      <c r="B2658" s="14">
        <f>IFERROR(__xludf.DUMMYFUNCTION("""COMPUTED_VALUE"""),1183348.0)</f>
        <v>1183348</v>
      </c>
      <c r="C2658" s="14" t="str">
        <f>IFERROR(__xludf.DUMMYFUNCTION("""COMPUTED_VALUE"""),"黃柏淞")</f>
        <v>黃柏淞</v>
      </c>
      <c r="D2658" s="16" t="str">
        <f>IFERROR(__xludf.DUMMYFUNCTION("""COMPUTED_VALUE"""),"s11*****sljs.ylc.edu.tw")</f>
        <v>s11*****sljs.ylc.edu.tw</v>
      </c>
      <c r="E2658" s="17" t="str">
        <f>IFERROR(__xludf.DUMMYFUNCTION("""COMPUTED_VALUE"""),"雲林縣立水林國民中學")</f>
        <v>雲林縣立水林國民中學</v>
      </c>
      <c r="F2658" s="14" t="str">
        <f>IFERROR(__xludf.DUMMYFUNCTION("""COMPUTED_VALUE"""),"七年級")</f>
        <v>七年級</v>
      </c>
      <c r="G2658" s="14" t="str">
        <f>IFERROR(__xludf.DUMMYFUNCTION("""COMPUTED_VALUE"""),"●小禮物")</f>
        <v>●小禮物</v>
      </c>
      <c r="H2658" s="8"/>
    </row>
    <row r="2659">
      <c r="A2659" s="18"/>
      <c r="B2659" s="14">
        <f>IFERROR(__xludf.DUMMYFUNCTION("""COMPUTED_VALUE"""),1183339.0)</f>
        <v>1183339</v>
      </c>
      <c r="C2659" s="14" t="str">
        <f>IFERROR(__xludf.DUMMYFUNCTION("""COMPUTED_VALUE"""),"楊宜蓁")</f>
        <v>楊宜蓁</v>
      </c>
      <c r="D2659" s="16" t="str">
        <f>IFERROR(__xludf.DUMMYFUNCTION("""COMPUTED_VALUE"""),"s11*****sljs.ylc.edu.tw")</f>
        <v>s11*****sljs.ylc.edu.tw</v>
      </c>
      <c r="E2659" s="17" t="str">
        <f>IFERROR(__xludf.DUMMYFUNCTION("""COMPUTED_VALUE"""),"雲林縣立水林國民中學")</f>
        <v>雲林縣立水林國民中學</v>
      </c>
      <c r="F2659" s="14" t="str">
        <f>IFERROR(__xludf.DUMMYFUNCTION("""COMPUTED_VALUE"""),"七年級")</f>
        <v>七年級</v>
      </c>
      <c r="G2659" s="14" t="str">
        <f>IFERROR(__xludf.DUMMYFUNCTION("""COMPUTED_VALUE"""),"●小禮物")</f>
        <v>●小禮物</v>
      </c>
      <c r="H2659" s="8"/>
    </row>
    <row r="2660">
      <c r="A2660" s="18"/>
      <c r="B2660" s="14">
        <f>IFERROR(__xludf.DUMMYFUNCTION("""COMPUTED_VALUE"""),1183393.0)</f>
        <v>1183393</v>
      </c>
      <c r="C2660" s="14" t="str">
        <f>IFERROR(__xludf.DUMMYFUNCTION("""COMPUTED_VALUE"""),"田威致")</f>
        <v>田威致</v>
      </c>
      <c r="D2660" s="16" t="str">
        <f>IFERROR(__xludf.DUMMYFUNCTION("""COMPUTED_VALUE"""),"s11*****sljs.ylc.edu.tw")</f>
        <v>s11*****sljs.ylc.edu.tw</v>
      </c>
      <c r="E2660" s="17" t="str">
        <f>IFERROR(__xludf.DUMMYFUNCTION("""COMPUTED_VALUE"""),"雲林縣立水林國民中學")</f>
        <v>雲林縣立水林國民中學</v>
      </c>
      <c r="F2660" s="14" t="str">
        <f>IFERROR(__xludf.DUMMYFUNCTION("""COMPUTED_VALUE"""),"七年級")</f>
        <v>七年級</v>
      </c>
      <c r="G2660" s="14" t="str">
        <f>IFERROR(__xludf.DUMMYFUNCTION("""COMPUTED_VALUE"""),"獎狀")</f>
        <v>獎狀</v>
      </c>
      <c r="H2660" s="8"/>
    </row>
    <row r="2661">
      <c r="A2661" s="18"/>
      <c r="B2661" s="14">
        <f>IFERROR(__xludf.DUMMYFUNCTION("""COMPUTED_VALUE"""),1183335.0)</f>
        <v>1183335</v>
      </c>
      <c r="C2661" s="14" t="str">
        <f>IFERROR(__xludf.DUMMYFUNCTION("""COMPUTED_VALUE"""),"林佳燕")</f>
        <v>林佳燕</v>
      </c>
      <c r="D2661" s="16" t="str">
        <f>IFERROR(__xludf.DUMMYFUNCTION("""COMPUTED_VALUE"""),"s11*****sljs.ylc.edu.tw")</f>
        <v>s11*****sljs.ylc.edu.tw</v>
      </c>
      <c r="E2661" s="17" t="str">
        <f>IFERROR(__xludf.DUMMYFUNCTION("""COMPUTED_VALUE"""),"雲林縣立水林國民中學")</f>
        <v>雲林縣立水林國民中學</v>
      </c>
      <c r="F2661" s="14" t="str">
        <f>IFERROR(__xludf.DUMMYFUNCTION("""COMPUTED_VALUE"""),"七年級")</f>
        <v>七年級</v>
      </c>
      <c r="G2661" s="14" t="str">
        <f>IFERROR(__xludf.DUMMYFUNCTION("""COMPUTED_VALUE"""),"獎狀")</f>
        <v>獎狀</v>
      </c>
      <c r="H2661" s="8"/>
    </row>
    <row r="2662">
      <c r="A2662" s="18"/>
      <c r="B2662" s="14">
        <f>IFERROR(__xludf.DUMMYFUNCTION("""COMPUTED_VALUE"""),1183342.0)</f>
        <v>1183342</v>
      </c>
      <c r="C2662" s="14" t="str">
        <f>IFERROR(__xludf.DUMMYFUNCTION("""COMPUTED_VALUE"""),"林采靜")</f>
        <v>林采靜</v>
      </c>
      <c r="D2662" s="16" t="str">
        <f>IFERROR(__xludf.DUMMYFUNCTION("""COMPUTED_VALUE"""),"s11*****sljs.ylc.edu.tw")</f>
        <v>s11*****sljs.ylc.edu.tw</v>
      </c>
      <c r="E2662" s="17" t="str">
        <f>IFERROR(__xludf.DUMMYFUNCTION("""COMPUTED_VALUE"""),"雲林縣立水林國民中學")</f>
        <v>雲林縣立水林國民中學</v>
      </c>
      <c r="F2662" s="14" t="str">
        <f>IFERROR(__xludf.DUMMYFUNCTION("""COMPUTED_VALUE"""),"七年級")</f>
        <v>七年級</v>
      </c>
      <c r="G2662" s="14" t="str">
        <f>IFERROR(__xludf.DUMMYFUNCTION("""COMPUTED_VALUE"""),"獎狀")</f>
        <v>獎狀</v>
      </c>
      <c r="H2662" s="8"/>
    </row>
    <row r="2663">
      <c r="A2663" s="18"/>
      <c r="B2663" s="14">
        <f>IFERROR(__xludf.DUMMYFUNCTION("""COMPUTED_VALUE"""),1183326.0)</f>
        <v>1183326</v>
      </c>
      <c r="C2663" s="14" t="str">
        <f>IFERROR(__xludf.DUMMYFUNCTION("""COMPUTED_VALUE"""),"洪曼玲")</f>
        <v>洪曼玲</v>
      </c>
      <c r="D2663" s="16" t="str">
        <f>IFERROR(__xludf.DUMMYFUNCTION("""COMPUTED_VALUE"""),"s11*****sljs.ylc.edu.tw")</f>
        <v>s11*****sljs.ylc.edu.tw</v>
      </c>
      <c r="E2663" s="17" t="str">
        <f>IFERROR(__xludf.DUMMYFUNCTION("""COMPUTED_VALUE"""),"雲林縣立水林國民中學")</f>
        <v>雲林縣立水林國民中學</v>
      </c>
      <c r="F2663" s="14" t="str">
        <f>IFERROR(__xludf.DUMMYFUNCTION("""COMPUTED_VALUE"""),"七年級")</f>
        <v>七年級</v>
      </c>
      <c r="G2663" s="14" t="str">
        <f>IFERROR(__xludf.DUMMYFUNCTION("""COMPUTED_VALUE"""),"獎狀")</f>
        <v>獎狀</v>
      </c>
      <c r="H2663" s="8"/>
    </row>
    <row r="2664">
      <c r="A2664" s="18"/>
      <c r="B2664" s="14">
        <f>IFERROR(__xludf.DUMMYFUNCTION("""COMPUTED_VALUE"""),1183327.0)</f>
        <v>1183327</v>
      </c>
      <c r="C2664" s="14" t="str">
        <f>IFERROR(__xludf.DUMMYFUNCTION("""COMPUTED_VALUE"""),"洪嘉岑")</f>
        <v>洪嘉岑</v>
      </c>
      <c r="D2664" s="16" t="str">
        <f>IFERROR(__xludf.DUMMYFUNCTION("""COMPUTED_VALUE"""),"s11*****sljs.ylc.edu.tw")</f>
        <v>s11*****sljs.ylc.edu.tw</v>
      </c>
      <c r="E2664" s="17" t="str">
        <f>IFERROR(__xludf.DUMMYFUNCTION("""COMPUTED_VALUE"""),"雲林縣立水林國民中學")</f>
        <v>雲林縣立水林國民中學</v>
      </c>
      <c r="F2664" s="14" t="str">
        <f>IFERROR(__xludf.DUMMYFUNCTION("""COMPUTED_VALUE"""),"七年級")</f>
        <v>七年級</v>
      </c>
      <c r="G2664" s="14" t="str">
        <f>IFERROR(__xludf.DUMMYFUNCTION("""COMPUTED_VALUE"""),"獎狀")</f>
        <v>獎狀</v>
      </c>
      <c r="H2664" s="8"/>
    </row>
    <row r="2665">
      <c r="A2665" s="18"/>
      <c r="B2665" s="14">
        <f>IFERROR(__xludf.DUMMYFUNCTION("""COMPUTED_VALUE"""),1183340.0)</f>
        <v>1183340</v>
      </c>
      <c r="C2665" s="14" t="str">
        <f>IFERROR(__xludf.DUMMYFUNCTION("""COMPUTED_VALUE"""),"許亦涵")</f>
        <v>許亦涵</v>
      </c>
      <c r="D2665" s="16" t="str">
        <f>IFERROR(__xludf.DUMMYFUNCTION("""COMPUTED_VALUE"""),"s11*****sljs.ylc.edu.tw")</f>
        <v>s11*****sljs.ylc.edu.tw</v>
      </c>
      <c r="E2665" s="17" t="str">
        <f>IFERROR(__xludf.DUMMYFUNCTION("""COMPUTED_VALUE"""),"雲林縣立水林國民中學")</f>
        <v>雲林縣立水林國民中學</v>
      </c>
      <c r="F2665" s="14" t="str">
        <f>IFERROR(__xludf.DUMMYFUNCTION("""COMPUTED_VALUE"""),"七年級")</f>
        <v>七年級</v>
      </c>
      <c r="G2665" s="14" t="str">
        <f>IFERROR(__xludf.DUMMYFUNCTION("""COMPUTED_VALUE"""),"獎狀")</f>
        <v>獎狀</v>
      </c>
      <c r="H2665" s="8"/>
    </row>
    <row r="2666">
      <c r="A2666" s="18"/>
      <c r="B2666" s="14">
        <f>IFERROR(__xludf.DUMMYFUNCTION("""COMPUTED_VALUE"""),1169486.0)</f>
        <v>1169486</v>
      </c>
      <c r="C2666" s="14" t="str">
        <f>IFERROR(__xludf.DUMMYFUNCTION("""COMPUTED_VALUE"""),"黃建豪")</f>
        <v>黃建豪</v>
      </c>
      <c r="D2666" s="16" t="str">
        <f>IFERROR(__xludf.DUMMYFUNCTION("""COMPUTED_VALUE"""),"s11*****sljs.ylc.edu.tw")</f>
        <v>s11*****sljs.ylc.edu.tw</v>
      </c>
      <c r="E2666" s="17" t="str">
        <f>IFERROR(__xludf.DUMMYFUNCTION("""COMPUTED_VALUE"""),"雲林縣立水林國民中學")</f>
        <v>雲林縣立水林國民中學</v>
      </c>
      <c r="F2666" s="14" t="str">
        <f>IFERROR(__xludf.DUMMYFUNCTION("""COMPUTED_VALUE"""),"七年級")</f>
        <v>七年級</v>
      </c>
      <c r="G2666" s="14" t="str">
        <f>IFERROR(__xludf.DUMMYFUNCTION("""COMPUTED_VALUE"""),"獎狀")</f>
        <v>獎狀</v>
      </c>
      <c r="H2666" s="8"/>
    </row>
    <row r="2667">
      <c r="A2667" s="18"/>
      <c r="B2667" s="14">
        <f>IFERROR(__xludf.DUMMYFUNCTION("""COMPUTED_VALUE"""),1183336.0)</f>
        <v>1183336</v>
      </c>
      <c r="C2667" s="14" t="str">
        <f>IFERROR(__xludf.DUMMYFUNCTION("""COMPUTED_VALUE"""),"黃浚瑋")</f>
        <v>黃浚瑋</v>
      </c>
      <c r="D2667" s="16" t="str">
        <f>IFERROR(__xludf.DUMMYFUNCTION("""COMPUTED_VALUE"""),"s11*****sljs.ylc.edu.tw")</f>
        <v>s11*****sljs.ylc.edu.tw</v>
      </c>
      <c r="E2667" s="17" t="str">
        <f>IFERROR(__xludf.DUMMYFUNCTION("""COMPUTED_VALUE"""),"雲林縣立水林國民中學")</f>
        <v>雲林縣立水林國民中學</v>
      </c>
      <c r="F2667" s="14" t="str">
        <f>IFERROR(__xludf.DUMMYFUNCTION("""COMPUTED_VALUE"""),"七年級")</f>
        <v>七年級</v>
      </c>
      <c r="G2667" s="14" t="str">
        <f>IFERROR(__xludf.DUMMYFUNCTION("""COMPUTED_VALUE"""),"獎狀")</f>
        <v>獎狀</v>
      </c>
      <c r="H2667" s="8"/>
    </row>
    <row r="2668">
      <c r="A2668" s="18"/>
      <c r="B2668" s="14">
        <f>IFERROR(__xludf.DUMMYFUNCTION("""COMPUTED_VALUE"""),1183349.0)</f>
        <v>1183349</v>
      </c>
      <c r="C2668" s="14" t="str">
        <f>IFERROR(__xludf.DUMMYFUNCTION("""COMPUTED_VALUE"""),"黃藤皚")</f>
        <v>黃藤皚</v>
      </c>
      <c r="D2668" s="16" t="str">
        <f>IFERROR(__xludf.DUMMYFUNCTION("""COMPUTED_VALUE"""),"s11*****sljs.ylc.edu.tw")</f>
        <v>s11*****sljs.ylc.edu.tw</v>
      </c>
      <c r="E2668" s="17" t="str">
        <f>IFERROR(__xludf.DUMMYFUNCTION("""COMPUTED_VALUE"""),"雲林縣立水林國民中學")</f>
        <v>雲林縣立水林國民中學</v>
      </c>
      <c r="F2668" s="14" t="str">
        <f>IFERROR(__xludf.DUMMYFUNCTION("""COMPUTED_VALUE"""),"七年級")</f>
        <v>七年級</v>
      </c>
      <c r="G2668" s="14" t="str">
        <f>IFERROR(__xludf.DUMMYFUNCTION("""COMPUTED_VALUE"""),"獎狀")</f>
        <v>獎狀</v>
      </c>
      <c r="H2668" s="8"/>
    </row>
    <row r="2669">
      <c r="A2669" s="18"/>
      <c r="B2669" s="14">
        <f>IFERROR(__xludf.DUMMYFUNCTION("""COMPUTED_VALUE"""),1183386.0)</f>
        <v>1183386</v>
      </c>
      <c r="C2669" s="14" t="str">
        <f>IFERROR(__xludf.DUMMYFUNCTION("""COMPUTED_VALUE"""),"楊安仁")</f>
        <v>楊安仁</v>
      </c>
      <c r="D2669" s="16" t="str">
        <f>IFERROR(__xludf.DUMMYFUNCTION("""COMPUTED_VALUE"""),"s11*****sljs.ylc.edu.tw")</f>
        <v>s11*****sljs.ylc.edu.tw</v>
      </c>
      <c r="E2669" s="17" t="str">
        <f>IFERROR(__xludf.DUMMYFUNCTION("""COMPUTED_VALUE"""),"雲林縣立水林國民中學")</f>
        <v>雲林縣立水林國民中學</v>
      </c>
      <c r="F2669" s="14" t="str">
        <f>IFERROR(__xludf.DUMMYFUNCTION("""COMPUTED_VALUE"""),"七年級")</f>
        <v>七年級</v>
      </c>
      <c r="G2669" s="14" t="str">
        <f>IFERROR(__xludf.DUMMYFUNCTION("""COMPUTED_VALUE"""),"獎狀")</f>
        <v>獎狀</v>
      </c>
      <c r="H2669" s="8"/>
    </row>
    <row r="2670">
      <c r="A2670" s="18"/>
      <c r="B2670" s="14">
        <f>IFERROR(__xludf.DUMMYFUNCTION("""COMPUTED_VALUE"""),1211862.0)</f>
        <v>1211862</v>
      </c>
      <c r="C2670" s="14" t="str">
        <f>IFERROR(__xludf.DUMMYFUNCTION("""COMPUTED_VALUE"""),"吳汶螢")</f>
        <v>吳汶螢</v>
      </c>
      <c r="D2670" s="16" t="str">
        <f>IFERROR(__xludf.DUMMYFUNCTION("""COMPUTED_VALUE"""),"s11*****sljs.ylc.edu.tw")</f>
        <v>s11*****sljs.ylc.edu.tw</v>
      </c>
      <c r="E2670" s="17" t="str">
        <f>IFERROR(__xludf.DUMMYFUNCTION("""COMPUTED_VALUE"""),"雲林縣立水林國民中學")</f>
        <v>雲林縣立水林國民中學</v>
      </c>
      <c r="F2670" s="14" t="str">
        <f>IFERROR(__xludf.DUMMYFUNCTION("""COMPUTED_VALUE"""),"七年級")</f>
        <v>七年級</v>
      </c>
      <c r="G2670" s="14" t="str">
        <f>IFERROR(__xludf.DUMMYFUNCTION("""COMPUTED_VALUE"""),"●小禮物")</f>
        <v>●小禮物</v>
      </c>
      <c r="H2670" s="8"/>
    </row>
    <row r="2671">
      <c r="A2671" s="18"/>
      <c r="B2671" s="14">
        <f>IFERROR(__xludf.DUMMYFUNCTION("""COMPUTED_VALUE"""),1211878.0)</f>
        <v>1211878</v>
      </c>
      <c r="C2671" s="14" t="str">
        <f>IFERROR(__xludf.DUMMYFUNCTION("""COMPUTED_VALUE"""),"陳弘霖")</f>
        <v>陳弘霖</v>
      </c>
      <c r="D2671" s="16" t="str">
        <f>IFERROR(__xludf.DUMMYFUNCTION("""COMPUTED_VALUE"""),"s11*****sljs.ylc.edu.tw")</f>
        <v>s11*****sljs.ylc.edu.tw</v>
      </c>
      <c r="E2671" s="17" t="str">
        <f>IFERROR(__xludf.DUMMYFUNCTION("""COMPUTED_VALUE"""),"雲林縣立水林國民中學")</f>
        <v>雲林縣立水林國民中學</v>
      </c>
      <c r="F2671" s="14" t="str">
        <f>IFERROR(__xludf.DUMMYFUNCTION("""COMPUTED_VALUE"""),"七年級")</f>
        <v>七年級</v>
      </c>
      <c r="G2671" s="14" t="str">
        <f>IFERROR(__xludf.DUMMYFUNCTION("""COMPUTED_VALUE"""),"●小禮物")</f>
        <v>●小禮物</v>
      </c>
      <c r="H2671" s="8"/>
    </row>
    <row r="2672">
      <c r="A2672" s="18"/>
      <c r="B2672" s="14">
        <f>IFERROR(__xludf.DUMMYFUNCTION("""COMPUTED_VALUE"""),1211872.0)</f>
        <v>1211872</v>
      </c>
      <c r="C2672" s="14" t="str">
        <f>IFERROR(__xludf.DUMMYFUNCTION("""COMPUTED_VALUE"""),"陳沛瑄")</f>
        <v>陳沛瑄</v>
      </c>
      <c r="D2672" s="16" t="str">
        <f>IFERROR(__xludf.DUMMYFUNCTION("""COMPUTED_VALUE"""),"s11*****sljs.ylc.edu.tw")</f>
        <v>s11*****sljs.ylc.edu.tw</v>
      </c>
      <c r="E2672" s="17" t="str">
        <f>IFERROR(__xludf.DUMMYFUNCTION("""COMPUTED_VALUE"""),"雲林縣立水林國民中學")</f>
        <v>雲林縣立水林國民中學</v>
      </c>
      <c r="F2672" s="14" t="str">
        <f>IFERROR(__xludf.DUMMYFUNCTION("""COMPUTED_VALUE"""),"七年級")</f>
        <v>七年級</v>
      </c>
      <c r="G2672" s="14" t="str">
        <f>IFERROR(__xludf.DUMMYFUNCTION("""COMPUTED_VALUE"""),"★禮券$200")</f>
        <v>★禮券$200</v>
      </c>
      <c r="H2672" s="8"/>
    </row>
    <row r="2673">
      <c r="A2673" s="18"/>
      <c r="B2673" s="14">
        <f>IFERROR(__xludf.DUMMYFUNCTION("""COMPUTED_VALUE"""),1211870.0)</f>
        <v>1211870</v>
      </c>
      <c r="C2673" s="14" t="str">
        <f>IFERROR(__xludf.DUMMYFUNCTION("""COMPUTED_VALUE"""),"吳子涵")</f>
        <v>吳子涵</v>
      </c>
      <c r="D2673" s="16" t="str">
        <f>IFERROR(__xludf.DUMMYFUNCTION("""COMPUTED_VALUE"""),"s11*****sljs.ylc.edu.tw")</f>
        <v>s11*****sljs.ylc.edu.tw</v>
      </c>
      <c r="E2673" s="17" t="str">
        <f>IFERROR(__xludf.DUMMYFUNCTION("""COMPUTED_VALUE"""),"雲林縣立水林國民中學")</f>
        <v>雲林縣立水林國民中學</v>
      </c>
      <c r="F2673" s="14" t="str">
        <f>IFERROR(__xludf.DUMMYFUNCTION("""COMPUTED_VALUE"""),"七年級")</f>
        <v>七年級</v>
      </c>
      <c r="G2673" s="14" t="str">
        <f>IFERROR(__xludf.DUMMYFUNCTION("""COMPUTED_VALUE"""),"獎狀")</f>
        <v>獎狀</v>
      </c>
      <c r="H2673" s="8"/>
    </row>
    <row r="2674">
      <c r="A2674" s="18"/>
      <c r="B2674" s="14">
        <f>IFERROR(__xludf.DUMMYFUNCTION("""COMPUTED_VALUE"""),1211865.0)</f>
        <v>1211865</v>
      </c>
      <c r="C2674" s="14" t="str">
        <f>IFERROR(__xludf.DUMMYFUNCTION("""COMPUTED_VALUE"""),"吳佩恩")</f>
        <v>吳佩恩</v>
      </c>
      <c r="D2674" s="16" t="str">
        <f>IFERROR(__xludf.DUMMYFUNCTION("""COMPUTED_VALUE"""),"s11*****sljs.ylc.edu.tw")</f>
        <v>s11*****sljs.ylc.edu.tw</v>
      </c>
      <c r="E2674" s="17" t="str">
        <f>IFERROR(__xludf.DUMMYFUNCTION("""COMPUTED_VALUE"""),"雲林縣立水林國民中學")</f>
        <v>雲林縣立水林國民中學</v>
      </c>
      <c r="F2674" s="14" t="str">
        <f>IFERROR(__xludf.DUMMYFUNCTION("""COMPUTED_VALUE"""),"七年級")</f>
        <v>七年級</v>
      </c>
      <c r="G2674" s="14" t="str">
        <f>IFERROR(__xludf.DUMMYFUNCTION("""COMPUTED_VALUE"""),"獎狀")</f>
        <v>獎狀</v>
      </c>
      <c r="H2674" s="8"/>
    </row>
    <row r="2675">
      <c r="A2675" s="18"/>
      <c r="B2675" s="14">
        <f>IFERROR(__xludf.DUMMYFUNCTION("""COMPUTED_VALUE"""),1211866.0)</f>
        <v>1211866</v>
      </c>
      <c r="C2675" s="14" t="str">
        <f>IFERROR(__xludf.DUMMYFUNCTION("""COMPUTED_VALUE"""),"李慈恩")</f>
        <v>李慈恩</v>
      </c>
      <c r="D2675" s="16" t="str">
        <f>IFERROR(__xludf.DUMMYFUNCTION("""COMPUTED_VALUE"""),"s11*****sljs.ylc.edu.tw")</f>
        <v>s11*****sljs.ylc.edu.tw</v>
      </c>
      <c r="E2675" s="17" t="str">
        <f>IFERROR(__xludf.DUMMYFUNCTION("""COMPUTED_VALUE"""),"雲林縣立水林國民中學")</f>
        <v>雲林縣立水林國民中學</v>
      </c>
      <c r="F2675" s="14" t="str">
        <f>IFERROR(__xludf.DUMMYFUNCTION("""COMPUTED_VALUE"""),"七年級")</f>
        <v>七年級</v>
      </c>
      <c r="G2675" s="14" t="str">
        <f>IFERROR(__xludf.DUMMYFUNCTION("""COMPUTED_VALUE"""),"獎狀")</f>
        <v>獎狀</v>
      </c>
      <c r="H2675" s="8"/>
    </row>
    <row r="2676">
      <c r="A2676" s="18"/>
      <c r="B2676" s="14">
        <f>IFERROR(__xludf.DUMMYFUNCTION("""COMPUTED_VALUE"""),1211864.0)</f>
        <v>1211864</v>
      </c>
      <c r="C2676" s="14" t="str">
        <f>IFERROR(__xludf.DUMMYFUNCTION("""COMPUTED_VALUE"""),"李靖妤")</f>
        <v>李靖妤</v>
      </c>
      <c r="D2676" s="16" t="str">
        <f>IFERROR(__xludf.DUMMYFUNCTION("""COMPUTED_VALUE"""),"s11*****sljs.ylc.edu.tw")</f>
        <v>s11*****sljs.ylc.edu.tw</v>
      </c>
      <c r="E2676" s="17" t="str">
        <f>IFERROR(__xludf.DUMMYFUNCTION("""COMPUTED_VALUE"""),"雲林縣立水林國民中學")</f>
        <v>雲林縣立水林國民中學</v>
      </c>
      <c r="F2676" s="14" t="str">
        <f>IFERROR(__xludf.DUMMYFUNCTION("""COMPUTED_VALUE"""),"七年級")</f>
        <v>七年級</v>
      </c>
      <c r="G2676" s="14" t="str">
        <f>IFERROR(__xludf.DUMMYFUNCTION("""COMPUTED_VALUE"""),"獎狀")</f>
        <v>獎狀</v>
      </c>
      <c r="H2676" s="8"/>
    </row>
    <row r="2677">
      <c r="A2677" s="18"/>
      <c r="B2677" s="14">
        <f>IFERROR(__xludf.DUMMYFUNCTION("""COMPUTED_VALUE"""),1211869.0)</f>
        <v>1211869</v>
      </c>
      <c r="C2677" s="14" t="str">
        <f>IFERROR(__xludf.DUMMYFUNCTION("""COMPUTED_VALUE"""),"楊瀛宜")</f>
        <v>楊瀛宜</v>
      </c>
      <c r="D2677" s="16" t="str">
        <f>IFERROR(__xludf.DUMMYFUNCTION("""COMPUTED_VALUE"""),"s11*****sljs.ylc.edu.tw")</f>
        <v>s11*****sljs.ylc.edu.tw</v>
      </c>
      <c r="E2677" s="17" t="str">
        <f>IFERROR(__xludf.DUMMYFUNCTION("""COMPUTED_VALUE"""),"雲林縣立水林國民中學")</f>
        <v>雲林縣立水林國民中學</v>
      </c>
      <c r="F2677" s="14" t="str">
        <f>IFERROR(__xludf.DUMMYFUNCTION("""COMPUTED_VALUE"""),"七年級")</f>
        <v>七年級</v>
      </c>
      <c r="G2677" s="14" t="str">
        <f>IFERROR(__xludf.DUMMYFUNCTION("""COMPUTED_VALUE"""),"獎狀")</f>
        <v>獎狀</v>
      </c>
      <c r="H2677" s="8"/>
    </row>
    <row r="2678">
      <c r="A2678" s="18"/>
      <c r="B2678" s="14">
        <f>IFERROR(__xludf.DUMMYFUNCTION("""COMPUTED_VALUE"""),1214218.0)</f>
        <v>1214218</v>
      </c>
      <c r="C2678" s="14" t="str">
        <f>IFERROR(__xludf.DUMMYFUNCTION("""COMPUTED_VALUE"""),"李柏威")</f>
        <v>李柏威</v>
      </c>
      <c r="D2678" s="16" t="str">
        <f>IFERROR(__xludf.DUMMYFUNCTION("""COMPUTED_VALUE"""),"s11*****sljs.ylc.edu.tw")</f>
        <v>s11*****sljs.ylc.edu.tw</v>
      </c>
      <c r="E2678" s="17" t="str">
        <f>IFERROR(__xludf.DUMMYFUNCTION("""COMPUTED_VALUE"""),"雲林縣立水林國民中學")</f>
        <v>雲林縣立水林國民中學</v>
      </c>
      <c r="F2678" s="14" t="str">
        <f>IFERROR(__xludf.DUMMYFUNCTION("""COMPUTED_VALUE"""),"七年級")</f>
        <v>七年級</v>
      </c>
      <c r="G2678" s="14" t="str">
        <f>IFERROR(__xludf.DUMMYFUNCTION("""COMPUTED_VALUE"""),"●小禮物")</f>
        <v>●小禮物</v>
      </c>
      <c r="H2678" s="8"/>
    </row>
    <row r="2679">
      <c r="A2679" s="18"/>
      <c r="B2679" s="14">
        <f>IFERROR(__xludf.DUMMYFUNCTION("""COMPUTED_VALUE"""),1214224.0)</f>
        <v>1214224</v>
      </c>
      <c r="C2679" s="14" t="str">
        <f>IFERROR(__xludf.DUMMYFUNCTION("""COMPUTED_VALUE"""),"邱文鳳")</f>
        <v>邱文鳳</v>
      </c>
      <c r="D2679" s="16" t="str">
        <f>IFERROR(__xludf.DUMMYFUNCTION("""COMPUTED_VALUE"""),"s11*****sljs.ylc.edu.tw")</f>
        <v>s11*****sljs.ylc.edu.tw</v>
      </c>
      <c r="E2679" s="17" t="str">
        <f>IFERROR(__xludf.DUMMYFUNCTION("""COMPUTED_VALUE"""),"雲林縣立水林國民中學")</f>
        <v>雲林縣立水林國民中學</v>
      </c>
      <c r="F2679" s="14" t="str">
        <f>IFERROR(__xludf.DUMMYFUNCTION("""COMPUTED_VALUE"""),"七年級")</f>
        <v>七年級</v>
      </c>
      <c r="G2679" s="14" t="str">
        <f>IFERROR(__xludf.DUMMYFUNCTION("""COMPUTED_VALUE"""),"●小禮物")</f>
        <v>●小禮物</v>
      </c>
      <c r="H2679" s="8"/>
    </row>
    <row r="2680">
      <c r="A2680" s="18"/>
      <c r="B2680" s="14">
        <f>IFERROR(__xludf.DUMMYFUNCTION("""COMPUTED_VALUE"""),1214223.0)</f>
        <v>1214223</v>
      </c>
      <c r="C2680" s="14" t="str">
        <f>IFERROR(__xludf.DUMMYFUNCTION("""COMPUTED_VALUE"""),"洪雅淇")</f>
        <v>洪雅淇</v>
      </c>
      <c r="D2680" s="16" t="str">
        <f>IFERROR(__xludf.DUMMYFUNCTION("""COMPUTED_VALUE"""),"s11*****sljs.ylc.edu.tw")</f>
        <v>s11*****sljs.ylc.edu.tw</v>
      </c>
      <c r="E2680" s="17" t="str">
        <f>IFERROR(__xludf.DUMMYFUNCTION("""COMPUTED_VALUE"""),"雲林縣立水林國民中學")</f>
        <v>雲林縣立水林國民中學</v>
      </c>
      <c r="F2680" s="14" t="str">
        <f>IFERROR(__xludf.DUMMYFUNCTION("""COMPUTED_VALUE"""),"七年級")</f>
        <v>七年級</v>
      </c>
      <c r="G2680" s="14" t="str">
        <f>IFERROR(__xludf.DUMMYFUNCTION("""COMPUTED_VALUE"""),"●小禮物")</f>
        <v>●小禮物</v>
      </c>
      <c r="H2680" s="8"/>
    </row>
    <row r="2681">
      <c r="A2681" s="18"/>
      <c r="B2681" s="14">
        <f>IFERROR(__xludf.DUMMYFUNCTION("""COMPUTED_VALUE"""),1214225.0)</f>
        <v>1214225</v>
      </c>
      <c r="C2681" s="14" t="str">
        <f>IFERROR(__xludf.DUMMYFUNCTION("""COMPUTED_VALUE"""),"陳怡芬")</f>
        <v>陳怡芬</v>
      </c>
      <c r="D2681" s="16" t="str">
        <f>IFERROR(__xludf.DUMMYFUNCTION("""COMPUTED_VALUE"""),"s11*****sljs.ylc.edu.tw")</f>
        <v>s11*****sljs.ylc.edu.tw</v>
      </c>
      <c r="E2681" s="17" t="str">
        <f>IFERROR(__xludf.DUMMYFUNCTION("""COMPUTED_VALUE"""),"雲林縣立水林國民中學")</f>
        <v>雲林縣立水林國民中學</v>
      </c>
      <c r="F2681" s="14" t="str">
        <f>IFERROR(__xludf.DUMMYFUNCTION("""COMPUTED_VALUE"""),"七年級")</f>
        <v>七年級</v>
      </c>
      <c r="G2681" s="14" t="str">
        <f>IFERROR(__xludf.DUMMYFUNCTION("""COMPUTED_VALUE"""),"●小禮物")</f>
        <v>●小禮物</v>
      </c>
      <c r="H2681" s="8"/>
    </row>
    <row r="2682">
      <c r="A2682" s="18"/>
      <c r="B2682" s="14">
        <f>IFERROR(__xludf.DUMMYFUNCTION("""COMPUTED_VALUE"""),1214221.0)</f>
        <v>1214221</v>
      </c>
      <c r="C2682" s="14" t="str">
        <f>IFERROR(__xludf.DUMMYFUNCTION("""COMPUTED_VALUE"""),"蔡尚臻")</f>
        <v>蔡尚臻</v>
      </c>
      <c r="D2682" s="16" t="str">
        <f>IFERROR(__xludf.DUMMYFUNCTION("""COMPUTED_VALUE"""),"s11*****sljs.ylc.edu.tw")</f>
        <v>s11*****sljs.ylc.edu.tw</v>
      </c>
      <c r="E2682" s="17" t="str">
        <f>IFERROR(__xludf.DUMMYFUNCTION("""COMPUTED_VALUE"""),"雲林縣立水林國民中學")</f>
        <v>雲林縣立水林國民中學</v>
      </c>
      <c r="F2682" s="14" t="str">
        <f>IFERROR(__xludf.DUMMYFUNCTION("""COMPUTED_VALUE"""),"七年級")</f>
        <v>七年級</v>
      </c>
      <c r="G2682" s="14" t="str">
        <f>IFERROR(__xludf.DUMMYFUNCTION("""COMPUTED_VALUE"""),"★禮券$500")</f>
        <v>★禮券$500</v>
      </c>
      <c r="H2682" s="8"/>
    </row>
    <row r="2683">
      <c r="A2683" s="18"/>
      <c r="B2683" s="14">
        <f>IFERROR(__xludf.DUMMYFUNCTION("""COMPUTED_VALUE"""),1214222.0)</f>
        <v>1214222</v>
      </c>
      <c r="C2683" s="14" t="str">
        <f>IFERROR(__xludf.DUMMYFUNCTION("""COMPUTED_VALUE"""),"紀曉君")</f>
        <v>紀曉君</v>
      </c>
      <c r="D2683" s="16" t="str">
        <f>IFERROR(__xludf.DUMMYFUNCTION("""COMPUTED_VALUE"""),"s11*****sljs.ylc.edu.tw")</f>
        <v>s11*****sljs.ylc.edu.tw</v>
      </c>
      <c r="E2683" s="17" t="str">
        <f>IFERROR(__xludf.DUMMYFUNCTION("""COMPUTED_VALUE"""),"雲林縣立水林國民中學")</f>
        <v>雲林縣立水林國民中學</v>
      </c>
      <c r="F2683" s="14" t="str">
        <f>IFERROR(__xludf.DUMMYFUNCTION("""COMPUTED_VALUE"""),"七年級")</f>
        <v>七年級</v>
      </c>
      <c r="G2683" s="14" t="str">
        <f>IFERROR(__xludf.DUMMYFUNCTION("""COMPUTED_VALUE"""),"獎狀")</f>
        <v>獎狀</v>
      </c>
      <c r="H2683" s="8"/>
    </row>
    <row r="2684">
      <c r="A2684" s="18"/>
      <c r="B2684" s="14">
        <f>IFERROR(__xludf.DUMMYFUNCTION("""COMPUTED_VALUE"""),1214232.0)</f>
        <v>1214232</v>
      </c>
      <c r="C2684" s="14" t="str">
        <f>IFERROR(__xludf.DUMMYFUNCTION("""COMPUTED_VALUE"""),"張家睿")</f>
        <v>張家睿</v>
      </c>
      <c r="D2684" s="16" t="str">
        <f>IFERROR(__xludf.DUMMYFUNCTION("""COMPUTED_VALUE"""),"s11*****sljs.ylc.edu.tw")</f>
        <v>s11*****sljs.ylc.edu.tw</v>
      </c>
      <c r="E2684" s="17" t="str">
        <f>IFERROR(__xludf.DUMMYFUNCTION("""COMPUTED_VALUE"""),"雲林縣立水林國民中學")</f>
        <v>雲林縣立水林國民中學</v>
      </c>
      <c r="F2684" s="14" t="str">
        <f>IFERROR(__xludf.DUMMYFUNCTION("""COMPUTED_VALUE"""),"七年級")</f>
        <v>七年級</v>
      </c>
      <c r="G2684" s="14" t="str">
        <f>IFERROR(__xludf.DUMMYFUNCTION("""COMPUTED_VALUE"""),"獎狀")</f>
        <v>獎狀</v>
      </c>
      <c r="H2684" s="8"/>
    </row>
    <row r="2685">
      <c r="A2685" s="18"/>
      <c r="B2685" s="14">
        <f>IFERROR(__xludf.DUMMYFUNCTION("""COMPUTED_VALUE"""),1214237.0)</f>
        <v>1214237</v>
      </c>
      <c r="C2685" s="14" t="str">
        <f>IFERROR(__xludf.DUMMYFUNCTION("""COMPUTED_VALUE"""),"陳亮妤")</f>
        <v>陳亮妤</v>
      </c>
      <c r="D2685" s="16" t="str">
        <f>IFERROR(__xludf.DUMMYFUNCTION("""COMPUTED_VALUE"""),"s11*****sljs.ylc.edu.tw")</f>
        <v>s11*****sljs.ylc.edu.tw</v>
      </c>
      <c r="E2685" s="17" t="str">
        <f>IFERROR(__xludf.DUMMYFUNCTION("""COMPUTED_VALUE"""),"雲林縣立水林國民中學")</f>
        <v>雲林縣立水林國民中學</v>
      </c>
      <c r="F2685" s="14" t="str">
        <f>IFERROR(__xludf.DUMMYFUNCTION("""COMPUTED_VALUE"""),"七年級")</f>
        <v>七年級</v>
      </c>
      <c r="G2685" s="14" t="str">
        <f>IFERROR(__xludf.DUMMYFUNCTION("""COMPUTED_VALUE"""),"獎狀")</f>
        <v>獎狀</v>
      </c>
      <c r="H2685" s="8"/>
    </row>
    <row r="2686">
      <c r="A2686" s="18"/>
      <c r="B2686" s="14">
        <f>IFERROR(__xludf.DUMMYFUNCTION("""COMPUTED_VALUE"""),1214230.0)</f>
        <v>1214230</v>
      </c>
      <c r="C2686" s="14" t="str">
        <f>IFERROR(__xludf.DUMMYFUNCTION("""COMPUTED_VALUE"""),"楊心慈")</f>
        <v>楊心慈</v>
      </c>
      <c r="D2686" s="16" t="str">
        <f>IFERROR(__xludf.DUMMYFUNCTION("""COMPUTED_VALUE"""),"s11*****sljs.ylc.edu.tw")</f>
        <v>s11*****sljs.ylc.edu.tw</v>
      </c>
      <c r="E2686" s="17" t="str">
        <f>IFERROR(__xludf.DUMMYFUNCTION("""COMPUTED_VALUE"""),"雲林縣立水林國民中學")</f>
        <v>雲林縣立水林國民中學</v>
      </c>
      <c r="F2686" s="14" t="str">
        <f>IFERROR(__xludf.DUMMYFUNCTION("""COMPUTED_VALUE"""),"七年級")</f>
        <v>七年級</v>
      </c>
      <c r="G2686" s="14" t="str">
        <f>IFERROR(__xludf.DUMMYFUNCTION("""COMPUTED_VALUE"""),"獎狀")</f>
        <v>獎狀</v>
      </c>
      <c r="H2686" s="8"/>
    </row>
    <row r="2687">
      <c r="A2687" s="18"/>
      <c r="B2687" s="14">
        <f>IFERROR(__xludf.DUMMYFUNCTION("""COMPUTED_VALUE"""),1214226.0)</f>
        <v>1214226</v>
      </c>
      <c r="C2687" s="14" t="str">
        <f>IFERROR(__xludf.DUMMYFUNCTION("""COMPUTED_VALUE"""),"楊政燁")</f>
        <v>楊政燁</v>
      </c>
      <c r="D2687" s="16" t="str">
        <f>IFERROR(__xludf.DUMMYFUNCTION("""COMPUTED_VALUE"""),"s11*****sljs.ylc.edu.tw")</f>
        <v>s11*****sljs.ylc.edu.tw</v>
      </c>
      <c r="E2687" s="17" t="str">
        <f>IFERROR(__xludf.DUMMYFUNCTION("""COMPUTED_VALUE"""),"雲林縣立水林國民中學")</f>
        <v>雲林縣立水林國民中學</v>
      </c>
      <c r="F2687" s="14" t="str">
        <f>IFERROR(__xludf.DUMMYFUNCTION("""COMPUTED_VALUE"""),"七年級")</f>
        <v>七年級</v>
      </c>
      <c r="G2687" s="14" t="str">
        <f>IFERROR(__xludf.DUMMYFUNCTION("""COMPUTED_VALUE"""),"獎狀")</f>
        <v>獎狀</v>
      </c>
      <c r="H2687" s="8"/>
    </row>
    <row r="2688">
      <c r="A2688" s="18"/>
      <c r="B2688" s="14">
        <f>IFERROR(__xludf.DUMMYFUNCTION("""COMPUTED_VALUE"""),1214234.0)</f>
        <v>1214234</v>
      </c>
      <c r="C2688" s="14" t="str">
        <f>IFERROR(__xludf.DUMMYFUNCTION("""COMPUTED_VALUE"""),"蘇珈芯")</f>
        <v>蘇珈芯</v>
      </c>
      <c r="D2688" s="16" t="str">
        <f>IFERROR(__xludf.DUMMYFUNCTION("""COMPUTED_VALUE"""),"s11*****sljs.ylc.edu.tw")</f>
        <v>s11*****sljs.ylc.edu.tw</v>
      </c>
      <c r="E2688" s="17" t="str">
        <f>IFERROR(__xludf.DUMMYFUNCTION("""COMPUTED_VALUE"""),"雲林縣立水林國民中學")</f>
        <v>雲林縣立水林國民中學</v>
      </c>
      <c r="F2688" s="14" t="str">
        <f>IFERROR(__xludf.DUMMYFUNCTION("""COMPUTED_VALUE"""),"七年級")</f>
        <v>七年級</v>
      </c>
      <c r="G2688" s="14" t="str">
        <f>IFERROR(__xludf.DUMMYFUNCTION("""COMPUTED_VALUE"""),"獎狀")</f>
        <v>獎狀</v>
      </c>
      <c r="H2688" s="8"/>
    </row>
    <row r="2689">
      <c r="A2689" s="18"/>
      <c r="B2689" s="14">
        <f>IFERROR(__xludf.DUMMYFUNCTION("""COMPUTED_VALUE"""),1125676.0)</f>
        <v>1125676</v>
      </c>
      <c r="C2689" s="14" t="str">
        <f>IFERROR(__xludf.DUMMYFUNCTION("""COMPUTED_VALUE"""),"陳品嫙")</f>
        <v>陳品嫙</v>
      </c>
      <c r="D2689" s="16" t="str">
        <f>IFERROR(__xludf.DUMMYFUNCTION("""COMPUTED_VALUE"""),"avi*****20@gmail.com")</f>
        <v>avi*****20@gmail.com</v>
      </c>
      <c r="E2689" s="17" t="str">
        <f>IFERROR(__xludf.DUMMYFUNCTION("""COMPUTED_VALUE"""),"雲林縣立水林國民中學")</f>
        <v>雲林縣立水林國民中學</v>
      </c>
      <c r="F2689" s="14" t="str">
        <f>IFERROR(__xludf.DUMMYFUNCTION("""COMPUTED_VALUE"""),"九年級")</f>
        <v>九年級</v>
      </c>
      <c r="G2689" s="14" t="str">
        <f>IFERROR(__xludf.DUMMYFUNCTION("""COMPUTED_VALUE"""),"獎狀")</f>
        <v>獎狀</v>
      </c>
      <c r="H2689" s="8"/>
    </row>
    <row r="2690">
      <c r="A2690" s="18"/>
      <c r="B2690" s="14">
        <f>IFERROR(__xludf.DUMMYFUNCTION("""COMPUTED_VALUE"""),827308.0)</f>
        <v>827308</v>
      </c>
      <c r="C2690" s="14" t="str">
        <f>IFERROR(__xludf.DUMMYFUNCTION("""COMPUTED_VALUE"""),"王育巧")</f>
        <v>王育巧</v>
      </c>
      <c r="D2690" s="16" t="str">
        <f>IFERROR(__xludf.DUMMYFUNCTION("""COMPUTED_VALUE"""),"s10*****sljs.ylc.edu.tw")</f>
        <v>s10*****sljs.ylc.edu.tw</v>
      </c>
      <c r="E2690" s="17" t="str">
        <f>IFERROR(__xludf.DUMMYFUNCTION("""COMPUTED_VALUE"""),"雲林縣立水林國民中學")</f>
        <v>雲林縣立水林國民中學</v>
      </c>
      <c r="F2690" s="14" t="str">
        <f>IFERROR(__xludf.DUMMYFUNCTION("""COMPUTED_VALUE"""),"九年級")</f>
        <v>九年級</v>
      </c>
      <c r="G2690" s="14" t="str">
        <f>IFERROR(__xludf.DUMMYFUNCTION("""COMPUTED_VALUE"""),"●小禮物")</f>
        <v>●小禮物</v>
      </c>
      <c r="H2690" s="8"/>
    </row>
    <row r="2691">
      <c r="A2691" s="18"/>
      <c r="B2691" s="14">
        <f>IFERROR(__xludf.DUMMYFUNCTION("""COMPUTED_VALUE"""),827306.0)</f>
        <v>827306</v>
      </c>
      <c r="C2691" s="14" t="str">
        <f>IFERROR(__xludf.DUMMYFUNCTION("""COMPUTED_VALUE"""),"吳育鎧")</f>
        <v>吳育鎧</v>
      </c>
      <c r="D2691" s="16" t="str">
        <f>IFERROR(__xludf.DUMMYFUNCTION("""COMPUTED_VALUE"""),"s10*****sljs.ylc.edu.tw")</f>
        <v>s10*****sljs.ylc.edu.tw</v>
      </c>
      <c r="E2691" s="17" t="str">
        <f>IFERROR(__xludf.DUMMYFUNCTION("""COMPUTED_VALUE"""),"雲林縣立水林國民中學")</f>
        <v>雲林縣立水林國民中學</v>
      </c>
      <c r="F2691" s="14" t="str">
        <f>IFERROR(__xludf.DUMMYFUNCTION("""COMPUTED_VALUE"""),"九年級")</f>
        <v>九年級</v>
      </c>
      <c r="G2691" s="14" t="str">
        <f>IFERROR(__xludf.DUMMYFUNCTION("""COMPUTED_VALUE"""),"●小禮物")</f>
        <v>●小禮物</v>
      </c>
      <c r="H2691" s="8"/>
    </row>
    <row r="2692">
      <c r="A2692" s="18"/>
      <c r="B2692" s="14">
        <f>IFERROR(__xludf.DUMMYFUNCTION("""COMPUTED_VALUE"""),827291.0)</f>
        <v>827291</v>
      </c>
      <c r="C2692" s="14" t="str">
        <f>IFERROR(__xludf.DUMMYFUNCTION("""COMPUTED_VALUE"""),"李子珆")</f>
        <v>李子珆</v>
      </c>
      <c r="D2692" s="16" t="str">
        <f>IFERROR(__xludf.DUMMYFUNCTION("""COMPUTED_VALUE"""),"s10*****sljs.ylc.edu.tw")</f>
        <v>s10*****sljs.ylc.edu.tw</v>
      </c>
      <c r="E2692" s="17" t="str">
        <f>IFERROR(__xludf.DUMMYFUNCTION("""COMPUTED_VALUE"""),"雲林縣立水林國民中學")</f>
        <v>雲林縣立水林國民中學</v>
      </c>
      <c r="F2692" s="14" t="str">
        <f>IFERROR(__xludf.DUMMYFUNCTION("""COMPUTED_VALUE"""),"九年級")</f>
        <v>九年級</v>
      </c>
      <c r="G2692" s="14" t="str">
        <f>IFERROR(__xludf.DUMMYFUNCTION("""COMPUTED_VALUE"""),"●小禮物")</f>
        <v>●小禮物</v>
      </c>
      <c r="H2692" s="8"/>
    </row>
    <row r="2693">
      <c r="A2693" s="18"/>
      <c r="B2693" s="14">
        <f>IFERROR(__xludf.DUMMYFUNCTION("""COMPUTED_VALUE"""),827295.0)</f>
        <v>827295</v>
      </c>
      <c r="C2693" s="14" t="str">
        <f>IFERROR(__xludf.DUMMYFUNCTION("""COMPUTED_VALUE"""),"莊玉婷")</f>
        <v>莊玉婷</v>
      </c>
      <c r="D2693" s="16" t="str">
        <f>IFERROR(__xludf.DUMMYFUNCTION("""COMPUTED_VALUE"""),"s10*****sljs.ylc.edu.tw")</f>
        <v>s10*****sljs.ylc.edu.tw</v>
      </c>
      <c r="E2693" s="17" t="str">
        <f>IFERROR(__xludf.DUMMYFUNCTION("""COMPUTED_VALUE"""),"雲林縣立水林國民中學")</f>
        <v>雲林縣立水林國民中學</v>
      </c>
      <c r="F2693" s="14" t="str">
        <f>IFERROR(__xludf.DUMMYFUNCTION("""COMPUTED_VALUE"""),"九年級")</f>
        <v>九年級</v>
      </c>
      <c r="G2693" s="14" t="str">
        <f>IFERROR(__xludf.DUMMYFUNCTION("""COMPUTED_VALUE"""),"●小禮物")</f>
        <v>●小禮物</v>
      </c>
      <c r="H2693" s="8"/>
    </row>
    <row r="2694">
      <c r="A2694" s="18"/>
      <c r="B2694" s="14">
        <f>IFERROR(__xludf.DUMMYFUNCTION("""COMPUTED_VALUE"""),827310.0)</f>
        <v>827310</v>
      </c>
      <c r="C2694" s="14" t="str">
        <f>IFERROR(__xludf.DUMMYFUNCTION("""COMPUTED_VALUE"""),"許智惟")</f>
        <v>許智惟</v>
      </c>
      <c r="D2694" s="16" t="str">
        <f>IFERROR(__xludf.DUMMYFUNCTION("""COMPUTED_VALUE"""),"s10*****sljs.ylc.edu.tw")</f>
        <v>s10*****sljs.ylc.edu.tw</v>
      </c>
      <c r="E2694" s="17" t="str">
        <f>IFERROR(__xludf.DUMMYFUNCTION("""COMPUTED_VALUE"""),"雲林縣立水林國民中學")</f>
        <v>雲林縣立水林國民中學</v>
      </c>
      <c r="F2694" s="14" t="str">
        <f>IFERROR(__xludf.DUMMYFUNCTION("""COMPUTED_VALUE"""),"九年級")</f>
        <v>九年級</v>
      </c>
      <c r="G2694" s="14" t="str">
        <f>IFERROR(__xludf.DUMMYFUNCTION("""COMPUTED_VALUE"""),"●小禮物")</f>
        <v>●小禮物</v>
      </c>
      <c r="H2694" s="8"/>
    </row>
    <row r="2695">
      <c r="A2695" s="18"/>
      <c r="B2695" s="14">
        <f>IFERROR(__xludf.DUMMYFUNCTION("""COMPUTED_VALUE"""),1114540.0)</f>
        <v>1114540</v>
      </c>
      <c r="C2695" s="14" t="str">
        <f>IFERROR(__xludf.DUMMYFUNCTION("""COMPUTED_VALUE"""),"陳衍璋")</f>
        <v>陳衍璋</v>
      </c>
      <c r="D2695" s="16" t="str">
        <f>IFERROR(__xludf.DUMMYFUNCTION("""COMPUTED_VALUE"""),"s10*****sljs.ylc.edu.tw")</f>
        <v>s10*****sljs.ylc.edu.tw</v>
      </c>
      <c r="E2695" s="17" t="str">
        <f>IFERROR(__xludf.DUMMYFUNCTION("""COMPUTED_VALUE"""),"雲林縣立水林國民中學")</f>
        <v>雲林縣立水林國民中學</v>
      </c>
      <c r="F2695" s="14" t="str">
        <f>IFERROR(__xludf.DUMMYFUNCTION("""COMPUTED_VALUE"""),"九年級")</f>
        <v>九年級</v>
      </c>
      <c r="G2695" s="14" t="str">
        <f>IFERROR(__xludf.DUMMYFUNCTION("""COMPUTED_VALUE"""),"●小禮物")</f>
        <v>●小禮物</v>
      </c>
      <c r="H2695" s="8"/>
    </row>
    <row r="2696">
      <c r="A2696" s="18"/>
      <c r="B2696" s="14">
        <f>IFERROR(__xludf.DUMMYFUNCTION("""COMPUTED_VALUE"""),827311.0)</f>
        <v>827311</v>
      </c>
      <c r="C2696" s="14" t="str">
        <f>IFERROR(__xludf.DUMMYFUNCTION("""COMPUTED_VALUE"""),"黃秉原")</f>
        <v>黃秉原</v>
      </c>
      <c r="D2696" s="16" t="str">
        <f>IFERROR(__xludf.DUMMYFUNCTION("""COMPUTED_VALUE"""),"s10*****sljs.ylc.edu.tw")</f>
        <v>s10*****sljs.ylc.edu.tw</v>
      </c>
      <c r="E2696" s="17" t="str">
        <f>IFERROR(__xludf.DUMMYFUNCTION("""COMPUTED_VALUE"""),"雲林縣立水林國民中學")</f>
        <v>雲林縣立水林國民中學</v>
      </c>
      <c r="F2696" s="14" t="str">
        <f>IFERROR(__xludf.DUMMYFUNCTION("""COMPUTED_VALUE"""),"九年級")</f>
        <v>九年級</v>
      </c>
      <c r="G2696" s="14" t="str">
        <f>IFERROR(__xludf.DUMMYFUNCTION("""COMPUTED_VALUE"""),"●小禮物")</f>
        <v>●小禮物</v>
      </c>
      <c r="H2696" s="8"/>
    </row>
    <row r="2697">
      <c r="A2697" s="18"/>
      <c r="B2697" s="14">
        <f>IFERROR(__xludf.DUMMYFUNCTION("""COMPUTED_VALUE"""),827299.0)</f>
        <v>827299</v>
      </c>
      <c r="C2697" s="14" t="str">
        <f>IFERROR(__xludf.DUMMYFUNCTION("""COMPUTED_VALUE"""),"黃郁茹")</f>
        <v>黃郁茹</v>
      </c>
      <c r="D2697" s="16" t="str">
        <f>IFERROR(__xludf.DUMMYFUNCTION("""COMPUTED_VALUE"""),"s10*****sljs.ylc.edu.tw")</f>
        <v>s10*****sljs.ylc.edu.tw</v>
      </c>
      <c r="E2697" s="17" t="str">
        <f>IFERROR(__xludf.DUMMYFUNCTION("""COMPUTED_VALUE"""),"雲林縣立水林國民中學")</f>
        <v>雲林縣立水林國民中學</v>
      </c>
      <c r="F2697" s="14" t="str">
        <f>IFERROR(__xludf.DUMMYFUNCTION("""COMPUTED_VALUE"""),"九年級")</f>
        <v>九年級</v>
      </c>
      <c r="G2697" s="14" t="str">
        <f>IFERROR(__xludf.DUMMYFUNCTION("""COMPUTED_VALUE"""),"●小禮物")</f>
        <v>●小禮物</v>
      </c>
      <c r="H2697" s="8"/>
    </row>
    <row r="2698">
      <c r="A2698" s="18"/>
      <c r="B2698" s="14">
        <f>IFERROR(__xludf.DUMMYFUNCTION("""COMPUTED_VALUE"""),827301.0)</f>
        <v>827301</v>
      </c>
      <c r="C2698" s="14" t="str">
        <f>IFERROR(__xludf.DUMMYFUNCTION("""COMPUTED_VALUE"""),"楊楹棋")</f>
        <v>楊楹棋</v>
      </c>
      <c r="D2698" s="16" t="str">
        <f>IFERROR(__xludf.DUMMYFUNCTION("""COMPUTED_VALUE"""),"s10*****sljs.ylc.edu.tw")</f>
        <v>s10*****sljs.ylc.edu.tw</v>
      </c>
      <c r="E2698" s="17" t="str">
        <f>IFERROR(__xludf.DUMMYFUNCTION("""COMPUTED_VALUE"""),"雲林縣立水林國民中學")</f>
        <v>雲林縣立水林國民中學</v>
      </c>
      <c r="F2698" s="14" t="str">
        <f>IFERROR(__xludf.DUMMYFUNCTION("""COMPUTED_VALUE"""),"九年級")</f>
        <v>九年級</v>
      </c>
      <c r="G2698" s="14" t="str">
        <f>IFERROR(__xludf.DUMMYFUNCTION("""COMPUTED_VALUE"""),"●小禮物")</f>
        <v>●小禮物</v>
      </c>
      <c r="H2698" s="8"/>
    </row>
    <row r="2699">
      <c r="A2699" s="18"/>
      <c r="B2699" s="14">
        <f>IFERROR(__xludf.DUMMYFUNCTION("""COMPUTED_VALUE"""),827298.0)</f>
        <v>827298</v>
      </c>
      <c r="C2699" s="14" t="str">
        <f>IFERROR(__xludf.DUMMYFUNCTION("""COMPUTED_VALUE"""),"蔡佳怡")</f>
        <v>蔡佳怡</v>
      </c>
      <c r="D2699" s="16" t="str">
        <f>IFERROR(__xludf.DUMMYFUNCTION("""COMPUTED_VALUE"""),"s10*****sljs.ylc.edu.tw")</f>
        <v>s10*****sljs.ylc.edu.tw</v>
      </c>
      <c r="E2699" s="17" t="str">
        <f>IFERROR(__xludf.DUMMYFUNCTION("""COMPUTED_VALUE"""),"雲林縣立水林國民中學")</f>
        <v>雲林縣立水林國民中學</v>
      </c>
      <c r="F2699" s="14" t="str">
        <f>IFERROR(__xludf.DUMMYFUNCTION("""COMPUTED_VALUE"""),"九年級")</f>
        <v>九年級</v>
      </c>
      <c r="G2699" s="14" t="str">
        <f>IFERROR(__xludf.DUMMYFUNCTION("""COMPUTED_VALUE"""),"●小禮物")</f>
        <v>●小禮物</v>
      </c>
      <c r="H2699" s="8"/>
    </row>
    <row r="2700">
      <c r="A2700" s="18"/>
      <c r="B2700" s="14">
        <f>IFERROR(__xludf.DUMMYFUNCTION("""COMPUTED_VALUE"""),827292.0)</f>
        <v>827292</v>
      </c>
      <c r="C2700" s="14" t="str">
        <f>IFERROR(__xludf.DUMMYFUNCTION("""COMPUTED_VALUE"""),"王秀玲")</f>
        <v>王秀玲</v>
      </c>
      <c r="D2700" s="16" t="str">
        <f>IFERROR(__xludf.DUMMYFUNCTION("""COMPUTED_VALUE"""),"s10*****sljs.ylc.edu.tw")</f>
        <v>s10*****sljs.ylc.edu.tw</v>
      </c>
      <c r="E2700" s="17" t="str">
        <f>IFERROR(__xludf.DUMMYFUNCTION("""COMPUTED_VALUE"""),"雲林縣立水林國民中學")</f>
        <v>雲林縣立水林國民中學</v>
      </c>
      <c r="F2700" s="14" t="str">
        <f>IFERROR(__xludf.DUMMYFUNCTION("""COMPUTED_VALUE"""),"九年級")</f>
        <v>九年級</v>
      </c>
      <c r="G2700" s="14" t="str">
        <f>IFERROR(__xludf.DUMMYFUNCTION("""COMPUTED_VALUE"""),"★禮券$200")</f>
        <v>★禮券$200</v>
      </c>
      <c r="H2700" s="8"/>
    </row>
    <row r="2701">
      <c r="A2701" s="18"/>
      <c r="B2701" s="14">
        <f>IFERROR(__xludf.DUMMYFUNCTION("""COMPUTED_VALUE"""),827313.0)</f>
        <v>827313</v>
      </c>
      <c r="C2701" s="14" t="str">
        <f>IFERROR(__xludf.DUMMYFUNCTION("""COMPUTED_VALUE"""),"王證諭")</f>
        <v>王證諭</v>
      </c>
      <c r="D2701" s="16" t="str">
        <f>IFERROR(__xludf.DUMMYFUNCTION("""COMPUTED_VALUE"""),"s10*****sljs.ylc.edu.tw")</f>
        <v>s10*****sljs.ylc.edu.tw</v>
      </c>
      <c r="E2701" s="17" t="str">
        <f>IFERROR(__xludf.DUMMYFUNCTION("""COMPUTED_VALUE"""),"雲林縣立水林國民中學")</f>
        <v>雲林縣立水林國民中學</v>
      </c>
      <c r="F2701" s="14" t="str">
        <f>IFERROR(__xludf.DUMMYFUNCTION("""COMPUTED_VALUE"""),"九年級")</f>
        <v>九年級</v>
      </c>
      <c r="G2701" s="14" t="str">
        <f>IFERROR(__xludf.DUMMYFUNCTION("""COMPUTED_VALUE"""),"獎狀")</f>
        <v>獎狀</v>
      </c>
      <c r="H2701" s="8"/>
    </row>
    <row r="2702">
      <c r="A2702" s="18"/>
      <c r="B2702" s="14">
        <f>IFERROR(__xludf.DUMMYFUNCTION("""COMPUTED_VALUE"""),827300.0)</f>
        <v>827300</v>
      </c>
      <c r="C2702" s="14" t="str">
        <f>IFERROR(__xludf.DUMMYFUNCTION("""COMPUTED_VALUE"""),"吳佲軒")</f>
        <v>吳佲軒</v>
      </c>
      <c r="D2702" s="16" t="str">
        <f>IFERROR(__xludf.DUMMYFUNCTION("""COMPUTED_VALUE"""),"s10*****sljs.ylc.edu.tw")</f>
        <v>s10*****sljs.ylc.edu.tw</v>
      </c>
      <c r="E2702" s="17" t="str">
        <f>IFERROR(__xludf.DUMMYFUNCTION("""COMPUTED_VALUE"""),"雲林縣立水林國民中學")</f>
        <v>雲林縣立水林國民中學</v>
      </c>
      <c r="F2702" s="14" t="str">
        <f>IFERROR(__xludf.DUMMYFUNCTION("""COMPUTED_VALUE"""),"九年級")</f>
        <v>九年級</v>
      </c>
      <c r="G2702" s="14" t="str">
        <f>IFERROR(__xludf.DUMMYFUNCTION("""COMPUTED_VALUE"""),"獎狀")</f>
        <v>獎狀</v>
      </c>
      <c r="H2702" s="8"/>
    </row>
    <row r="2703">
      <c r="A2703" s="18"/>
      <c r="B2703" s="14">
        <f>IFERROR(__xludf.DUMMYFUNCTION("""COMPUTED_VALUE"""),827303.0)</f>
        <v>827303</v>
      </c>
      <c r="C2703" s="14" t="str">
        <f>IFERROR(__xludf.DUMMYFUNCTION("""COMPUTED_VALUE"""),"李心絜")</f>
        <v>李心絜</v>
      </c>
      <c r="D2703" s="16" t="str">
        <f>IFERROR(__xludf.DUMMYFUNCTION("""COMPUTED_VALUE"""),"s10*****sljs.ylc.edu.tw")</f>
        <v>s10*****sljs.ylc.edu.tw</v>
      </c>
      <c r="E2703" s="17" t="str">
        <f>IFERROR(__xludf.DUMMYFUNCTION("""COMPUTED_VALUE"""),"雲林縣立水林國民中學")</f>
        <v>雲林縣立水林國民中學</v>
      </c>
      <c r="F2703" s="14" t="str">
        <f>IFERROR(__xludf.DUMMYFUNCTION("""COMPUTED_VALUE"""),"九年級")</f>
        <v>九年級</v>
      </c>
      <c r="G2703" s="14" t="str">
        <f>IFERROR(__xludf.DUMMYFUNCTION("""COMPUTED_VALUE"""),"獎狀")</f>
        <v>獎狀</v>
      </c>
      <c r="H2703" s="8"/>
    </row>
    <row r="2704">
      <c r="A2704" s="18"/>
      <c r="B2704" s="14">
        <f>IFERROR(__xludf.DUMMYFUNCTION("""COMPUTED_VALUE"""),827305.0)</f>
        <v>827305</v>
      </c>
      <c r="C2704" s="14" t="str">
        <f>IFERROR(__xludf.DUMMYFUNCTION("""COMPUTED_VALUE"""),"李莉婷")</f>
        <v>李莉婷</v>
      </c>
      <c r="D2704" s="16" t="str">
        <f>IFERROR(__xludf.DUMMYFUNCTION("""COMPUTED_VALUE"""),"s10*****sljs.ylc.edu.tw")</f>
        <v>s10*****sljs.ylc.edu.tw</v>
      </c>
      <c r="E2704" s="17" t="str">
        <f>IFERROR(__xludf.DUMMYFUNCTION("""COMPUTED_VALUE"""),"雲林縣立水林國民中學")</f>
        <v>雲林縣立水林國民中學</v>
      </c>
      <c r="F2704" s="14" t="str">
        <f>IFERROR(__xludf.DUMMYFUNCTION("""COMPUTED_VALUE"""),"九年級")</f>
        <v>九年級</v>
      </c>
      <c r="G2704" s="14" t="str">
        <f>IFERROR(__xludf.DUMMYFUNCTION("""COMPUTED_VALUE"""),"獎狀")</f>
        <v>獎狀</v>
      </c>
      <c r="H2704" s="8"/>
    </row>
    <row r="2705">
      <c r="A2705" s="18"/>
      <c r="B2705" s="14">
        <f>IFERROR(__xludf.DUMMYFUNCTION("""COMPUTED_VALUE"""),827304.0)</f>
        <v>827304</v>
      </c>
      <c r="C2705" s="14" t="str">
        <f>IFERROR(__xludf.DUMMYFUNCTION("""COMPUTED_VALUE"""),"林靖諭")</f>
        <v>林靖諭</v>
      </c>
      <c r="D2705" s="16" t="str">
        <f>IFERROR(__xludf.DUMMYFUNCTION("""COMPUTED_VALUE"""),"s10*****sljs.ylc.edu.tw")</f>
        <v>s10*****sljs.ylc.edu.tw</v>
      </c>
      <c r="E2705" s="17" t="str">
        <f>IFERROR(__xludf.DUMMYFUNCTION("""COMPUTED_VALUE"""),"雲林縣立水林國民中學")</f>
        <v>雲林縣立水林國民中學</v>
      </c>
      <c r="F2705" s="14" t="str">
        <f>IFERROR(__xludf.DUMMYFUNCTION("""COMPUTED_VALUE"""),"九年級")</f>
        <v>九年級</v>
      </c>
      <c r="G2705" s="14" t="str">
        <f>IFERROR(__xludf.DUMMYFUNCTION("""COMPUTED_VALUE"""),"獎狀")</f>
        <v>獎狀</v>
      </c>
      <c r="H2705" s="8"/>
    </row>
    <row r="2706">
      <c r="A2706" s="18"/>
      <c r="B2706" s="14">
        <f>IFERROR(__xludf.DUMMYFUNCTION("""COMPUTED_VALUE"""),827312.0)</f>
        <v>827312</v>
      </c>
      <c r="C2706" s="14" t="str">
        <f>IFERROR(__xludf.DUMMYFUNCTION("""COMPUTED_VALUE"""),"洪造翔")</f>
        <v>洪造翔</v>
      </c>
      <c r="D2706" s="16" t="str">
        <f>IFERROR(__xludf.DUMMYFUNCTION("""COMPUTED_VALUE"""),"s10*****sljs.ylc.edu.tw")</f>
        <v>s10*****sljs.ylc.edu.tw</v>
      </c>
      <c r="E2706" s="17" t="str">
        <f>IFERROR(__xludf.DUMMYFUNCTION("""COMPUTED_VALUE"""),"雲林縣立水林國民中學")</f>
        <v>雲林縣立水林國民中學</v>
      </c>
      <c r="F2706" s="14" t="str">
        <f>IFERROR(__xludf.DUMMYFUNCTION("""COMPUTED_VALUE"""),"九年級")</f>
        <v>九年級</v>
      </c>
      <c r="G2706" s="14" t="str">
        <f>IFERROR(__xludf.DUMMYFUNCTION("""COMPUTED_VALUE"""),"獎狀")</f>
        <v>獎狀</v>
      </c>
      <c r="H2706" s="8"/>
    </row>
    <row r="2707">
      <c r="A2707" s="18"/>
      <c r="B2707" s="14">
        <f>IFERROR(__xludf.DUMMYFUNCTION("""COMPUTED_VALUE"""),827296.0)</f>
        <v>827296</v>
      </c>
      <c r="C2707" s="14" t="str">
        <f>IFERROR(__xludf.DUMMYFUNCTION("""COMPUTED_VALUE"""),"洪智恩")</f>
        <v>洪智恩</v>
      </c>
      <c r="D2707" s="16" t="str">
        <f>IFERROR(__xludf.DUMMYFUNCTION("""COMPUTED_VALUE"""),"s10*****sljs.ylc.edu.tw")</f>
        <v>s10*****sljs.ylc.edu.tw</v>
      </c>
      <c r="E2707" s="17" t="str">
        <f>IFERROR(__xludf.DUMMYFUNCTION("""COMPUTED_VALUE"""),"雲林縣立水林國民中學")</f>
        <v>雲林縣立水林國民中學</v>
      </c>
      <c r="F2707" s="14" t="str">
        <f>IFERROR(__xludf.DUMMYFUNCTION("""COMPUTED_VALUE"""),"九年級")</f>
        <v>九年級</v>
      </c>
      <c r="G2707" s="14" t="str">
        <f>IFERROR(__xludf.DUMMYFUNCTION("""COMPUTED_VALUE"""),"獎狀")</f>
        <v>獎狀</v>
      </c>
      <c r="H2707" s="8"/>
    </row>
    <row r="2708">
      <c r="A2708" s="18"/>
      <c r="B2708" s="14">
        <f>IFERROR(__xludf.DUMMYFUNCTION("""COMPUTED_VALUE"""),827309.0)</f>
        <v>827309</v>
      </c>
      <c r="C2708" s="14" t="str">
        <f>IFERROR(__xludf.DUMMYFUNCTION("""COMPUTED_VALUE"""),"許畯幃")</f>
        <v>許畯幃</v>
      </c>
      <c r="D2708" s="16" t="str">
        <f>IFERROR(__xludf.DUMMYFUNCTION("""COMPUTED_VALUE"""),"s10*****sljs.ylc.edu.tw")</f>
        <v>s10*****sljs.ylc.edu.tw</v>
      </c>
      <c r="E2708" s="17" t="str">
        <f>IFERROR(__xludf.DUMMYFUNCTION("""COMPUTED_VALUE"""),"雲林縣立水林國民中學")</f>
        <v>雲林縣立水林國民中學</v>
      </c>
      <c r="F2708" s="14" t="str">
        <f>IFERROR(__xludf.DUMMYFUNCTION("""COMPUTED_VALUE"""),"九年級")</f>
        <v>九年級</v>
      </c>
      <c r="G2708" s="14" t="str">
        <f>IFERROR(__xludf.DUMMYFUNCTION("""COMPUTED_VALUE"""),"獎狀")</f>
        <v>獎狀</v>
      </c>
      <c r="H2708" s="8"/>
    </row>
    <row r="2709">
      <c r="A2709" s="18"/>
      <c r="B2709" s="14">
        <f>IFERROR(__xludf.DUMMYFUNCTION("""COMPUTED_VALUE"""),827314.0)</f>
        <v>827314</v>
      </c>
      <c r="C2709" s="14" t="str">
        <f>IFERROR(__xludf.DUMMYFUNCTION("""COMPUTED_VALUE"""),"陳永昌")</f>
        <v>陳永昌</v>
      </c>
      <c r="D2709" s="16" t="str">
        <f>IFERROR(__xludf.DUMMYFUNCTION("""COMPUTED_VALUE"""),"s10*****sljs.ylc.edu.tw")</f>
        <v>s10*****sljs.ylc.edu.tw</v>
      </c>
      <c r="E2709" s="17" t="str">
        <f>IFERROR(__xludf.DUMMYFUNCTION("""COMPUTED_VALUE"""),"雲林縣立水林國民中學")</f>
        <v>雲林縣立水林國民中學</v>
      </c>
      <c r="F2709" s="14" t="str">
        <f>IFERROR(__xludf.DUMMYFUNCTION("""COMPUTED_VALUE"""),"九年級")</f>
        <v>九年級</v>
      </c>
      <c r="G2709" s="14" t="str">
        <f>IFERROR(__xludf.DUMMYFUNCTION("""COMPUTED_VALUE"""),"獎狀")</f>
        <v>獎狀</v>
      </c>
      <c r="H2709" s="8"/>
    </row>
    <row r="2710">
      <c r="A2710" s="18"/>
      <c r="B2710" s="14">
        <f>IFERROR(__xludf.DUMMYFUNCTION("""COMPUTED_VALUE"""),827290.0)</f>
        <v>827290</v>
      </c>
      <c r="C2710" s="14" t="str">
        <f>IFERROR(__xludf.DUMMYFUNCTION("""COMPUTED_VALUE"""),"黃彙喬")</f>
        <v>黃彙喬</v>
      </c>
      <c r="D2710" s="16" t="str">
        <f>IFERROR(__xludf.DUMMYFUNCTION("""COMPUTED_VALUE"""),"s10*****sljs.ylc.edu.tw")</f>
        <v>s10*****sljs.ylc.edu.tw</v>
      </c>
      <c r="E2710" s="17" t="str">
        <f>IFERROR(__xludf.DUMMYFUNCTION("""COMPUTED_VALUE"""),"雲林縣立水林國民中學")</f>
        <v>雲林縣立水林國民中學</v>
      </c>
      <c r="F2710" s="14" t="str">
        <f>IFERROR(__xludf.DUMMYFUNCTION("""COMPUTED_VALUE"""),"九年級")</f>
        <v>九年級</v>
      </c>
      <c r="G2710" s="14" t="str">
        <f>IFERROR(__xludf.DUMMYFUNCTION("""COMPUTED_VALUE"""),"獎狀")</f>
        <v>獎狀</v>
      </c>
      <c r="H2710" s="8"/>
    </row>
    <row r="2711">
      <c r="A2711" s="18"/>
      <c r="B2711" s="14">
        <f>IFERROR(__xludf.DUMMYFUNCTION("""COMPUTED_VALUE"""),509597.0)</f>
        <v>509597</v>
      </c>
      <c r="C2711" s="14" t="str">
        <f>IFERROR(__xludf.DUMMYFUNCTION("""COMPUTED_VALUE"""),"王湘誼")</f>
        <v>王湘誼</v>
      </c>
      <c r="D2711" s="16" t="str">
        <f>IFERROR(__xludf.DUMMYFUNCTION("""COMPUTED_VALUE"""),"mle*****68@mail.edu.tw")</f>
        <v>mle*****68@mail.edu.tw</v>
      </c>
      <c r="E2711" s="17" t="str">
        <f>IFERROR(__xludf.DUMMYFUNCTION("""COMPUTED_VALUE"""),"雲林縣私立文生高級中學附設國中部")</f>
        <v>雲林縣私立文生高級中學附設國中部</v>
      </c>
      <c r="F2711" s="14" t="str">
        <f>IFERROR(__xludf.DUMMYFUNCTION("""COMPUTED_VALUE"""),"七年級")</f>
        <v>七年級</v>
      </c>
      <c r="G2711" s="14" t="str">
        <f>IFERROR(__xludf.DUMMYFUNCTION("""COMPUTED_VALUE"""),"獎狀")</f>
        <v>獎狀</v>
      </c>
      <c r="H2711" s="8"/>
    </row>
    <row r="2712">
      <c r="A2712" s="18"/>
      <c r="B2712" s="14">
        <f>IFERROR(__xludf.DUMMYFUNCTION("""COMPUTED_VALUE"""),804556.0)</f>
        <v>804556</v>
      </c>
      <c r="C2712" s="14" t="str">
        <f>IFERROR(__xludf.DUMMYFUNCTION("""COMPUTED_VALUE"""),"吳秉灃")</f>
        <v>吳秉灃</v>
      </c>
      <c r="D2712" s="16" t="str">
        <f>IFERROR(__xludf.DUMMYFUNCTION("""COMPUTED_VALUE"""),"j11*****svsh.ylc.edu.tw")</f>
        <v>j11*****svsh.ylc.edu.tw</v>
      </c>
      <c r="E2712" s="17" t="str">
        <f>IFERROR(__xludf.DUMMYFUNCTION("""COMPUTED_VALUE"""),"雲林縣私立文生高級中學附設國中部")</f>
        <v>雲林縣私立文生高級中學附設國中部</v>
      </c>
      <c r="F2712" s="14" t="str">
        <f>IFERROR(__xludf.DUMMYFUNCTION("""COMPUTED_VALUE"""),"八年級")</f>
        <v>八年級</v>
      </c>
      <c r="G2712" s="14" t="str">
        <f>IFERROR(__xludf.DUMMYFUNCTION("""COMPUTED_VALUE"""),"獎狀")</f>
        <v>獎狀</v>
      </c>
      <c r="H2712" s="8"/>
    </row>
    <row r="2713">
      <c r="A2713" s="18"/>
      <c r="B2713" s="14">
        <f>IFERROR(__xludf.DUMMYFUNCTION("""COMPUTED_VALUE"""),306210.0)</f>
        <v>306210</v>
      </c>
      <c r="C2713" s="14" t="str">
        <f>IFERROR(__xludf.DUMMYFUNCTION("""COMPUTED_VALUE"""),"黃翊修")</f>
        <v>黃翊修</v>
      </c>
      <c r="D2713" s="16" t="str">
        <f>IFERROR(__xludf.DUMMYFUNCTION("""COMPUTED_VALUE"""),"st3*****5.tn@mail.edu.tw")</f>
        <v>st3*****5.tn@mail.edu.tw</v>
      </c>
      <c r="E2713" s="17" t="str">
        <f>IFERROR(__xludf.DUMMYFUNCTION("""COMPUTED_VALUE"""),"臺南市立建興國民中學")</f>
        <v>臺南市立建興國民中學</v>
      </c>
      <c r="F2713" s="14" t="str">
        <f>IFERROR(__xludf.DUMMYFUNCTION("""COMPUTED_VALUE"""),"七年級")</f>
        <v>七年級</v>
      </c>
      <c r="G2713" s="14" t="str">
        <f>IFERROR(__xludf.DUMMYFUNCTION("""COMPUTED_VALUE"""),"●小禮物")</f>
        <v>●小禮物</v>
      </c>
      <c r="H2713" s="8"/>
    </row>
    <row r="2714">
      <c r="A2714" s="18"/>
      <c r="B2714" s="14">
        <f>IFERROR(__xludf.DUMMYFUNCTION("""COMPUTED_VALUE"""),178673.0)</f>
        <v>178673</v>
      </c>
      <c r="C2714" s="14" t="str">
        <f>IFERROR(__xludf.DUMMYFUNCTION("""COMPUTED_VALUE"""),"李仁棣")</f>
        <v>李仁棣</v>
      </c>
      <c r="D2714" s="16" t="str">
        <f>IFERROR(__xludf.DUMMYFUNCTION("""COMPUTED_VALUE"""),"s10*****cmes.tn.edu.tw")</f>
        <v>s10*****cmes.tn.edu.tw</v>
      </c>
      <c r="E2714" s="17" t="str">
        <f>IFERROR(__xludf.DUMMYFUNCTION("""COMPUTED_VALUE"""),"臺南市立建興國民中學")</f>
        <v>臺南市立建興國民中學</v>
      </c>
      <c r="F2714" s="14" t="str">
        <f>IFERROR(__xludf.DUMMYFUNCTION("""COMPUTED_VALUE"""),"八年級")</f>
        <v>八年級</v>
      </c>
      <c r="G2714" s="14" t="str">
        <f>IFERROR(__xludf.DUMMYFUNCTION("""COMPUTED_VALUE"""),"獎狀")</f>
        <v>獎狀</v>
      </c>
      <c r="H2714" s="8"/>
    </row>
    <row r="2715">
      <c r="A2715" s="18"/>
      <c r="B2715" s="14">
        <f>IFERROR(__xludf.DUMMYFUNCTION("""COMPUTED_VALUE"""),303995.0)</f>
        <v>303995</v>
      </c>
      <c r="C2715" s="14" t="str">
        <f>IFERROR(__xludf.DUMMYFUNCTION("""COMPUTED_VALUE"""),"賴盷澄")</f>
        <v>賴盷澄</v>
      </c>
      <c r="D2715" s="16" t="str">
        <f>IFERROR(__xludf.DUMMYFUNCTION("""COMPUTED_VALUE"""),"st1*****9@mail.edu.tw")</f>
        <v>st1*****9@mail.edu.tw</v>
      </c>
      <c r="E2715" s="17" t="str">
        <f>IFERROR(__xludf.DUMMYFUNCTION("""COMPUTED_VALUE"""),"臺南市立建興國民中學")</f>
        <v>臺南市立建興國民中學</v>
      </c>
      <c r="F2715" s="14" t="str">
        <f>IFERROR(__xludf.DUMMYFUNCTION("""COMPUTED_VALUE"""),"八年級")</f>
        <v>八年級</v>
      </c>
      <c r="G2715" s="14" t="str">
        <f>IFERROR(__xludf.DUMMYFUNCTION("""COMPUTED_VALUE"""),"●小禮物")</f>
        <v>●小禮物</v>
      </c>
      <c r="H2715" s="8"/>
    </row>
    <row r="2716">
      <c r="A2716" s="18"/>
      <c r="B2716" s="14">
        <f>IFERROR(__xludf.DUMMYFUNCTION("""COMPUTED_VALUE"""),231083.0)</f>
        <v>231083</v>
      </c>
      <c r="C2716" s="14" t="str">
        <f>IFERROR(__xludf.DUMMYFUNCTION("""COMPUTED_VALUE"""),"趙祐陞")</f>
        <v>趙祐陞</v>
      </c>
      <c r="D2716" s="16" t="str">
        <f>IFERROR(__xludf.DUMMYFUNCTION("""COMPUTED_VALUE"""),"st6*****1.tn@mail.edu.tw")</f>
        <v>st6*****1.tn@mail.edu.tw</v>
      </c>
      <c r="E2716" s="17" t="str">
        <f>IFERROR(__xludf.DUMMYFUNCTION("""COMPUTED_VALUE"""),"臺南市立建興國民中學")</f>
        <v>臺南市立建興國民中學</v>
      </c>
      <c r="F2716" s="14" t="str">
        <f>IFERROR(__xludf.DUMMYFUNCTION("""COMPUTED_VALUE"""),"九年級")</f>
        <v>九年級</v>
      </c>
      <c r="G2716" s="14" t="str">
        <f>IFERROR(__xludf.DUMMYFUNCTION("""COMPUTED_VALUE"""),"獎狀")</f>
        <v>獎狀</v>
      </c>
      <c r="H2716" s="8"/>
    </row>
    <row r="2717">
      <c r="A2717" s="18"/>
      <c r="B2717" s="14">
        <f>IFERROR(__xludf.DUMMYFUNCTION("""COMPUTED_VALUE"""),603764.0)</f>
        <v>603764</v>
      </c>
      <c r="C2717" s="14" t="str">
        <f>IFERROR(__xludf.DUMMYFUNCTION("""COMPUTED_VALUE"""),"劉昱翔")</f>
        <v>劉昱翔</v>
      </c>
      <c r="D2717" s="16" t="str">
        <f>IFERROR(__xludf.DUMMYFUNCTION("""COMPUTED_VALUE"""),"wu0*****ct@mail.edu.tw")</f>
        <v>wu0*****ct@mail.edu.tw</v>
      </c>
      <c r="E2717" s="17" t="str">
        <f>IFERROR(__xludf.DUMMYFUNCTION("""COMPUTED_VALUE"""),"臺南市立後甲國民中學")</f>
        <v>臺南市立後甲國民中學</v>
      </c>
      <c r="F2717" s="14" t="str">
        <f>IFERROR(__xludf.DUMMYFUNCTION("""COMPUTED_VALUE"""),"七年級")</f>
        <v>七年級</v>
      </c>
      <c r="G2717" s="14" t="str">
        <f>IFERROR(__xludf.DUMMYFUNCTION("""COMPUTED_VALUE"""),"●小禮物")</f>
        <v>●小禮物</v>
      </c>
      <c r="H2717" s="8"/>
    </row>
    <row r="2718">
      <c r="A2718" s="18"/>
      <c r="B2718" s="14">
        <f>IFERROR(__xludf.DUMMYFUNCTION("""COMPUTED_VALUE"""),1216851.0)</f>
        <v>1216851</v>
      </c>
      <c r="C2718" s="14" t="str">
        <f>IFERROR(__xludf.DUMMYFUNCTION("""COMPUTED_VALUE"""),"賴妘萍")</f>
        <v>賴妘萍</v>
      </c>
      <c r="D2718" s="16" t="str">
        <f>IFERROR(__xludf.DUMMYFUNCTION("""COMPUTED_VALUE"""),"st5*****1@mail.edu.tw")</f>
        <v>st5*****1@mail.edu.tw</v>
      </c>
      <c r="E2718" s="17" t="str">
        <f>IFERROR(__xludf.DUMMYFUNCTION("""COMPUTED_VALUE"""),"臺南市立後甲國民中學")</f>
        <v>臺南市立後甲國民中學</v>
      </c>
      <c r="F2718" s="14" t="str">
        <f>IFERROR(__xludf.DUMMYFUNCTION("""COMPUTED_VALUE"""),"八年級")</f>
        <v>八年級</v>
      </c>
      <c r="G2718" s="14" t="str">
        <f>IFERROR(__xludf.DUMMYFUNCTION("""COMPUTED_VALUE"""),"●小禮物")</f>
        <v>●小禮物</v>
      </c>
      <c r="H2718" s="8"/>
    </row>
    <row r="2719">
      <c r="A2719" s="18"/>
      <c r="B2719" s="14">
        <f>IFERROR(__xludf.DUMMYFUNCTION("""COMPUTED_VALUE"""),665209.0)</f>
        <v>665209</v>
      </c>
      <c r="C2719" s="14" t="str">
        <f>IFERROR(__xludf.DUMMYFUNCTION("""COMPUTED_VALUE"""),"莊采霏")</f>
        <v>莊采霏</v>
      </c>
      <c r="D2719" s="16" t="str">
        <f>IFERROR(__xludf.DUMMYFUNCTION("""COMPUTED_VALUE"""),"st6*****1@mail.edu.tw")</f>
        <v>st6*****1@mail.edu.tw</v>
      </c>
      <c r="E2719" s="17" t="str">
        <f>IFERROR(__xludf.DUMMYFUNCTION("""COMPUTED_VALUE"""),"臺南市立後甲國民中學")</f>
        <v>臺南市立後甲國民中學</v>
      </c>
      <c r="F2719" s="14" t="str">
        <f>IFERROR(__xludf.DUMMYFUNCTION("""COMPUTED_VALUE"""),"八年級")</f>
        <v>八年級</v>
      </c>
      <c r="G2719" s="14" t="str">
        <f>IFERROR(__xludf.DUMMYFUNCTION("""COMPUTED_VALUE"""),"●小禮物")</f>
        <v>●小禮物</v>
      </c>
      <c r="H2719" s="8"/>
    </row>
    <row r="2720">
      <c r="A2720" s="18"/>
      <c r="B2720" s="14">
        <f>IFERROR(__xludf.DUMMYFUNCTION("""COMPUTED_VALUE"""),800266.0)</f>
        <v>800266</v>
      </c>
      <c r="C2720" s="14" t="str">
        <f>IFERROR(__xludf.DUMMYFUNCTION("""COMPUTED_VALUE"""),"施卉軒")</f>
        <v>施卉軒</v>
      </c>
      <c r="D2720" s="16" t="str">
        <f>IFERROR(__xludf.DUMMYFUNCTION("""COMPUTED_VALUE"""),"st1*****5.tn@mail.edu.tw")</f>
        <v>st1*****5.tn@mail.edu.tw</v>
      </c>
      <c r="E2720" s="17" t="str">
        <f>IFERROR(__xludf.DUMMYFUNCTION("""COMPUTED_VALUE"""),"臺南市立後甲國民中學")</f>
        <v>臺南市立後甲國民中學</v>
      </c>
      <c r="F2720" s="14" t="str">
        <f>IFERROR(__xludf.DUMMYFUNCTION("""COMPUTED_VALUE"""),"八年級")</f>
        <v>八年級</v>
      </c>
      <c r="G2720" s="14" t="str">
        <f>IFERROR(__xludf.DUMMYFUNCTION("""COMPUTED_VALUE"""),"獎狀")</f>
        <v>獎狀</v>
      </c>
      <c r="H2720" s="8"/>
    </row>
    <row r="2721">
      <c r="A2721" s="18"/>
      <c r="B2721" s="14">
        <f>IFERROR(__xludf.DUMMYFUNCTION("""COMPUTED_VALUE"""),210625.0)</f>
        <v>210625</v>
      </c>
      <c r="C2721" s="14" t="str">
        <f>IFERROR(__xludf.DUMMYFUNCTION("""COMPUTED_VALUE"""),"陳宥勛")</f>
        <v>陳宥勛</v>
      </c>
      <c r="D2721" s="16" t="str">
        <f>IFERROR(__xludf.DUMMYFUNCTION("""COMPUTED_VALUE"""),"st5*****6.tn@mail.edu.tw")</f>
        <v>st5*****6.tn@mail.edu.tw</v>
      </c>
      <c r="E2721" s="17" t="str">
        <f>IFERROR(__xludf.DUMMYFUNCTION("""COMPUTED_VALUE"""),"臺南市立後甲國民中學")</f>
        <v>臺南市立後甲國民中學</v>
      </c>
      <c r="F2721" s="14" t="str">
        <f>IFERROR(__xludf.DUMMYFUNCTION("""COMPUTED_VALUE"""),"八年級")</f>
        <v>八年級</v>
      </c>
      <c r="G2721" s="14" t="str">
        <f>IFERROR(__xludf.DUMMYFUNCTION("""COMPUTED_VALUE"""),"●小禮物")</f>
        <v>●小禮物</v>
      </c>
      <c r="H2721" s="8"/>
    </row>
    <row r="2722">
      <c r="A2722" s="18"/>
      <c r="B2722" s="14">
        <f>IFERROR(__xludf.DUMMYFUNCTION("""COMPUTED_VALUE"""),1121882.0)</f>
        <v>1121882</v>
      </c>
      <c r="C2722" s="14" t="str">
        <f>IFERROR(__xludf.DUMMYFUNCTION("""COMPUTED_VALUE"""),"陳仕騰")</f>
        <v>陳仕騰</v>
      </c>
      <c r="D2722" s="16" t="str">
        <f>IFERROR(__xludf.DUMMYFUNCTION("""COMPUTED_VALUE"""),"109*****hcjh.tn.edu.tw")</f>
        <v>109*****hcjh.tn.edu.tw</v>
      </c>
      <c r="E2722" s="17" t="str">
        <f>IFERROR(__xludf.DUMMYFUNCTION("""COMPUTED_VALUE"""),"臺南市立後甲國民中學")</f>
        <v>臺南市立後甲國民中學</v>
      </c>
      <c r="F2722" s="14" t="str">
        <f>IFERROR(__xludf.DUMMYFUNCTION("""COMPUTED_VALUE"""),"九年級")</f>
        <v>九年級</v>
      </c>
      <c r="G2722" s="14" t="str">
        <f>IFERROR(__xludf.DUMMYFUNCTION("""COMPUTED_VALUE"""),"獎狀")</f>
        <v>獎狀</v>
      </c>
      <c r="H2722" s="8"/>
    </row>
    <row r="2723">
      <c r="A2723" s="18"/>
      <c r="B2723" s="14">
        <f>IFERROR(__xludf.DUMMYFUNCTION("""COMPUTED_VALUE"""),376718.0)</f>
        <v>376718</v>
      </c>
      <c r="C2723" s="14" t="str">
        <f>IFERROR(__xludf.DUMMYFUNCTION("""COMPUTED_VALUE"""),"李梓瑄")</f>
        <v>李梓瑄</v>
      </c>
      <c r="D2723" s="16" t="str">
        <f>IFERROR(__xludf.DUMMYFUNCTION("""COMPUTED_VALUE"""),"st5*****2@mail.edu.tw")</f>
        <v>st5*****2@mail.edu.tw</v>
      </c>
      <c r="E2723" s="17" t="str">
        <f>IFERROR(__xludf.DUMMYFUNCTION("""COMPUTED_VALUE"""),"臺南市立後甲國民中學")</f>
        <v>臺南市立後甲國民中學</v>
      </c>
      <c r="F2723" s="14" t="str">
        <f>IFERROR(__xludf.DUMMYFUNCTION("""COMPUTED_VALUE"""),"九年級")</f>
        <v>九年級</v>
      </c>
      <c r="G2723" s="14" t="str">
        <f>IFERROR(__xludf.DUMMYFUNCTION("""COMPUTED_VALUE"""),"●小禮物")</f>
        <v>●小禮物</v>
      </c>
      <c r="H2723" s="8"/>
    </row>
    <row r="2724">
      <c r="A2724" s="18"/>
      <c r="B2724" s="14">
        <f>IFERROR(__xludf.DUMMYFUNCTION("""COMPUTED_VALUE"""),174430.0)</f>
        <v>174430</v>
      </c>
      <c r="C2724" s="14" t="str">
        <f>IFERROR(__xludf.DUMMYFUNCTION("""COMPUTED_VALUE"""),"王翊凱")</f>
        <v>王翊凱</v>
      </c>
      <c r="D2724" s="16" t="str">
        <f>IFERROR(__xludf.DUMMYFUNCTION("""COMPUTED_VALUE"""),"lin*****90015@yahoo.com.tw")</f>
        <v>lin*****90015@yahoo.com.tw</v>
      </c>
      <c r="E2724" s="17" t="str">
        <f>IFERROR(__xludf.DUMMYFUNCTION("""COMPUTED_VALUE"""),"臺南市立崇明國民中學")</f>
        <v>臺南市立崇明國民中學</v>
      </c>
      <c r="F2724" s="14" t="str">
        <f>IFERROR(__xludf.DUMMYFUNCTION("""COMPUTED_VALUE"""),"九年級")</f>
        <v>九年級</v>
      </c>
      <c r="G2724" s="14" t="str">
        <f>IFERROR(__xludf.DUMMYFUNCTION("""COMPUTED_VALUE"""),"●小禮物")</f>
        <v>●小禮物</v>
      </c>
      <c r="H2724" s="8"/>
    </row>
    <row r="2725">
      <c r="A2725" s="18"/>
      <c r="B2725" s="14">
        <f>IFERROR(__xludf.DUMMYFUNCTION("""COMPUTED_VALUE"""),538927.0)</f>
        <v>538927</v>
      </c>
      <c r="C2725" s="14" t="str">
        <f>IFERROR(__xludf.DUMMYFUNCTION("""COMPUTED_VALUE"""),"魏上恩")</f>
        <v>魏上恩</v>
      </c>
      <c r="D2725" s="16" t="str">
        <f>IFERROR(__xludf.DUMMYFUNCTION("""COMPUTED_VALUE"""),"mis*****imo@gmail.com")</f>
        <v>mis*****imo@gmail.com</v>
      </c>
      <c r="E2725" s="17" t="str">
        <f>IFERROR(__xludf.DUMMYFUNCTION("""COMPUTED_VALUE"""),"臺南市立忠孝國民中學")</f>
        <v>臺南市立忠孝國民中學</v>
      </c>
      <c r="F2725" s="14" t="str">
        <f>IFERROR(__xludf.DUMMYFUNCTION("""COMPUTED_VALUE"""),"七年級")</f>
        <v>七年級</v>
      </c>
      <c r="G2725" s="14" t="str">
        <f>IFERROR(__xludf.DUMMYFUNCTION("""COMPUTED_VALUE"""),"●小禮物")</f>
        <v>●小禮物</v>
      </c>
      <c r="H2725" s="8"/>
    </row>
    <row r="2726">
      <c r="A2726" s="18"/>
      <c r="B2726" s="14">
        <f>IFERROR(__xludf.DUMMYFUNCTION("""COMPUTED_VALUE"""),807773.0)</f>
        <v>807773</v>
      </c>
      <c r="C2726" s="14" t="str">
        <f>IFERROR(__xludf.DUMMYFUNCTION("""COMPUTED_VALUE"""),"林彤恩")</f>
        <v>林彤恩</v>
      </c>
      <c r="D2726" s="16" t="str">
        <f>IFERROR(__xludf.DUMMYFUNCTION("""COMPUTED_VALUE"""),"100*****ail2.khgs.tn.edu.tw")</f>
        <v>100*****ail2.khgs.tn.edu.tw</v>
      </c>
      <c r="E2726" s="17" t="str">
        <f>IFERROR(__xludf.DUMMYFUNCTION("""COMPUTED_VALUE"""),"臺南光華學校財團法人臺南市光華高級中學附設國中部")</f>
        <v>臺南光華學校財團法人臺南市光華高級中學附設國中部</v>
      </c>
      <c r="F2726" s="14" t="str">
        <f>IFERROR(__xludf.DUMMYFUNCTION("""COMPUTED_VALUE"""),"八年級")</f>
        <v>八年級</v>
      </c>
      <c r="G2726" s="14" t="str">
        <f>IFERROR(__xludf.DUMMYFUNCTION("""COMPUTED_VALUE"""),"獎狀")</f>
        <v>獎狀</v>
      </c>
      <c r="H2726" s="8"/>
    </row>
    <row r="2727">
      <c r="A2727" s="18"/>
      <c r="B2727" s="14">
        <f>IFERROR(__xludf.DUMMYFUNCTION("""COMPUTED_VALUE"""),807707.0)</f>
        <v>807707</v>
      </c>
      <c r="C2727" s="14" t="str">
        <f>IFERROR(__xludf.DUMMYFUNCTION("""COMPUTED_VALUE"""),"吳沛蓁")</f>
        <v>吳沛蓁</v>
      </c>
      <c r="D2727" s="16" t="str">
        <f>IFERROR(__xludf.DUMMYFUNCTION("""COMPUTED_VALUE"""),"100*****ail2.khgs.tn.edu.tw")</f>
        <v>100*****ail2.khgs.tn.edu.tw</v>
      </c>
      <c r="E2727" s="17" t="str">
        <f>IFERROR(__xludf.DUMMYFUNCTION("""COMPUTED_VALUE"""),"臺南光華學校財團法人臺南市光華高級中學附設國中部")</f>
        <v>臺南光華學校財團法人臺南市光華高級中學附設國中部</v>
      </c>
      <c r="F2727" s="14" t="str">
        <f>IFERROR(__xludf.DUMMYFUNCTION("""COMPUTED_VALUE"""),"八年級")</f>
        <v>八年級</v>
      </c>
      <c r="G2727" s="14" t="str">
        <f>IFERROR(__xludf.DUMMYFUNCTION("""COMPUTED_VALUE"""),"●小禮物")</f>
        <v>●小禮物</v>
      </c>
      <c r="H2727" s="8"/>
    </row>
    <row r="2728">
      <c r="A2728" s="18"/>
      <c r="B2728" s="14">
        <f>IFERROR(__xludf.DUMMYFUNCTION("""COMPUTED_VALUE"""),807800.0)</f>
        <v>807800</v>
      </c>
      <c r="C2728" s="14" t="str">
        <f>IFERROR(__xludf.DUMMYFUNCTION("""COMPUTED_VALUE"""),"許慈恩")</f>
        <v>許慈恩</v>
      </c>
      <c r="D2728" s="16" t="str">
        <f>IFERROR(__xludf.DUMMYFUNCTION("""COMPUTED_VALUE"""),"100*****ail2.khgs.tn.edu.tw")</f>
        <v>100*****ail2.khgs.tn.edu.tw</v>
      </c>
      <c r="E2728" s="17" t="str">
        <f>IFERROR(__xludf.DUMMYFUNCTION("""COMPUTED_VALUE"""),"臺南光華學校財團法人臺南市光華高級中學附設國中部")</f>
        <v>臺南光華學校財團法人臺南市光華高級中學附設國中部</v>
      </c>
      <c r="F2728" s="14" t="str">
        <f>IFERROR(__xludf.DUMMYFUNCTION("""COMPUTED_VALUE"""),"八年級")</f>
        <v>八年級</v>
      </c>
      <c r="G2728" s="14" t="str">
        <f>IFERROR(__xludf.DUMMYFUNCTION("""COMPUTED_VALUE"""),"●小禮物")</f>
        <v>●小禮物</v>
      </c>
      <c r="H2728" s="8"/>
    </row>
    <row r="2729">
      <c r="A2729" s="18"/>
      <c r="B2729" s="14">
        <f>IFERROR(__xludf.DUMMYFUNCTION("""COMPUTED_VALUE"""),807843.0)</f>
        <v>807843</v>
      </c>
      <c r="C2729" s="14" t="str">
        <f>IFERROR(__xludf.DUMMYFUNCTION("""COMPUTED_VALUE"""),"黃菫彤")</f>
        <v>黃菫彤</v>
      </c>
      <c r="D2729" s="16" t="str">
        <f>IFERROR(__xludf.DUMMYFUNCTION("""COMPUTED_VALUE"""),"100*****ail2.khgs.tn.edu.tw")</f>
        <v>100*****ail2.khgs.tn.edu.tw</v>
      </c>
      <c r="E2729" s="17" t="str">
        <f>IFERROR(__xludf.DUMMYFUNCTION("""COMPUTED_VALUE"""),"臺南光華學校財團法人臺南市光華高級中學附設國中部")</f>
        <v>臺南光華學校財團法人臺南市光華高級中學附設國中部</v>
      </c>
      <c r="F2729" s="14" t="str">
        <f>IFERROR(__xludf.DUMMYFUNCTION("""COMPUTED_VALUE"""),"八年級")</f>
        <v>八年級</v>
      </c>
      <c r="G2729" s="14" t="str">
        <f>IFERROR(__xludf.DUMMYFUNCTION("""COMPUTED_VALUE"""),"●小禮物")</f>
        <v>●小禮物</v>
      </c>
      <c r="H2729" s="8"/>
    </row>
    <row r="2730">
      <c r="A2730" s="18"/>
      <c r="B2730" s="14">
        <f>IFERROR(__xludf.DUMMYFUNCTION("""COMPUTED_VALUE"""),807907.0)</f>
        <v>807907</v>
      </c>
      <c r="C2730" s="14" t="str">
        <f>IFERROR(__xludf.DUMMYFUNCTION("""COMPUTED_VALUE"""),"薛凱璘")</f>
        <v>薛凱璘</v>
      </c>
      <c r="D2730" s="16" t="str">
        <f>IFERROR(__xludf.DUMMYFUNCTION("""COMPUTED_VALUE"""),"100*****ail2.khgs.tn.edu.tw")</f>
        <v>100*****ail2.khgs.tn.edu.tw</v>
      </c>
      <c r="E2730" s="17" t="str">
        <f>IFERROR(__xludf.DUMMYFUNCTION("""COMPUTED_VALUE"""),"臺南光華學校財團法人臺南市光華高級中學附設國中部")</f>
        <v>臺南光華學校財團法人臺南市光華高級中學附設國中部</v>
      </c>
      <c r="F2730" s="14" t="str">
        <f>IFERROR(__xludf.DUMMYFUNCTION("""COMPUTED_VALUE"""),"八年級")</f>
        <v>八年級</v>
      </c>
      <c r="G2730" s="14" t="str">
        <f>IFERROR(__xludf.DUMMYFUNCTION("""COMPUTED_VALUE"""),"●小禮物")</f>
        <v>●小禮物</v>
      </c>
      <c r="H2730" s="8"/>
    </row>
    <row r="2731">
      <c r="A2731" s="18"/>
      <c r="B2731" s="14">
        <f>IFERROR(__xludf.DUMMYFUNCTION("""COMPUTED_VALUE"""),809601.0)</f>
        <v>809601</v>
      </c>
      <c r="C2731" s="14" t="str">
        <f>IFERROR(__xludf.DUMMYFUNCTION("""COMPUTED_VALUE"""),"王以潼")</f>
        <v>王以潼</v>
      </c>
      <c r="D2731" s="16" t="str">
        <f>IFERROR(__xludf.DUMMYFUNCTION("""COMPUTED_VALUE"""),"100*****ail2.khgs.tn.edu.tw")</f>
        <v>100*****ail2.khgs.tn.edu.tw</v>
      </c>
      <c r="E2731" s="17" t="str">
        <f>IFERROR(__xludf.DUMMYFUNCTION("""COMPUTED_VALUE"""),"臺南光華學校財團法人臺南市光華高級中學附設國中部")</f>
        <v>臺南光華學校財團法人臺南市光華高級中學附設國中部</v>
      </c>
      <c r="F2731" s="14" t="str">
        <f>IFERROR(__xludf.DUMMYFUNCTION("""COMPUTED_VALUE"""),"八年級")</f>
        <v>八年級</v>
      </c>
      <c r="G2731" s="14" t="str">
        <f>IFERROR(__xludf.DUMMYFUNCTION("""COMPUTED_VALUE"""),"獎狀")</f>
        <v>獎狀</v>
      </c>
      <c r="H2731" s="8"/>
    </row>
    <row r="2732">
      <c r="A2732" s="18"/>
      <c r="B2732" s="14">
        <f>IFERROR(__xludf.DUMMYFUNCTION("""COMPUTED_VALUE"""),807840.0)</f>
        <v>807840</v>
      </c>
      <c r="C2732" s="14" t="str">
        <f>IFERROR(__xludf.DUMMYFUNCTION("""COMPUTED_VALUE"""),"胡嘉榆")</f>
        <v>胡嘉榆</v>
      </c>
      <c r="D2732" s="16" t="str">
        <f>IFERROR(__xludf.DUMMYFUNCTION("""COMPUTED_VALUE"""),"100*****ail2.khgs.tn.edu.tw")</f>
        <v>100*****ail2.khgs.tn.edu.tw</v>
      </c>
      <c r="E2732" s="17" t="str">
        <f>IFERROR(__xludf.DUMMYFUNCTION("""COMPUTED_VALUE"""),"臺南光華學校財團法人臺南市光華高級中學附設國中部")</f>
        <v>臺南光華學校財團法人臺南市光華高級中學附設國中部</v>
      </c>
      <c r="F2732" s="14" t="str">
        <f>IFERROR(__xludf.DUMMYFUNCTION("""COMPUTED_VALUE"""),"八年級")</f>
        <v>八年級</v>
      </c>
      <c r="G2732" s="14" t="str">
        <f>IFERROR(__xludf.DUMMYFUNCTION("""COMPUTED_VALUE"""),"獎狀")</f>
        <v>獎狀</v>
      </c>
      <c r="H2732" s="8"/>
    </row>
    <row r="2733">
      <c r="A2733" s="18"/>
      <c r="B2733" s="14">
        <f>IFERROR(__xludf.DUMMYFUNCTION("""COMPUTED_VALUE"""),807889.0)</f>
        <v>807889</v>
      </c>
      <c r="C2733" s="14" t="str">
        <f>IFERROR(__xludf.DUMMYFUNCTION("""COMPUTED_VALUE"""),"郭祐安")</f>
        <v>郭祐安</v>
      </c>
      <c r="D2733" s="16" t="str">
        <f>IFERROR(__xludf.DUMMYFUNCTION("""COMPUTED_VALUE"""),"100*****ail2.khgs.tn.edu.tw")</f>
        <v>100*****ail2.khgs.tn.edu.tw</v>
      </c>
      <c r="E2733" s="17" t="str">
        <f>IFERROR(__xludf.DUMMYFUNCTION("""COMPUTED_VALUE"""),"臺南光華學校財團法人臺南市光華高級中學附設國中部")</f>
        <v>臺南光華學校財團法人臺南市光華高級中學附設國中部</v>
      </c>
      <c r="F2733" s="14" t="str">
        <f>IFERROR(__xludf.DUMMYFUNCTION("""COMPUTED_VALUE"""),"八年級")</f>
        <v>八年級</v>
      </c>
      <c r="G2733" s="14" t="str">
        <f>IFERROR(__xludf.DUMMYFUNCTION("""COMPUTED_VALUE"""),"獎狀")</f>
        <v>獎狀</v>
      </c>
      <c r="H2733" s="8"/>
    </row>
    <row r="2734">
      <c r="A2734" s="18"/>
      <c r="B2734" s="14">
        <f>IFERROR(__xludf.DUMMYFUNCTION("""COMPUTED_VALUE"""),807834.0)</f>
        <v>807834</v>
      </c>
      <c r="C2734" s="14" t="str">
        <f>IFERROR(__xludf.DUMMYFUNCTION("""COMPUTED_VALUE"""),"鄭卉青")</f>
        <v>鄭卉青</v>
      </c>
      <c r="D2734" s="16" t="str">
        <f>IFERROR(__xludf.DUMMYFUNCTION("""COMPUTED_VALUE"""),"100*****ail2.khgs.tn.edu.tw")</f>
        <v>100*****ail2.khgs.tn.edu.tw</v>
      </c>
      <c r="E2734" s="17" t="str">
        <f>IFERROR(__xludf.DUMMYFUNCTION("""COMPUTED_VALUE"""),"臺南光華學校財團法人臺南市光華高級中學附設國中部")</f>
        <v>臺南光華學校財團法人臺南市光華高級中學附設國中部</v>
      </c>
      <c r="F2734" s="14" t="str">
        <f>IFERROR(__xludf.DUMMYFUNCTION("""COMPUTED_VALUE"""),"八年級")</f>
        <v>八年級</v>
      </c>
      <c r="G2734" s="14" t="str">
        <f>IFERROR(__xludf.DUMMYFUNCTION("""COMPUTED_VALUE"""),"獎狀")</f>
        <v>獎狀</v>
      </c>
      <c r="H2734" s="8"/>
    </row>
    <row r="2735">
      <c r="A2735" s="18"/>
      <c r="B2735" s="14">
        <f>IFERROR(__xludf.DUMMYFUNCTION("""COMPUTED_VALUE"""),864104.0)</f>
        <v>864104</v>
      </c>
      <c r="C2735" s="14" t="str">
        <f>IFERROR(__xludf.DUMMYFUNCTION("""COMPUTED_VALUE"""),"林依萱")</f>
        <v>林依萱</v>
      </c>
      <c r="D2735" s="16" t="str">
        <f>IFERROR(__xludf.DUMMYFUNCTION("""COMPUTED_VALUE"""),"100*****ail2.khgs.tn.edu.tw")</f>
        <v>100*****ail2.khgs.tn.edu.tw</v>
      </c>
      <c r="E2735" s="17" t="str">
        <f>IFERROR(__xludf.DUMMYFUNCTION("""COMPUTED_VALUE"""),"臺南光華學校財團法人臺南市光華高級中學附設國中部")</f>
        <v>臺南光華學校財團法人臺南市光華高級中學附設國中部</v>
      </c>
      <c r="F2735" s="14" t="str">
        <f>IFERROR(__xludf.DUMMYFUNCTION("""COMPUTED_VALUE"""),"八年級")</f>
        <v>八年級</v>
      </c>
      <c r="G2735" s="14" t="str">
        <f>IFERROR(__xludf.DUMMYFUNCTION("""COMPUTED_VALUE"""),"●小禮物")</f>
        <v>●小禮物</v>
      </c>
      <c r="H2735" s="8"/>
    </row>
    <row r="2736">
      <c r="A2736" s="18"/>
      <c r="B2736" s="14">
        <f>IFERROR(__xludf.DUMMYFUNCTION("""COMPUTED_VALUE"""),864925.0)</f>
        <v>864925</v>
      </c>
      <c r="C2736" s="14" t="str">
        <f>IFERROR(__xludf.DUMMYFUNCTION("""COMPUTED_VALUE"""),"張珈馨")</f>
        <v>張珈馨</v>
      </c>
      <c r="D2736" s="16" t="str">
        <f>IFERROR(__xludf.DUMMYFUNCTION("""COMPUTED_VALUE"""),"stu*****34@nkhs.tn.edu.tw")</f>
        <v>stu*****34@nkhs.tn.edu.tw</v>
      </c>
      <c r="E2736" s="17" t="str">
        <f>IFERROR(__xludf.DUMMYFUNCTION("""COMPUTED_VALUE"""),"臺南光華學校財團法人臺南市光華高級中學附設國中部")</f>
        <v>臺南光華學校財團法人臺南市光華高級中學附設國中部</v>
      </c>
      <c r="F2736" s="14" t="str">
        <f>IFERROR(__xludf.DUMMYFUNCTION("""COMPUTED_VALUE"""),"八年級")</f>
        <v>八年級</v>
      </c>
      <c r="G2736" s="14" t="str">
        <f>IFERROR(__xludf.DUMMYFUNCTION("""COMPUTED_VALUE"""),"●小禮物")</f>
        <v>●小禮物</v>
      </c>
      <c r="H2736" s="8"/>
    </row>
    <row r="2737">
      <c r="A2737" s="18"/>
      <c r="B2737" s="14">
        <f>IFERROR(__xludf.DUMMYFUNCTION("""COMPUTED_VALUE"""),209943.0)</f>
        <v>209943</v>
      </c>
      <c r="C2737" s="14" t="str">
        <f>IFERROR(__xludf.DUMMYFUNCTION("""COMPUTED_VALUE"""),"張澔瑜")</f>
        <v>張澔瑜</v>
      </c>
      <c r="D2737" s="16" t="str">
        <f>IFERROR(__xludf.DUMMYFUNCTION("""COMPUTED_VALUE"""),"hel*****is@hotmail.com")</f>
        <v>hel*****is@hotmail.com</v>
      </c>
      <c r="E2737" s="17" t="str">
        <f>IFERROR(__xludf.DUMMYFUNCTION("""COMPUTED_VALUE"""),"臺南市立復興國民中學")</f>
        <v>臺南市立復興國民中學</v>
      </c>
      <c r="F2737" s="14" t="str">
        <f>IFERROR(__xludf.DUMMYFUNCTION("""COMPUTED_VALUE"""),"七年級")</f>
        <v>七年級</v>
      </c>
      <c r="G2737" s="14" t="str">
        <f>IFERROR(__xludf.DUMMYFUNCTION("""COMPUTED_VALUE"""),"●小禮物")</f>
        <v>●小禮物</v>
      </c>
      <c r="H2737" s="8"/>
    </row>
    <row r="2738">
      <c r="A2738" s="18"/>
      <c r="B2738" s="14">
        <f>IFERROR(__xludf.DUMMYFUNCTION("""COMPUTED_VALUE"""),1164632.0)</f>
        <v>1164632</v>
      </c>
      <c r="C2738" s="14" t="str">
        <f>IFERROR(__xludf.DUMMYFUNCTION("""COMPUTED_VALUE"""),"蘇玹")</f>
        <v>蘇玹</v>
      </c>
      <c r="D2738" s="16" t="str">
        <f>IFERROR(__xludf.DUMMYFUNCTION("""COMPUTED_VALUE"""),"u11*****@ga.fhjh.tn.edu.tw")</f>
        <v>u11*****@ga.fhjh.tn.edu.tw</v>
      </c>
      <c r="E2738" s="17" t="str">
        <f>IFERROR(__xludf.DUMMYFUNCTION("""COMPUTED_VALUE"""),"臺南市立復興國民中學")</f>
        <v>臺南市立復興國民中學</v>
      </c>
      <c r="F2738" s="14" t="str">
        <f>IFERROR(__xludf.DUMMYFUNCTION("""COMPUTED_VALUE"""),"七年級")</f>
        <v>七年級</v>
      </c>
      <c r="G2738" s="14" t="str">
        <f>IFERROR(__xludf.DUMMYFUNCTION("""COMPUTED_VALUE"""),"獎狀")</f>
        <v>獎狀</v>
      </c>
      <c r="H2738" s="8"/>
    </row>
    <row r="2739">
      <c r="A2739" s="18"/>
      <c r="B2739" s="14">
        <f>IFERROR(__xludf.DUMMYFUNCTION("""COMPUTED_VALUE"""),319890.0)</f>
        <v>319890</v>
      </c>
      <c r="C2739" s="14" t="str">
        <f>IFERROR(__xludf.DUMMYFUNCTION("""COMPUTED_VALUE"""),"黃莛翰")</f>
        <v>黃莛翰</v>
      </c>
      <c r="D2739" s="16" t="str">
        <f>IFERROR(__xludf.DUMMYFUNCTION("""COMPUTED_VALUE"""),"st2*****9@mail.edu.tw")</f>
        <v>st2*****9@mail.edu.tw</v>
      </c>
      <c r="E2739" s="17" t="str">
        <f>IFERROR(__xludf.DUMMYFUNCTION("""COMPUTED_VALUE"""),"臺南市立復興國民中學")</f>
        <v>臺南市立復興國民中學</v>
      </c>
      <c r="F2739" s="14" t="str">
        <f>IFERROR(__xludf.DUMMYFUNCTION("""COMPUTED_VALUE"""),"七年級")</f>
        <v>七年級</v>
      </c>
      <c r="G2739" s="14" t="str">
        <f>IFERROR(__xludf.DUMMYFUNCTION("""COMPUTED_VALUE"""),"●小禮物")</f>
        <v>●小禮物</v>
      </c>
      <c r="H2739" s="8"/>
    </row>
    <row r="2740">
      <c r="A2740" s="18"/>
      <c r="B2740" s="14">
        <f>IFERROR(__xludf.DUMMYFUNCTION("""COMPUTED_VALUE"""),1174781.0)</f>
        <v>1174781</v>
      </c>
      <c r="C2740" s="14" t="str">
        <f>IFERROR(__xludf.DUMMYFUNCTION("""COMPUTED_VALUE"""),"劉欣恬")</f>
        <v>劉欣恬</v>
      </c>
      <c r="D2740" s="16" t="str">
        <f>IFERROR(__xludf.DUMMYFUNCTION("""COMPUTED_VALUE"""),"u11*****@ga.fhjh.tn.edu.tw")</f>
        <v>u11*****@ga.fhjh.tn.edu.tw</v>
      </c>
      <c r="E2740" s="17" t="str">
        <f>IFERROR(__xludf.DUMMYFUNCTION("""COMPUTED_VALUE"""),"臺南市立復興國民中學")</f>
        <v>臺南市立復興國民中學</v>
      </c>
      <c r="F2740" s="14" t="str">
        <f>IFERROR(__xludf.DUMMYFUNCTION("""COMPUTED_VALUE"""),"七年級")</f>
        <v>七年級</v>
      </c>
      <c r="G2740" s="14" t="str">
        <f>IFERROR(__xludf.DUMMYFUNCTION("""COMPUTED_VALUE"""),"●小禮物")</f>
        <v>●小禮物</v>
      </c>
      <c r="H2740" s="8"/>
    </row>
    <row r="2741">
      <c r="A2741" s="18"/>
      <c r="B2741" s="14">
        <f>IFERROR(__xludf.DUMMYFUNCTION("""COMPUTED_VALUE"""),1185783.0)</f>
        <v>1185783</v>
      </c>
      <c r="C2741" s="14" t="str">
        <f>IFERROR(__xludf.DUMMYFUNCTION("""COMPUTED_VALUE"""),"黃宥紳")</f>
        <v>黃宥紳</v>
      </c>
      <c r="D2741" s="16" t="str">
        <f>IFERROR(__xludf.DUMMYFUNCTION("""COMPUTED_VALUE"""),"u11*****@ga.fhjh.tn.edu.tw")</f>
        <v>u11*****@ga.fhjh.tn.edu.tw</v>
      </c>
      <c r="E2741" s="17" t="str">
        <f>IFERROR(__xludf.DUMMYFUNCTION("""COMPUTED_VALUE"""),"臺南市立復興國民中學")</f>
        <v>臺南市立復興國民中學</v>
      </c>
      <c r="F2741" s="14" t="str">
        <f>IFERROR(__xludf.DUMMYFUNCTION("""COMPUTED_VALUE"""),"七年級")</f>
        <v>七年級</v>
      </c>
      <c r="G2741" s="14" t="str">
        <f>IFERROR(__xludf.DUMMYFUNCTION("""COMPUTED_VALUE"""),"●小禮物")</f>
        <v>●小禮物</v>
      </c>
      <c r="H2741" s="8"/>
    </row>
    <row r="2742">
      <c r="A2742" s="18"/>
      <c r="B2742" s="14">
        <f>IFERROR(__xludf.DUMMYFUNCTION("""COMPUTED_VALUE"""),1185796.0)</f>
        <v>1185796</v>
      </c>
      <c r="C2742" s="14" t="str">
        <f>IFERROR(__xludf.DUMMYFUNCTION("""COMPUTED_VALUE"""),"許藍云")</f>
        <v>許藍云</v>
      </c>
      <c r="D2742" s="16" t="str">
        <f>IFERROR(__xludf.DUMMYFUNCTION("""COMPUTED_VALUE"""),"u11*****@ga.fhjh.tn.edu.tw")</f>
        <v>u11*****@ga.fhjh.tn.edu.tw</v>
      </c>
      <c r="E2742" s="17" t="str">
        <f>IFERROR(__xludf.DUMMYFUNCTION("""COMPUTED_VALUE"""),"臺南市立復興國民中學")</f>
        <v>臺南市立復興國民中學</v>
      </c>
      <c r="F2742" s="14" t="str">
        <f>IFERROR(__xludf.DUMMYFUNCTION("""COMPUTED_VALUE"""),"七年級")</f>
        <v>七年級</v>
      </c>
      <c r="G2742" s="14" t="str">
        <f>IFERROR(__xludf.DUMMYFUNCTION("""COMPUTED_VALUE"""),"獎狀")</f>
        <v>獎狀</v>
      </c>
      <c r="H2742" s="8"/>
    </row>
    <row r="2743">
      <c r="A2743" s="18"/>
      <c r="B2743" s="14">
        <f>IFERROR(__xludf.DUMMYFUNCTION("""COMPUTED_VALUE"""),1185736.0)</f>
        <v>1185736</v>
      </c>
      <c r="C2743" s="14" t="str">
        <f>IFERROR(__xludf.DUMMYFUNCTION("""COMPUTED_VALUE"""),"羅秉承")</f>
        <v>羅秉承</v>
      </c>
      <c r="D2743" s="16" t="str">
        <f>IFERROR(__xludf.DUMMYFUNCTION("""COMPUTED_VALUE"""),"u11*****@ga.fhjh.tn.edu.tw")</f>
        <v>u11*****@ga.fhjh.tn.edu.tw</v>
      </c>
      <c r="E2743" s="17" t="str">
        <f>IFERROR(__xludf.DUMMYFUNCTION("""COMPUTED_VALUE"""),"臺南市立復興國民中學")</f>
        <v>臺南市立復興國民中學</v>
      </c>
      <c r="F2743" s="14" t="str">
        <f>IFERROR(__xludf.DUMMYFUNCTION("""COMPUTED_VALUE"""),"七年級")</f>
        <v>七年級</v>
      </c>
      <c r="G2743" s="14" t="str">
        <f>IFERROR(__xludf.DUMMYFUNCTION("""COMPUTED_VALUE"""),"獎狀")</f>
        <v>獎狀</v>
      </c>
      <c r="H2743" s="8"/>
    </row>
    <row r="2744">
      <c r="A2744" s="18"/>
      <c r="B2744" s="14">
        <f>IFERROR(__xludf.DUMMYFUNCTION("""COMPUTED_VALUE"""),932662.0)</f>
        <v>932662</v>
      </c>
      <c r="C2744" s="14" t="str">
        <f>IFERROR(__xludf.DUMMYFUNCTION("""COMPUTED_VALUE"""),"翁政鈞")</f>
        <v>翁政鈞</v>
      </c>
      <c r="D2744" s="16" t="str">
        <f>IFERROR(__xludf.DUMMYFUNCTION("""COMPUTED_VALUE"""),"u11*****@ga.fhjh.tn.edu.tw")</f>
        <v>u11*****@ga.fhjh.tn.edu.tw</v>
      </c>
      <c r="E2744" s="17" t="str">
        <f>IFERROR(__xludf.DUMMYFUNCTION("""COMPUTED_VALUE"""),"臺南市立復興國民中學")</f>
        <v>臺南市立復興國民中學</v>
      </c>
      <c r="F2744" s="14" t="str">
        <f>IFERROR(__xludf.DUMMYFUNCTION("""COMPUTED_VALUE"""),"八年級")</f>
        <v>八年級</v>
      </c>
      <c r="G2744" s="14" t="str">
        <f>IFERROR(__xludf.DUMMYFUNCTION("""COMPUTED_VALUE"""),"●小禮物")</f>
        <v>●小禮物</v>
      </c>
      <c r="H2744" s="8"/>
    </row>
    <row r="2745">
      <c r="A2745" s="18"/>
      <c r="B2745" s="14">
        <f>IFERROR(__xludf.DUMMYFUNCTION("""COMPUTED_VALUE"""),940232.0)</f>
        <v>940232</v>
      </c>
      <c r="C2745" s="14" t="str">
        <f>IFERROR(__xludf.DUMMYFUNCTION("""COMPUTED_VALUE"""),"陳思宇")</f>
        <v>陳思宇</v>
      </c>
      <c r="D2745" s="16" t="str">
        <f>IFERROR(__xludf.DUMMYFUNCTION("""COMPUTED_VALUE"""),"u11*****@ga.fhjh.tn.edu.tw")</f>
        <v>u11*****@ga.fhjh.tn.edu.tw</v>
      </c>
      <c r="E2745" s="17" t="str">
        <f>IFERROR(__xludf.DUMMYFUNCTION("""COMPUTED_VALUE"""),"臺南市立復興國民中學")</f>
        <v>臺南市立復興國民中學</v>
      </c>
      <c r="F2745" s="14" t="str">
        <f>IFERROR(__xludf.DUMMYFUNCTION("""COMPUTED_VALUE"""),"八年級")</f>
        <v>八年級</v>
      </c>
      <c r="G2745" s="14" t="str">
        <f>IFERROR(__xludf.DUMMYFUNCTION("""COMPUTED_VALUE"""),"●小禮物")</f>
        <v>●小禮物</v>
      </c>
      <c r="H2745" s="8"/>
    </row>
    <row r="2746">
      <c r="A2746" s="18"/>
      <c r="B2746" s="14">
        <f>IFERROR(__xludf.DUMMYFUNCTION("""COMPUTED_VALUE"""),933996.0)</f>
        <v>933996</v>
      </c>
      <c r="C2746" s="14" t="str">
        <f>IFERROR(__xludf.DUMMYFUNCTION("""COMPUTED_VALUE"""),"陸威錡")</f>
        <v>陸威錡</v>
      </c>
      <c r="D2746" s="16" t="str">
        <f>IFERROR(__xludf.DUMMYFUNCTION("""COMPUTED_VALUE"""),"u11*****@ga.fhjh.tn.edu.tw")</f>
        <v>u11*****@ga.fhjh.tn.edu.tw</v>
      </c>
      <c r="E2746" s="17" t="str">
        <f>IFERROR(__xludf.DUMMYFUNCTION("""COMPUTED_VALUE"""),"臺南市立復興國民中學")</f>
        <v>臺南市立復興國民中學</v>
      </c>
      <c r="F2746" s="14" t="str">
        <f>IFERROR(__xludf.DUMMYFUNCTION("""COMPUTED_VALUE"""),"八年級")</f>
        <v>八年級</v>
      </c>
      <c r="G2746" s="14" t="str">
        <f>IFERROR(__xludf.DUMMYFUNCTION("""COMPUTED_VALUE"""),"●小禮物")</f>
        <v>●小禮物</v>
      </c>
      <c r="H2746" s="8"/>
    </row>
    <row r="2747">
      <c r="A2747" s="18"/>
      <c r="B2747" s="14">
        <f>IFERROR(__xludf.DUMMYFUNCTION("""COMPUTED_VALUE"""),940222.0)</f>
        <v>940222</v>
      </c>
      <c r="C2747" s="14" t="str">
        <f>IFERROR(__xludf.DUMMYFUNCTION("""COMPUTED_VALUE"""),"鄭允掄")</f>
        <v>鄭允掄</v>
      </c>
      <c r="D2747" s="16" t="str">
        <f>IFERROR(__xludf.DUMMYFUNCTION("""COMPUTED_VALUE"""),"u11*****@ga.fhjh.tn.edu.tw")</f>
        <v>u11*****@ga.fhjh.tn.edu.tw</v>
      </c>
      <c r="E2747" s="17" t="str">
        <f>IFERROR(__xludf.DUMMYFUNCTION("""COMPUTED_VALUE"""),"臺南市立復興國民中學")</f>
        <v>臺南市立復興國民中學</v>
      </c>
      <c r="F2747" s="14" t="str">
        <f>IFERROR(__xludf.DUMMYFUNCTION("""COMPUTED_VALUE"""),"八年級")</f>
        <v>八年級</v>
      </c>
      <c r="G2747" s="14" t="str">
        <f>IFERROR(__xludf.DUMMYFUNCTION("""COMPUTED_VALUE"""),"●小禮物")</f>
        <v>●小禮物</v>
      </c>
      <c r="H2747" s="8"/>
    </row>
    <row r="2748">
      <c r="A2748" s="18"/>
      <c r="B2748" s="14">
        <f>IFERROR(__xludf.DUMMYFUNCTION("""COMPUTED_VALUE"""),932685.0)</f>
        <v>932685</v>
      </c>
      <c r="C2748" s="14" t="str">
        <f>IFERROR(__xludf.DUMMYFUNCTION("""COMPUTED_VALUE"""),"鄭郁蓁")</f>
        <v>鄭郁蓁</v>
      </c>
      <c r="D2748" s="16" t="str">
        <f>IFERROR(__xludf.DUMMYFUNCTION("""COMPUTED_VALUE"""),"u11*****@ga.fhjh.tn.edu.tw")</f>
        <v>u11*****@ga.fhjh.tn.edu.tw</v>
      </c>
      <c r="E2748" s="17" t="str">
        <f>IFERROR(__xludf.DUMMYFUNCTION("""COMPUTED_VALUE"""),"臺南市立復興國民中學")</f>
        <v>臺南市立復興國民中學</v>
      </c>
      <c r="F2748" s="14" t="str">
        <f>IFERROR(__xludf.DUMMYFUNCTION("""COMPUTED_VALUE"""),"八年級")</f>
        <v>八年級</v>
      </c>
      <c r="G2748" s="14" t="str">
        <f>IFERROR(__xludf.DUMMYFUNCTION("""COMPUTED_VALUE"""),"●小禮物")</f>
        <v>●小禮物</v>
      </c>
      <c r="H2748" s="8"/>
    </row>
    <row r="2749">
      <c r="A2749" s="18"/>
      <c r="B2749" s="14">
        <f>IFERROR(__xludf.DUMMYFUNCTION("""COMPUTED_VALUE"""),926279.0)</f>
        <v>926279</v>
      </c>
      <c r="C2749" s="14" t="str">
        <f>IFERROR(__xludf.DUMMYFUNCTION("""COMPUTED_VALUE"""),"馬圓容")</f>
        <v>馬圓容</v>
      </c>
      <c r="D2749" s="16" t="str">
        <f>IFERROR(__xludf.DUMMYFUNCTION("""COMPUTED_VALUE"""),"u11*****@ga.fhjh.tn.edu.tw")</f>
        <v>u11*****@ga.fhjh.tn.edu.tw</v>
      </c>
      <c r="E2749" s="17" t="str">
        <f>IFERROR(__xludf.DUMMYFUNCTION("""COMPUTED_VALUE"""),"臺南市立復興國民中學")</f>
        <v>臺南市立復興國民中學</v>
      </c>
      <c r="F2749" s="14" t="str">
        <f>IFERROR(__xludf.DUMMYFUNCTION("""COMPUTED_VALUE"""),"八年級")</f>
        <v>八年級</v>
      </c>
      <c r="G2749" s="14" t="str">
        <f>IFERROR(__xludf.DUMMYFUNCTION("""COMPUTED_VALUE"""),"★禮券$200")</f>
        <v>★禮券$200</v>
      </c>
      <c r="H2749" s="8"/>
    </row>
    <row r="2750">
      <c r="A2750" s="18"/>
      <c r="B2750" s="14">
        <f>IFERROR(__xludf.DUMMYFUNCTION("""COMPUTED_VALUE"""),922690.0)</f>
        <v>922690</v>
      </c>
      <c r="C2750" s="14" t="str">
        <f>IFERROR(__xludf.DUMMYFUNCTION("""COMPUTED_VALUE"""),"張可昕")</f>
        <v>張可昕</v>
      </c>
      <c r="D2750" s="16" t="str">
        <f>IFERROR(__xludf.DUMMYFUNCTION("""COMPUTED_VALUE"""),"u11*****@ga.fhjh.tn.edu.tw")</f>
        <v>u11*****@ga.fhjh.tn.edu.tw</v>
      </c>
      <c r="E2750" s="17" t="str">
        <f>IFERROR(__xludf.DUMMYFUNCTION("""COMPUTED_VALUE"""),"臺南市立復興國民中學")</f>
        <v>臺南市立復興國民中學</v>
      </c>
      <c r="F2750" s="14" t="str">
        <f>IFERROR(__xludf.DUMMYFUNCTION("""COMPUTED_VALUE"""),"八年級")</f>
        <v>八年級</v>
      </c>
      <c r="G2750" s="14" t="str">
        <f>IFERROR(__xludf.DUMMYFUNCTION("""COMPUTED_VALUE"""),"★禮券$200")</f>
        <v>★禮券$200</v>
      </c>
      <c r="H2750" s="8"/>
    </row>
    <row r="2751">
      <c r="A2751" s="18"/>
      <c r="B2751" s="14">
        <f>IFERROR(__xludf.DUMMYFUNCTION("""COMPUTED_VALUE"""),929847.0)</f>
        <v>929847</v>
      </c>
      <c r="C2751" s="14" t="str">
        <f>IFERROR(__xludf.DUMMYFUNCTION("""COMPUTED_VALUE"""),"鍾艾")</f>
        <v>鍾艾</v>
      </c>
      <c r="D2751" s="16" t="str">
        <f>IFERROR(__xludf.DUMMYFUNCTION("""COMPUTED_VALUE"""),"u11*****@ga.fhjh.tn.edu.tw")</f>
        <v>u11*****@ga.fhjh.tn.edu.tw</v>
      </c>
      <c r="E2751" s="17" t="str">
        <f>IFERROR(__xludf.DUMMYFUNCTION("""COMPUTED_VALUE"""),"臺南市立復興國民中學")</f>
        <v>臺南市立復興國民中學</v>
      </c>
      <c r="F2751" s="14" t="str">
        <f>IFERROR(__xludf.DUMMYFUNCTION("""COMPUTED_VALUE"""),"八年級")</f>
        <v>八年級</v>
      </c>
      <c r="G2751" s="14" t="str">
        <f>IFERROR(__xludf.DUMMYFUNCTION("""COMPUTED_VALUE"""),"★禮券$200")</f>
        <v>★禮券$200</v>
      </c>
      <c r="H2751" s="8"/>
    </row>
    <row r="2752">
      <c r="A2752" s="18"/>
      <c r="B2752" s="14">
        <f>IFERROR(__xludf.DUMMYFUNCTION("""COMPUTED_VALUE"""),933579.0)</f>
        <v>933579</v>
      </c>
      <c r="C2752" s="14" t="str">
        <f>IFERROR(__xludf.DUMMYFUNCTION("""COMPUTED_VALUE"""),"方建淼")</f>
        <v>方建淼</v>
      </c>
      <c r="D2752" s="16" t="str">
        <f>IFERROR(__xludf.DUMMYFUNCTION("""COMPUTED_VALUE"""),"u11*****@ga.fhjh.tn.edu.tw")</f>
        <v>u11*****@ga.fhjh.tn.edu.tw</v>
      </c>
      <c r="E2752" s="17" t="str">
        <f>IFERROR(__xludf.DUMMYFUNCTION("""COMPUTED_VALUE"""),"臺南市立復興國民中學")</f>
        <v>臺南市立復興國民中學</v>
      </c>
      <c r="F2752" s="14" t="str">
        <f>IFERROR(__xludf.DUMMYFUNCTION("""COMPUTED_VALUE"""),"八年級")</f>
        <v>八年級</v>
      </c>
      <c r="G2752" s="14" t="str">
        <f>IFERROR(__xludf.DUMMYFUNCTION("""COMPUTED_VALUE"""),"獎狀")</f>
        <v>獎狀</v>
      </c>
      <c r="H2752" s="8"/>
    </row>
    <row r="2753">
      <c r="A2753" s="18"/>
      <c r="B2753" s="14">
        <f>IFERROR(__xludf.DUMMYFUNCTION("""COMPUTED_VALUE"""),922826.0)</f>
        <v>922826</v>
      </c>
      <c r="C2753" s="14" t="str">
        <f>IFERROR(__xludf.DUMMYFUNCTION("""COMPUTED_VALUE"""),"余采姸")</f>
        <v>余采姸</v>
      </c>
      <c r="D2753" s="16" t="str">
        <f>IFERROR(__xludf.DUMMYFUNCTION("""COMPUTED_VALUE"""),"u11*****@ga.fhjh.tn.edu.tw")</f>
        <v>u11*****@ga.fhjh.tn.edu.tw</v>
      </c>
      <c r="E2753" s="17" t="str">
        <f>IFERROR(__xludf.DUMMYFUNCTION("""COMPUTED_VALUE"""),"臺南市立復興國民中學")</f>
        <v>臺南市立復興國民中學</v>
      </c>
      <c r="F2753" s="14" t="str">
        <f>IFERROR(__xludf.DUMMYFUNCTION("""COMPUTED_VALUE"""),"八年級")</f>
        <v>八年級</v>
      </c>
      <c r="G2753" s="14" t="str">
        <f>IFERROR(__xludf.DUMMYFUNCTION("""COMPUTED_VALUE"""),"獎狀")</f>
        <v>獎狀</v>
      </c>
      <c r="H2753" s="8"/>
    </row>
    <row r="2754">
      <c r="A2754" s="18"/>
      <c r="B2754" s="14">
        <f>IFERROR(__xludf.DUMMYFUNCTION("""COMPUTED_VALUE"""),926338.0)</f>
        <v>926338</v>
      </c>
      <c r="C2754" s="14" t="str">
        <f>IFERROR(__xludf.DUMMYFUNCTION("""COMPUTED_VALUE"""),"汪宸緯")</f>
        <v>汪宸緯</v>
      </c>
      <c r="D2754" s="16" t="str">
        <f>IFERROR(__xludf.DUMMYFUNCTION("""COMPUTED_VALUE"""),"u11*****@ga.fhjh.tn.edu.tw")</f>
        <v>u11*****@ga.fhjh.tn.edu.tw</v>
      </c>
      <c r="E2754" s="17" t="str">
        <f>IFERROR(__xludf.DUMMYFUNCTION("""COMPUTED_VALUE"""),"臺南市立復興國民中學")</f>
        <v>臺南市立復興國民中學</v>
      </c>
      <c r="F2754" s="14" t="str">
        <f>IFERROR(__xludf.DUMMYFUNCTION("""COMPUTED_VALUE"""),"八年級")</f>
        <v>八年級</v>
      </c>
      <c r="G2754" s="14" t="str">
        <f>IFERROR(__xludf.DUMMYFUNCTION("""COMPUTED_VALUE"""),"獎狀")</f>
        <v>獎狀</v>
      </c>
      <c r="H2754" s="8"/>
    </row>
    <row r="2755">
      <c r="A2755" s="18"/>
      <c r="B2755" s="14">
        <f>IFERROR(__xludf.DUMMYFUNCTION("""COMPUTED_VALUE"""),935093.0)</f>
        <v>935093</v>
      </c>
      <c r="C2755" s="14" t="str">
        <f>IFERROR(__xludf.DUMMYFUNCTION("""COMPUTED_VALUE"""),"姜秉毅")</f>
        <v>姜秉毅</v>
      </c>
      <c r="D2755" s="16" t="str">
        <f>IFERROR(__xludf.DUMMYFUNCTION("""COMPUTED_VALUE"""),"u11*****@ga.fhjh.tn.edu.tw")</f>
        <v>u11*****@ga.fhjh.tn.edu.tw</v>
      </c>
      <c r="E2755" s="17" t="str">
        <f>IFERROR(__xludf.DUMMYFUNCTION("""COMPUTED_VALUE"""),"臺南市立復興國民中學")</f>
        <v>臺南市立復興國民中學</v>
      </c>
      <c r="F2755" s="14" t="str">
        <f>IFERROR(__xludf.DUMMYFUNCTION("""COMPUTED_VALUE"""),"八年級")</f>
        <v>八年級</v>
      </c>
      <c r="G2755" s="14" t="str">
        <f>IFERROR(__xludf.DUMMYFUNCTION("""COMPUTED_VALUE"""),"獎狀")</f>
        <v>獎狀</v>
      </c>
      <c r="H2755" s="8"/>
    </row>
    <row r="2756">
      <c r="A2756" s="18"/>
      <c r="B2756" s="14">
        <f>IFERROR(__xludf.DUMMYFUNCTION("""COMPUTED_VALUE"""),936104.0)</f>
        <v>936104</v>
      </c>
      <c r="C2756" s="14" t="str">
        <f>IFERROR(__xludf.DUMMYFUNCTION("""COMPUTED_VALUE"""),"徐立廷")</f>
        <v>徐立廷</v>
      </c>
      <c r="D2756" s="16" t="str">
        <f>IFERROR(__xludf.DUMMYFUNCTION("""COMPUTED_VALUE"""),"u11*****@ga.fhjh.tn.edu.tw")</f>
        <v>u11*****@ga.fhjh.tn.edu.tw</v>
      </c>
      <c r="E2756" s="17" t="str">
        <f>IFERROR(__xludf.DUMMYFUNCTION("""COMPUTED_VALUE"""),"臺南市立復興國民中學")</f>
        <v>臺南市立復興國民中學</v>
      </c>
      <c r="F2756" s="14" t="str">
        <f>IFERROR(__xludf.DUMMYFUNCTION("""COMPUTED_VALUE"""),"八年級")</f>
        <v>八年級</v>
      </c>
      <c r="G2756" s="14" t="str">
        <f>IFERROR(__xludf.DUMMYFUNCTION("""COMPUTED_VALUE"""),"獎狀")</f>
        <v>獎狀</v>
      </c>
      <c r="H2756" s="8"/>
    </row>
    <row r="2757">
      <c r="A2757" s="18"/>
      <c r="B2757" s="14">
        <f>IFERROR(__xludf.DUMMYFUNCTION("""COMPUTED_VALUE"""),932825.0)</f>
        <v>932825</v>
      </c>
      <c r="C2757" s="14" t="str">
        <f>IFERROR(__xludf.DUMMYFUNCTION("""COMPUTED_VALUE"""),"陳又嘉")</f>
        <v>陳又嘉</v>
      </c>
      <c r="D2757" s="16" t="str">
        <f>IFERROR(__xludf.DUMMYFUNCTION("""COMPUTED_VALUE"""),"u11*****@ga.fhjh.tn.edu.tw")</f>
        <v>u11*****@ga.fhjh.tn.edu.tw</v>
      </c>
      <c r="E2757" s="17" t="str">
        <f>IFERROR(__xludf.DUMMYFUNCTION("""COMPUTED_VALUE"""),"臺南市立復興國民中學")</f>
        <v>臺南市立復興國民中學</v>
      </c>
      <c r="F2757" s="14" t="str">
        <f>IFERROR(__xludf.DUMMYFUNCTION("""COMPUTED_VALUE"""),"八年級")</f>
        <v>八年級</v>
      </c>
      <c r="G2757" s="14" t="str">
        <f>IFERROR(__xludf.DUMMYFUNCTION("""COMPUTED_VALUE"""),"獎狀")</f>
        <v>獎狀</v>
      </c>
      <c r="H2757" s="8"/>
    </row>
    <row r="2758">
      <c r="A2758" s="18"/>
      <c r="B2758" s="14">
        <f>IFERROR(__xludf.DUMMYFUNCTION("""COMPUTED_VALUE"""),933476.0)</f>
        <v>933476</v>
      </c>
      <c r="C2758" s="14" t="str">
        <f>IFERROR(__xludf.DUMMYFUNCTION("""COMPUTED_VALUE"""),"黃家穎")</f>
        <v>黃家穎</v>
      </c>
      <c r="D2758" s="16" t="str">
        <f>IFERROR(__xludf.DUMMYFUNCTION("""COMPUTED_VALUE"""),"u11*****@ga.fhjh.tn.edu.tw")</f>
        <v>u11*****@ga.fhjh.tn.edu.tw</v>
      </c>
      <c r="E2758" s="17" t="str">
        <f>IFERROR(__xludf.DUMMYFUNCTION("""COMPUTED_VALUE"""),"臺南市立復興國民中學")</f>
        <v>臺南市立復興國民中學</v>
      </c>
      <c r="F2758" s="14" t="str">
        <f>IFERROR(__xludf.DUMMYFUNCTION("""COMPUTED_VALUE"""),"八年級")</f>
        <v>八年級</v>
      </c>
      <c r="G2758" s="14" t="str">
        <f>IFERROR(__xludf.DUMMYFUNCTION("""COMPUTED_VALUE"""),"獎狀")</f>
        <v>獎狀</v>
      </c>
      <c r="H2758" s="8"/>
    </row>
    <row r="2759">
      <c r="A2759" s="18"/>
      <c r="B2759" s="14">
        <f>IFERROR(__xludf.DUMMYFUNCTION("""COMPUTED_VALUE"""),932713.0)</f>
        <v>932713</v>
      </c>
      <c r="C2759" s="14" t="str">
        <f>IFERROR(__xludf.DUMMYFUNCTION("""COMPUTED_VALUE"""),"劉承穎")</f>
        <v>劉承穎</v>
      </c>
      <c r="D2759" s="16" t="str">
        <f>IFERROR(__xludf.DUMMYFUNCTION("""COMPUTED_VALUE"""),"u11*****@ga.fhjh.tn.edu.tw")</f>
        <v>u11*****@ga.fhjh.tn.edu.tw</v>
      </c>
      <c r="E2759" s="17" t="str">
        <f>IFERROR(__xludf.DUMMYFUNCTION("""COMPUTED_VALUE"""),"臺南市立復興國民中學")</f>
        <v>臺南市立復興國民中學</v>
      </c>
      <c r="F2759" s="14" t="str">
        <f>IFERROR(__xludf.DUMMYFUNCTION("""COMPUTED_VALUE"""),"八年級")</f>
        <v>八年級</v>
      </c>
      <c r="G2759" s="14" t="str">
        <f>IFERROR(__xludf.DUMMYFUNCTION("""COMPUTED_VALUE"""),"獎狀")</f>
        <v>獎狀</v>
      </c>
      <c r="H2759" s="8"/>
    </row>
    <row r="2760">
      <c r="A2760" s="18"/>
      <c r="B2760" s="14">
        <f>IFERROR(__xludf.DUMMYFUNCTION("""COMPUTED_VALUE"""),1034726.0)</f>
        <v>1034726</v>
      </c>
      <c r="C2760" s="14" t="str">
        <f>IFERROR(__xludf.DUMMYFUNCTION("""COMPUTED_VALUE"""),"蘇禹忻")</f>
        <v>蘇禹忻</v>
      </c>
      <c r="D2760" s="16" t="str">
        <f>IFERROR(__xludf.DUMMYFUNCTION("""COMPUTED_VALUE"""),"u11*****@ga.fhjh.tn.edu.tw")</f>
        <v>u11*****@ga.fhjh.tn.edu.tw</v>
      </c>
      <c r="E2760" s="17" t="str">
        <f>IFERROR(__xludf.DUMMYFUNCTION("""COMPUTED_VALUE"""),"臺南市立復興國民中學")</f>
        <v>臺南市立復興國民中學</v>
      </c>
      <c r="F2760" s="14" t="str">
        <f>IFERROR(__xludf.DUMMYFUNCTION("""COMPUTED_VALUE"""),"八年級")</f>
        <v>八年級</v>
      </c>
      <c r="G2760" s="14" t="str">
        <f>IFERROR(__xludf.DUMMYFUNCTION("""COMPUTED_VALUE"""),"獎狀")</f>
        <v>獎狀</v>
      </c>
      <c r="H2760" s="8"/>
    </row>
    <row r="2761">
      <c r="A2761" s="18"/>
      <c r="B2761" s="14">
        <f>IFERROR(__xludf.DUMMYFUNCTION("""COMPUTED_VALUE"""),1039062.0)</f>
        <v>1039062</v>
      </c>
      <c r="C2761" s="14" t="str">
        <f>IFERROR(__xludf.DUMMYFUNCTION("""COMPUTED_VALUE"""),"蘇芷妘")</f>
        <v>蘇芷妘</v>
      </c>
      <c r="D2761" s="16" t="str">
        <f>IFERROR(__xludf.DUMMYFUNCTION("""COMPUTED_VALUE"""),"u10*****@ga.fhjh.tn.edu.tw")</f>
        <v>u10*****@ga.fhjh.tn.edu.tw</v>
      </c>
      <c r="E2761" s="17" t="str">
        <f>IFERROR(__xludf.DUMMYFUNCTION("""COMPUTED_VALUE"""),"臺南市立復興國民中學")</f>
        <v>臺南市立復興國民中學</v>
      </c>
      <c r="F2761" s="14" t="str">
        <f>IFERROR(__xludf.DUMMYFUNCTION("""COMPUTED_VALUE"""),"九年級")</f>
        <v>九年級</v>
      </c>
      <c r="G2761" s="14" t="str">
        <f>IFERROR(__xludf.DUMMYFUNCTION("""COMPUTED_VALUE"""),"●小禮物")</f>
        <v>●小禮物</v>
      </c>
      <c r="H2761" s="8"/>
    </row>
    <row r="2762">
      <c r="A2762" s="18"/>
      <c r="B2762" s="14">
        <f>IFERROR(__xludf.DUMMYFUNCTION("""COMPUTED_VALUE"""),475598.0)</f>
        <v>475598</v>
      </c>
      <c r="C2762" s="14" t="str">
        <f>IFERROR(__xludf.DUMMYFUNCTION("""COMPUTED_VALUE"""),"陳秉宏")</f>
        <v>陳秉宏</v>
      </c>
      <c r="D2762" s="16" t="str">
        <f>IFERROR(__xludf.DUMMYFUNCTION("""COMPUTED_VALUE"""),"u10*****@ga.fhjh.tn.edu.tw")</f>
        <v>u10*****@ga.fhjh.tn.edu.tw</v>
      </c>
      <c r="E2762" s="17" t="str">
        <f>IFERROR(__xludf.DUMMYFUNCTION("""COMPUTED_VALUE"""),"臺南市立復興國民中學")</f>
        <v>臺南市立復興國民中學</v>
      </c>
      <c r="F2762" s="14" t="str">
        <f>IFERROR(__xludf.DUMMYFUNCTION("""COMPUTED_VALUE"""),"九年級")</f>
        <v>九年級</v>
      </c>
      <c r="G2762" s="14" t="str">
        <f>IFERROR(__xludf.DUMMYFUNCTION("""COMPUTED_VALUE"""),"●小禮物")</f>
        <v>●小禮物</v>
      </c>
      <c r="H2762" s="8"/>
    </row>
    <row r="2763">
      <c r="A2763" s="18"/>
      <c r="B2763" s="14">
        <f>IFERROR(__xludf.DUMMYFUNCTION("""COMPUTED_VALUE"""),733204.0)</f>
        <v>733204</v>
      </c>
      <c r="C2763" s="14" t="str">
        <f>IFERROR(__xludf.DUMMYFUNCTION("""COMPUTED_VALUE"""),"吳珉薰")</f>
        <v>吳珉薰</v>
      </c>
      <c r="D2763" s="16" t="str">
        <f>IFERROR(__xludf.DUMMYFUNCTION("""COMPUTED_VALUE"""),"tin*****@mail.edu.tw")</f>
        <v>tin*****@mail.edu.tw</v>
      </c>
      <c r="E2763" s="17" t="str">
        <f>IFERROR(__xludf.DUMMYFUNCTION("""COMPUTED_VALUE"""),"臺南市立復興國民中學")</f>
        <v>臺南市立復興國民中學</v>
      </c>
      <c r="F2763" s="14" t="str">
        <f>IFERROR(__xludf.DUMMYFUNCTION("""COMPUTED_VALUE"""),"九年級")</f>
        <v>九年級</v>
      </c>
      <c r="G2763" s="14" t="str">
        <f>IFERROR(__xludf.DUMMYFUNCTION("""COMPUTED_VALUE"""),"●小禮物")</f>
        <v>●小禮物</v>
      </c>
      <c r="H2763" s="8"/>
    </row>
    <row r="2764">
      <c r="A2764" s="18"/>
      <c r="B2764" s="14">
        <f>IFERROR(__xludf.DUMMYFUNCTION("""COMPUTED_VALUE"""),599716.0)</f>
        <v>599716</v>
      </c>
      <c r="C2764" s="14" t="str">
        <f>IFERROR(__xludf.DUMMYFUNCTION("""COMPUTED_VALUE"""),"陳柏佑")</f>
        <v>陳柏佑</v>
      </c>
      <c r="D2764" s="16" t="str">
        <f>IFERROR(__xludf.DUMMYFUNCTION("""COMPUTED_VALUE"""),"u10*****@ga.fhjh.tn.edu.tw")</f>
        <v>u10*****@ga.fhjh.tn.edu.tw</v>
      </c>
      <c r="E2764" s="17" t="str">
        <f>IFERROR(__xludf.DUMMYFUNCTION("""COMPUTED_VALUE"""),"臺南市立復興國民中學")</f>
        <v>臺南市立復興國民中學</v>
      </c>
      <c r="F2764" s="14" t="str">
        <f>IFERROR(__xludf.DUMMYFUNCTION("""COMPUTED_VALUE"""),"九年級")</f>
        <v>九年級</v>
      </c>
      <c r="G2764" s="14" t="str">
        <f>IFERROR(__xludf.DUMMYFUNCTION("""COMPUTED_VALUE"""),"獎狀")</f>
        <v>獎狀</v>
      </c>
      <c r="H2764" s="8"/>
    </row>
    <row r="2765">
      <c r="A2765" s="18"/>
      <c r="B2765" s="14">
        <f>IFERROR(__xludf.DUMMYFUNCTION("""COMPUTED_VALUE"""),1140329.0)</f>
        <v>1140329</v>
      </c>
      <c r="C2765" s="14" t="str">
        <f>IFERROR(__xludf.DUMMYFUNCTION("""COMPUTED_VALUE"""),"侯宥葳")</f>
        <v>侯宥葳</v>
      </c>
      <c r="D2765" s="16" t="str">
        <f>IFERROR(__xludf.DUMMYFUNCTION("""COMPUTED_VALUE"""),"u10*****@ga.fhjh.tn.edu.tw")</f>
        <v>u10*****@ga.fhjh.tn.edu.tw</v>
      </c>
      <c r="E2765" s="17" t="str">
        <f>IFERROR(__xludf.DUMMYFUNCTION("""COMPUTED_VALUE"""),"臺南市立復興國民中學")</f>
        <v>臺南市立復興國民中學</v>
      </c>
      <c r="F2765" s="14" t="str">
        <f>IFERROR(__xludf.DUMMYFUNCTION("""COMPUTED_VALUE"""),"九年級")</f>
        <v>九年級</v>
      </c>
      <c r="G2765" s="14" t="str">
        <f>IFERROR(__xludf.DUMMYFUNCTION("""COMPUTED_VALUE"""),"★禮券$500")</f>
        <v>★禮券$500</v>
      </c>
      <c r="H2765" s="8"/>
    </row>
    <row r="2766">
      <c r="A2766" s="18"/>
      <c r="B2766" s="14">
        <f>IFERROR(__xludf.DUMMYFUNCTION("""COMPUTED_VALUE"""),375033.0)</f>
        <v>375033</v>
      </c>
      <c r="C2766" s="14" t="str">
        <f>IFERROR(__xludf.DUMMYFUNCTION("""COMPUTED_VALUE"""),"李亞叡")</f>
        <v>李亞叡</v>
      </c>
      <c r="D2766" s="16" t="str">
        <f>IFERROR(__xludf.DUMMYFUNCTION("""COMPUTED_VALUE"""),"st5*****9.tn@mail.edu.tw")</f>
        <v>st5*****9.tn@mail.edu.tw</v>
      </c>
      <c r="E2766" s="17" t="str">
        <f>IFERROR(__xludf.DUMMYFUNCTION("""COMPUTED_VALUE"""),"臺南市德光高級中學附設國中部")</f>
        <v>臺南市德光高級中學附設國中部</v>
      </c>
      <c r="F2766" s="14" t="str">
        <f>IFERROR(__xludf.DUMMYFUNCTION("""COMPUTED_VALUE"""),"七年級")</f>
        <v>七年級</v>
      </c>
      <c r="G2766" s="14" t="str">
        <f>IFERROR(__xludf.DUMMYFUNCTION("""COMPUTED_VALUE"""),"獎狀")</f>
        <v>獎狀</v>
      </c>
      <c r="H2766" s="8"/>
    </row>
    <row r="2767">
      <c r="A2767" s="18"/>
      <c r="B2767" s="14">
        <f>IFERROR(__xludf.DUMMYFUNCTION("""COMPUTED_VALUE"""),1187229.0)</f>
        <v>1187229</v>
      </c>
      <c r="C2767" s="14" t="str">
        <f>IFERROR(__xludf.DUMMYFUNCTION("""COMPUTED_VALUE"""),"薛丞勛")</f>
        <v>薛丞勛</v>
      </c>
      <c r="D2767" s="16" t="str">
        <f>IFERROR(__xludf.DUMMYFUNCTION("""COMPUTED_VALUE"""),"111*****tkgsh.tn.edu.tw")</f>
        <v>111*****tkgsh.tn.edu.tw</v>
      </c>
      <c r="E2767" s="17" t="str">
        <f>IFERROR(__xludf.DUMMYFUNCTION("""COMPUTED_VALUE"""),"臺南市德光高級中學附設國中部")</f>
        <v>臺南市德光高級中學附設國中部</v>
      </c>
      <c r="F2767" s="14" t="str">
        <f>IFERROR(__xludf.DUMMYFUNCTION("""COMPUTED_VALUE"""),"七年級")</f>
        <v>七年級</v>
      </c>
      <c r="G2767" s="14" t="str">
        <f>IFERROR(__xludf.DUMMYFUNCTION("""COMPUTED_VALUE"""),"獎狀")</f>
        <v>獎狀</v>
      </c>
      <c r="H2767" s="8"/>
    </row>
    <row r="2768">
      <c r="A2768" s="18"/>
      <c r="B2768" s="14">
        <f>IFERROR(__xludf.DUMMYFUNCTION("""COMPUTED_VALUE"""),897430.0)</f>
        <v>897430</v>
      </c>
      <c r="C2768" s="14" t="str">
        <f>IFERROR(__xludf.DUMMYFUNCTION("""COMPUTED_VALUE"""),"薛羽涵")</f>
        <v>薛羽涵</v>
      </c>
      <c r="D2768" s="16" t="str">
        <f>IFERROR(__xludf.DUMMYFUNCTION("""COMPUTED_VALUE"""),"110*****tkgsh.tn.edu.tw")</f>
        <v>110*****tkgsh.tn.edu.tw</v>
      </c>
      <c r="E2768" s="17" t="str">
        <f>IFERROR(__xludf.DUMMYFUNCTION("""COMPUTED_VALUE"""),"臺南市德光高級中學附設國中部")</f>
        <v>臺南市德光高級中學附設國中部</v>
      </c>
      <c r="F2768" s="14" t="str">
        <f>IFERROR(__xludf.DUMMYFUNCTION("""COMPUTED_VALUE"""),"八年級")</f>
        <v>八年級</v>
      </c>
      <c r="G2768" s="14" t="str">
        <f>IFERROR(__xludf.DUMMYFUNCTION("""COMPUTED_VALUE"""),"獎狀")</f>
        <v>獎狀</v>
      </c>
      <c r="H2768" s="8"/>
    </row>
    <row r="2769">
      <c r="A2769" s="18"/>
      <c r="B2769" s="14">
        <f>IFERROR(__xludf.DUMMYFUNCTION("""COMPUTED_VALUE"""),1012076.0)</f>
        <v>1012076</v>
      </c>
      <c r="C2769" s="14" t="str">
        <f>IFERROR(__xludf.DUMMYFUNCTION("""COMPUTED_VALUE"""),"邱郁芸")</f>
        <v>邱郁芸</v>
      </c>
      <c r="D2769" s="16" t="str">
        <f>IFERROR(__xludf.DUMMYFUNCTION("""COMPUTED_VALUE"""),"110*****tcjhs.tn.edu.tw")</f>
        <v>110*****tcjhs.tn.edu.tw</v>
      </c>
      <c r="E2769" s="17" t="str">
        <f>IFERROR(__xludf.DUMMYFUNCTION("""COMPUTED_VALUE"""),"臺南市立大成國民中學")</f>
        <v>臺南市立大成國民中學</v>
      </c>
      <c r="F2769" s="14" t="str">
        <f>IFERROR(__xludf.DUMMYFUNCTION("""COMPUTED_VALUE"""),"八年級")</f>
        <v>八年級</v>
      </c>
      <c r="G2769" s="14" t="str">
        <f>IFERROR(__xludf.DUMMYFUNCTION("""COMPUTED_VALUE"""),"獎狀")</f>
        <v>獎狀</v>
      </c>
      <c r="H2769" s="8"/>
    </row>
    <row r="2770">
      <c r="A2770" s="18"/>
      <c r="B2770" s="14">
        <f>IFERROR(__xludf.DUMMYFUNCTION("""COMPUTED_VALUE"""),820359.0)</f>
        <v>820359</v>
      </c>
      <c r="C2770" s="14" t="str">
        <f>IFERROR(__xludf.DUMMYFUNCTION("""COMPUTED_VALUE"""),"林品言")</f>
        <v>林品言</v>
      </c>
      <c r="D2770" s="16" t="str">
        <f>IFERROR(__xludf.DUMMYFUNCTION("""COMPUTED_VALUE"""),"110*****skgsh.tn.edu.tw")</f>
        <v>110*****skgsh.tn.edu.tw</v>
      </c>
      <c r="E2770" s="17" t="str">
        <f>IFERROR(__xludf.DUMMYFUNCTION("""COMPUTED_VALUE"""),"天主教聖功學校財團法人臺南市天主教聖功女子高級中學附設國中部")</f>
        <v>天主教聖功學校財團法人臺南市天主教聖功女子高級中學附設國中部</v>
      </c>
      <c r="F2770" s="14" t="str">
        <f>IFERROR(__xludf.DUMMYFUNCTION("""COMPUTED_VALUE"""),"八年級")</f>
        <v>八年級</v>
      </c>
      <c r="G2770" s="14" t="str">
        <f>IFERROR(__xludf.DUMMYFUNCTION("""COMPUTED_VALUE"""),"●小禮物")</f>
        <v>●小禮物</v>
      </c>
      <c r="H2770" s="8"/>
    </row>
    <row r="2771">
      <c r="A2771" s="18"/>
      <c r="B2771" s="14">
        <f>IFERROR(__xludf.DUMMYFUNCTION("""COMPUTED_VALUE"""),220428.0)</f>
        <v>220428</v>
      </c>
      <c r="C2771" s="14" t="str">
        <f>IFERROR(__xludf.DUMMYFUNCTION("""COMPUTED_VALUE"""),"蔡政輝")</f>
        <v>蔡政輝</v>
      </c>
      <c r="D2771" s="16" t="str">
        <f>IFERROR(__xludf.DUMMYFUNCTION("""COMPUTED_VALUE"""),"man*****3@yahoo.com.tw")</f>
        <v>man*****3@yahoo.com.tw</v>
      </c>
      <c r="E2771" s="17" t="str">
        <f>IFERROR(__xludf.DUMMYFUNCTION("""COMPUTED_VALUE"""),"臺南市立民德國民中學")</f>
        <v>臺南市立民德國民中學</v>
      </c>
      <c r="F2771" s="14" t="str">
        <f>IFERROR(__xludf.DUMMYFUNCTION("""COMPUTED_VALUE"""),"八年級")</f>
        <v>八年級</v>
      </c>
      <c r="G2771" s="14" t="str">
        <f>IFERROR(__xludf.DUMMYFUNCTION("""COMPUTED_VALUE"""),"●小禮物")</f>
        <v>●小禮物</v>
      </c>
      <c r="H2771" s="8"/>
    </row>
    <row r="2772">
      <c r="A2772" s="18"/>
      <c r="B2772" s="14">
        <f>IFERROR(__xludf.DUMMYFUNCTION("""COMPUTED_VALUE"""),902551.0)</f>
        <v>902551</v>
      </c>
      <c r="C2772" s="14" t="str">
        <f>IFERROR(__xludf.DUMMYFUNCTION("""COMPUTED_VALUE"""),"楊涵云")</f>
        <v>楊涵云</v>
      </c>
      <c r="D2772" s="16" t="str">
        <f>IFERROR(__xludf.DUMMYFUNCTION("""COMPUTED_VALUE"""),"st9*****8.tn@mail.edu.tw")</f>
        <v>st9*****8.tn@mail.edu.tw</v>
      </c>
      <c r="E2772" s="17" t="str">
        <f>IFERROR(__xludf.DUMMYFUNCTION("""COMPUTED_VALUE"""),"臺南市立成功國民中學")</f>
        <v>臺南市立成功國民中學</v>
      </c>
      <c r="F2772" s="14" t="str">
        <f>IFERROR(__xludf.DUMMYFUNCTION("""COMPUTED_VALUE"""),"八年級")</f>
        <v>八年級</v>
      </c>
      <c r="G2772" s="14" t="str">
        <f>IFERROR(__xludf.DUMMYFUNCTION("""COMPUTED_VALUE"""),"●小禮物")</f>
        <v>●小禮物</v>
      </c>
      <c r="H2772" s="8"/>
    </row>
    <row r="2773">
      <c r="A2773" s="18"/>
      <c r="B2773" s="14">
        <f>IFERROR(__xludf.DUMMYFUNCTION("""COMPUTED_VALUE"""),902548.0)</f>
        <v>902548</v>
      </c>
      <c r="C2773" s="14" t="str">
        <f>IFERROR(__xludf.DUMMYFUNCTION("""COMPUTED_VALUE"""),"方榆淩")</f>
        <v>方榆淩</v>
      </c>
      <c r="D2773" s="16" t="str">
        <f>IFERROR(__xludf.DUMMYFUNCTION("""COMPUTED_VALUE"""),"st1*****7.tn@mail.edu.tw")</f>
        <v>st1*****7.tn@mail.edu.tw</v>
      </c>
      <c r="E2773" s="17" t="str">
        <f>IFERROR(__xludf.DUMMYFUNCTION("""COMPUTED_VALUE"""),"臺南市立成功國民中學")</f>
        <v>臺南市立成功國民中學</v>
      </c>
      <c r="F2773" s="14" t="str">
        <f>IFERROR(__xludf.DUMMYFUNCTION("""COMPUTED_VALUE"""),"八年級")</f>
        <v>八年級</v>
      </c>
      <c r="G2773" s="14" t="str">
        <f>IFERROR(__xludf.DUMMYFUNCTION("""COMPUTED_VALUE"""),"●小禮物")</f>
        <v>●小禮物</v>
      </c>
      <c r="H2773" s="8"/>
    </row>
    <row r="2774">
      <c r="A2774" s="18"/>
      <c r="B2774" s="14">
        <f>IFERROR(__xludf.DUMMYFUNCTION("""COMPUTED_VALUE"""),902549.0)</f>
        <v>902549</v>
      </c>
      <c r="C2774" s="14" t="str">
        <f>IFERROR(__xludf.DUMMYFUNCTION("""COMPUTED_VALUE"""),"郝家筠")</f>
        <v>郝家筠</v>
      </c>
      <c r="D2774" s="16" t="str">
        <f>IFERROR(__xludf.DUMMYFUNCTION("""COMPUTED_VALUE"""),"st9*****7.tn@mail.edu.tw")</f>
        <v>st9*****7.tn@mail.edu.tw</v>
      </c>
      <c r="E2774" s="17" t="str">
        <f>IFERROR(__xludf.DUMMYFUNCTION("""COMPUTED_VALUE"""),"臺南市立成功國民中學")</f>
        <v>臺南市立成功國民中學</v>
      </c>
      <c r="F2774" s="14" t="str">
        <f>IFERROR(__xludf.DUMMYFUNCTION("""COMPUTED_VALUE"""),"八年級")</f>
        <v>八年級</v>
      </c>
      <c r="G2774" s="14" t="str">
        <f>IFERROR(__xludf.DUMMYFUNCTION("""COMPUTED_VALUE"""),"●小禮物")</f>
        <v>●小禮物</v>
      </c>
      <c r="H2774" s="8"/>
    </row>
    <row r="2775">
      <c r="A2775" s="18"/>
      <c r="B2775" s="14">
        <f>IFERROR(__xludf.DUMMYFUNCTION("""COMPUTED_VALUE"""),898262.0)</f>
        <v>898262</v>
      </c>
      <c r="C2775" s="14" t="str">
        <f>IFERROR(__xludf.DUMMYFUNCTION("""COMPUTED_VALUE"""),"陳品礽")</f>
        <v>陳品礽</v>
      </c>
      <c r="D2775" s="16" t="str">
        <f>IFERROR(__xludf.DUMMYFUNCTION("""COMPUTED_VALUE"""),"st5*****2.tn@mail.edu.tw")</f>
        <v>st5*****2.tn@mail.edu.tw</v>
      </c>
      <c r="E2775" s="17" t="str">
        <f>IFERROR(__xludf.DUMMYFUNCTION("""COMPUTED_VALUE"""),"臺南市立成功國民中學")</f>
        <v>臺南市立成功國民中學</v>
      </c>
      <c r="F2775" s="14" t="str">
        <f>IFERROR(__xludf.DUMMYFUNCTION("""COMPUTED_VALUE"""),"八年級")</f>
        <v>八年級</v>
      </c>
      <c r="G2775" s="14" t="str">
        <f>IFERROR(__xludf.DUMMYFUNCTION("""COMPUTED_VALUE"""),"●小禮物")</f>
        <v>●小禮物</v>
      </c>
      <c r="H2775" s="8"/>
    </row>
    <row r="2776">
      <c r="A2776" s="18"/>
      <c r="B2776" s="14">
        <f>IFERROR(__xludf.DUMMYFUNCTION("""COMPUTED_VALUE"""),898039.0)</f>
        <v>898039</v>
      </c>
      <c r="C2776" s="14" t="str">
        <f>IFERROR(__xludf.DUMMYFUNCTION("""COMPUTED_VALUE"""),"田芯蕾")</f>
        <v>田芯蕾</v>
      </c>
      <c r="D2776" s="16" t="str">
        <f>IFERROR(__xludf.DUMMYFUNCTION("""COMPUTED_VALUE"""),"st9*****7.tn@mail.edu.tw")</f>
        <v>st9*****7.tn@mail.edu.tw</v>
      </c>
      <c r="E2776" s="17" t="str">
        <f>IFERROR(__xludf.DUMMYFUNCTION("""COMPUTED_VALUE"""),"臺南市立成功國民中學")</f>
        <v>臺南市立成功國民中學</v>
      </c>
      <c r="F2776" s="14" t="str">
        <f>IFERROR(__xludf.DUMMYFUNCTION("""COMPUTED_VALUE"""),"八年級")</f>
        <v>八年級</v>
      </c>
      <c r="G2776" s="14" t="str">
        <f>IFERROR(__xludf.DUMMYFUNCTION("""COMPUTED_VALUE"""),"獎狀")</f>
        <v>獎狀</v>
      </c>
      <c r="H2776" s="8"/>
    </row>
    <row r="2777">
      <c r="A2777" s="18"/>
      <c r="B2777" s="14">
        <f>IFERROR(__xludf.DUMMYFUNCTION("""COMPUTED_VALUE"""),902550.0)</f>
        <v>902550</v>
      </c>
      <c r="C2777" s="14" t="str">
        <f>IFERROR(__xludf.DUMMYFUNCTION("""COMPUTED_VALUE"""),"李紀樺")</f>
        <v>李紀樺</v>
      </c>
      <c r="D2777" s="16" t="str">
        <f>IFERROR(__xludf.DUMMYFUNCTION("""COMPUTED_VALUE"""),"st9*****0@mail.edu.tw")</f>
        <v>st9*****0@mail.edu.tw</v>
      </c>
      <c r="E2777" s="17" t="str">
        <f>IFERROR(__xludf.DUMMYFUNCTION("""COMPUTED_VALUE"""),"臺南市立成功國民中學")</f>
        <v>臺南市立成功國民中學</v>
      </c>
      <c r="F2777" s="14" t="str">
        <f>IFERROR(__xludf.DUMMYFUNCTION("""COMPUTED_VALUE"""),"八年級")</f>
        <v>八年級</v>
      </c>
      <c r="G2777" s="14" t="str">
        <f>IFERROR(__xludf.DUMMYFUNCTION("""COMPUTED_VALUE"""),"獎狀")</f>
        <v>獎狀</v>
      </c>
      <c r="H2777" s="8"/>
    </row>
    <row r="2778">
      <c r="A2778" s="18"/>
      <c r="B2778" s="14">
        <f>IFERROR(__xludf.DUMMYFUNCTION("""COMPUTED_VALUE"""),902547.0)</f>
        <v>902547</v>
      </c>
      <c r="C2778" s="14" t="str">
        <f>IFERROR(__xludf.DUMMYFUNCTION("""COMPUTED_VALUE"""),"邱莉涵")</f>
        <v>邱莉涵</v>
      </c>
      <c r="D2778" s="16" t="str">
        <f>IFERROR(__xludf.DUMMYFUNCTION("""COMPUTED_VALUE"""),"st1*****9.tn@mail.edu.tw")</f>
        <v>st1*****9.tn@mail.edu.tw</v>
      </c>
      <c r="E2778" s="17" t="str">
        <f>IFERROR(__xludf.DUMMYFUNCTION("""COMPUTED_VALUE"""),"臺南市立成功國民中學")</f>
        <v>臺南市立成功國民中學</v>
      </c>
      <c r="F2778" s="14" t="str">
        <f>IFERROR(__xludf.DUMMYFUNCTION("""COMPUTED_VALUE"""),"八年級")</f>
        <v>八年級</v>
      </c>
      <c r="G2778" s="14" t="str">
        <f>IFERROR(__xludf.DUMMYFUNCTION("""COMPUTED_VALUE"""),"獎狀")</f>
        <v>獎狀</v>
      </c>
      <c r="H2778" s="8"/>
    </row>
    <row r="2779">
      <c r="A2779" s="18"/>
      <c r="B2779" s="14">
        <f>IFERROR(__xludf.DUMMYFUNCTION("""COMPUTED_VALUE"""),902553.0)</f>
        <v>902553</v>
      </c>
      <c r="C2779" s="14" t="str">
        <f>IFERROR(__xludf.DUMMYFUNCTION("""COMPUTED_VALUE"""),"關建銘")</f>
        <v>關建銘</v>
      </c>
      <c r="D2779" s="16" t="str">
        <f>IFERROR(__xludf.DUMMYFUNCTION("""COMPUTED_VALUE"""),"st6*****6@mail.edu.tw")</f>
        <v>st6*****6@mail.edu.tw</v>
      </c>
      <c r="E2779" s="17" t="str">
        <f>IFERROR(__xludf.DUMMYFUNCTION("""COMPUTED_VALUE"""),"臺南市立成功國民中學")</f>
        <v>臺南市立成功國民中學</v>
      </c>
      <c r="F2779" s="14" t="str">
        <f>IFERROR(__xludf.DUMMYFUNCTION("""COMPUTED_VALUE"""),"八年級")</f>
        <v>八年級</v>
      </c>
      <c r="G2779" s="14" t="str">
        <f>IFERROR(__xludf.DUMMYFUNCTION("""COMPUTED_VALUE"""),"獎狀")</f>
        <v>獎狀</v>
      </c>
      <c r="H2779" s="8"/>
    </row>
    <row r="2780">
      <c r="A2780" s="18"/>
      <c r="B2780" s="14">
        <f>IFERROR(__xludf.DUMMYFUNCTION("""COMPUTED_VALUE"""),902987.0)</f>
        <v>902987</v>
      </c>
      <c r="C2780" s="14" t="str">
        <f>IFERROR(__xludf.DUMMYFUNCTION("""COMPUTED_VALUE"""),"李嘉柔")</f>
        <v>李嘉柔</v>
      </c>
      <c r="D2780" s="16" t="str">
        <f>IFERROR(__xludf.DUMMYFUNCTION("""COMPUTED_VALUE"""),"st0*****2@mail.edu.tw")</f>
        <v>st0*****2@mail.edu.tw</v>
      </c>
      <c r="E2780" s="17" t="str">
        <f>IFERROR(__xludf.DUMMYFUNCTION("""COMPUTED_VALUE"""),"臺南市立成功國民中學")</f>
        <v>臺南市立成功國民中學</v>
      </c>
      <c r="F2780" s="14" t="str">
        <f>IFERROR(__xludf.DUMMYFUNCTION("""COMPUTED_VALUE"""),"八年級")</f>
        <v>八年級</v>
      </c>
      <c r="G2780" s="14" t="str">
        <f>IFERROR(__xludf.DUMMYFUNCTION("""COMPUTED_VALUE"""),"●小禮物")</f>
        <v>●小禮物</v>
      </c>
      <c r="H2780" s="8"/>
    </row>
    <row r="2781">
      <c r="A2781" s="18"/>
      <c r="B2781" s="14">
        <f>IFERROR(__xludf.DUMMYFUNCTION("""COMPUTED_VALUE"""),898236.0)</f>
        <v>898236</v>
      </c>
      <c r="C2781" s="14" t="str">
        <f>IFERROR(__xludf.DUMMYFUNCTION("""COMPUTED_VALUE"""),"馬鈺臻")</f>
        <v>馬鈺臻</v>
      </c>
      <c r="D2781" s="16" t="str">
        <f>IFERROR(__xludf.DUMMYFUNCTION("""COMPUTED_VALUE"""),"st8*****1.tn@mail.edu.tw")</f>
        <v>st8*****1.tn@mail.edu.tw</v>
      </c>
      <c r="E2781" s="17" t="str">
        <f>IFERROR(__xludf.DUMMYFUNCTION("""COMPUTED_VALUE"""),"臺南市立成功國民中學")</f>
        <v>臺南市立成功國民中學</v>
      </c>
      <c r="F2781" s="14" t="str">
        <f>IFERROR(__xludf.DUMMYFUNCTION("""COMPUTED_VALUE"""),"八年級")</f>
        <v>八年級</v>
      </c>
      <c r="G2781" s="14" t="str">
        <f>IFERROR(__xludf.DUMMYFUNCTION("""COMPUTED_VALUE"""),"●小禮物")</f>
        <v>●小禮物</v>
      </c>
      <c r="H2781" s="8"/>
    </row>
    <row r="2782">
      <c r="A2782" s="18"/>
      <c r="B2782" s="14">
        <f>IFERROR(__xludf.DUMMYFUNCTION("""COMPUTED_VALUE"""),902972.0)</f>
        <v>902972</v>
      </c>
      <c r="C2782" s="14" t="str">
        <f>IFERROR(__xludf.DUMMYFUNCTION("""COMPUTED_VALUE"""),"康詠筑")</f>
        <v>康詠筑</v>
      </c>
      <c r="D2782" s="16" t="str">
        <f>IFERROR(__xludf.DUMMYFUNCTION("""COMPUTED_VALUE"""),"st9*****5@mail.edu.tw")</f>
        <v>st9*****5@mail.edu.tw</v>
      </c>
      <c r="E2782" s="17" t="str">
        <f>IFERROR(__xludf.DUMMYFUNCTION("""COMPUTED_VALUE"""),"臺南市立成功國民中學")</f>
        <v>臺南市立成功國民中學</v>
      </c>
      <c r="F2782" s="14" t="str">
        <f>IFERROR(__xludf.DUMMYFUNCTION("""COMPUTED_VALUE"""),"八年級")</f>
        <v>八年級</v>
      </c>
      <c r="G2782" s="14" t="str">
        <f>IFERROR(__xludf.DUMMYFUNCTION("""COMPUTED_VALUE"""),"獎狀")</f>
        <v>獎狀</v>
      </c>
      <c r="H2782" s="8"/>
    </row>
    <row r="2783">
      <c r="A2783" s="18"/>
      <c r="B2783" s="14">
        <f>IFERROR(__xludf.DUMMYFUNCTION("""COMPUTED_VALUE"""),1193788.0)</f>
        <v>1193788</v>
      </c>
      <c r="C2783" s="14" t="str">
        <f>IFERROR(__xludf.DUMMYFUNCTION("""COMPUTED_VALUE"""),"陳岷澤")</f>
        <v>陳岷澤</v>
      </c>
      <c r="D2783" s="16" t="str">
        <f>IFERROR(__xludf.DUMMYFUNCTION("""COMPUTED_VALUE"""),"che*****e56@gmail.com")</f>
        <v>che*****e56@gmail.com</v>
      </c>
      <c r="E2783" s="17" t="str">
        <f>IFERROR(__xludf.DUMMYFUNCTION("""COMPUTED_VALUE"""),"慈濟學校財團法人臺南市私立慈濟高級中學附設國中部")</f>
        <v>慈濟學校財團法人臺南市私立慈濟高級中學附設國中部</v>
      </c>
      <c r="F2783" s="14" t="str">
        <f>IFERROR(__xludf.DUMMYFUNCTION("""COMPUTED_VALUE"""),"七年級")</f>
        <v>七年級</v>
      </c>
      <c r="G2783" s="14" t="str">
        <f>IFERROR(__xludf.DUMMYFUNCTION("""COMPUTED_VALUE"""),"●小禮物")</f>
        <v>●小禮物</v>
      </c>
      <c r="H2783" s="8"/>
    </row>
    <row r="2784">
      <c r="A2784" s="18"/>
      <c r="B2784" s="14">
        <f>IFERROR(__xludf.DUMMYFUNCTION("""COMPUTED_VALUE"""),199163.0)</f>
        <v>199163</v>
      </c>
      <c r="C2784" s="14" t="str">
        <f>IFERROR(__xludf.DUMMYFUNCTION("""COMPUTED_VALUE"""),"徐培甯")</f>
        <v>徐培甯</v>
      </c>
      <c r="D2784" s="16" t="str">
        <f>IFERROR(__xludf.DUMMYFUNCTION("""COMPUTED_VALUE"""),"doy*****@gmail.com")</f>
        <v>doy*****@gmail.com</v>
      </c>
      <c r="E2784" s="17" t="str">
        <f>IFERROR(__xludf.DUMMYFUNCTION("""COMPUTED_VALUE"""),"慈濟學校財團法人臺南市私立慈濟高級中學附設國中部")</f>
        <v>慈濟學校財團法人臺南市私立慈濟高級中學附設國中部</v>
      </c>
      <c r="F2784" s="14" t="str">
        <f>IFERROR(__xludf.DUMMYFUNCTION("""COMPUTED_VALUE"""),"七年級")</f>
        <v>七年級</v>
      </c>
      <c r="G2784" s="14" t="str">
        <f>IFERROR(__xludf.DUMMYFUNCTION("""COMPUTED_VALUE"""),"★禮券$200")</f>
        <v>★禮券$200</v>
      </c>
      <c r="H2784" s="8"/>
    </row>
    <row r="2785">
      <c r="A2785" s="18"/>
      <c r="B2785" s="14">
        <f>IFERROR(__xludf.DUMMYFUNCTION("""COMPUTED_VALUE"""),1180951.0)</f>
        <v>1180951</v>
      </c>
      <c r="C2785" s="14" t="str">
        <f>IFERROR(__xludf.DUMMYFUNCTION("""COMPUTED_VALUE"""),"吳栩丞")</f>
        <v>吳栩丞</v>
      </c>
      <c r="D2785" s="16" t="str">
        <f>IFERROR(__xludf.DUMMYFUNCTION("""COMPUTED_VALUE"""),"104*****csh.tn.edu.tw")</f>
        <v>104*****csh.tn.edu.tw</v>
      </c>
      <c r="E2785" s="17" t="str">
        <f>IFERROR(__xludf.DUMMYFUNCTION("""COMPUTED_VALUE"""),"慈濟學校財團法人臺南市私立慈濟高級中學附設國中部")</f>
        <v>慈濟學校財團法人臺南市私立慈濟高級中學附設國中部</v>
      </c>
      <c r="F2785" s="14" t="str">
        <f>IFERROR(__xludf.DUMMYFUNCTION("""COMPUTED_VALUE"""),"八年級")</f>
        <v>八年級</v>
      </c>
      <c r="G2785" s="14" t="str">
        <f>IFERROR(__xludf.DUMMYFUNCTION("""COMPUTED_VALUE"""),"●小禮物")</f>
        <v>●小禮物</v>
      </c>
      <c r="H2785" s="8"/>
    </row>
    <row r="2786">
      <c r="A2786" s="18"/>
      <c r="B2786" s="14">
        <f>IFERROR(__xludf.DUMMYFUNCTION("""COMPUTED_VALUE"""),1101087.0)</f>
        <v>1101087</v>
      </c>
      <c r="C2786" s="14" t="str">
        <f>IFERROR(__xludf.DUMMYFUNCTION("""COMPUTED_VALUE"""),"林恩瑄")</f>
        <v>林恩瑄</v>
      </c>
      <c r="D2786" s="16" t="str">
        <f>IFERROR(__xludf.DUMMYFUNCTION("""COMPUTED_VALUE"""),"chl*****971117@gmail.com")</f>
        <v>chl*****971117@gmail.com</v>
      </c>
      <c r="E2786" s="17" t="str">
        <f>IFERROR(__xludf.DUMMYFUNCTION("""COMPUTED_VALUE"""),"慈濟學校財團法人臺南市私立慈濟高級中學附設國中部")</f>
        <v>慈濟學校財團法人臺南市私立慈濟高級中學附設國中部</v>
      </c>
      <c r="F2786" s="14" t="str">
        <f>IFERROR(__xludf.DUMMYFUNCTION("""COMPUTED_VALUE"""),"八年級")</f>
        <v>八年級</v>
      </c>
      <c r="G2786" s="14" t="str">
        <f>IFERROR(__xludf.DUMMYFUNCTION("""COMPUTED_VALUE"""),"●小禮物")</f>
        <v>●小禮物</v>
      </c>
      <c r="H2786" s="8"/>
    </row>
    <row r="2787">
      <c r="A2787" s="18"/>
      <c r="B2787" s="14">
        <f>IFERROR(__xludf.DUMMYFUNCTION("""COMPUTED_VALUE"""),1180898.0)</f>
        <v>1180898</v>
      </c>
      <c r="C2787" s="14" t="str">
        <f>IFERROR(__xludf.DUMMYFUNCTION("""COMPUTED_VALUE"""),"徐雨涵")</f>
        <v>徐雨涵</v>
      </c>
      <c r="D2787" s="16" t="str">
        <f>IFERROR(__xludf.DUMMYFUNCTION("""COMPUTED_VALUE"""),"rac*****ng.hsu@gmail.com")</f>
        <v>rac*****ng.hsu@gmail.com</v>
      </c>
      <c r="E2787" s="17" t="str">
        <f>IFERROR(__xludf.DUMMYFUNCTION("""COMPUTED_VALUE"""),"慈濟學校財團法人臺南市私立慈濟高級中學附設國中部")</f>
        <v>慈濟學校財團法人臺南市私立慈濟高級中學附設國中部</v>
      </c>
      <c r="F2787" s="14" t="str">
        <f>IFERROR(__xludf.DUMMYFUNCTION("""COMPUTED_VALUE"""),"八年級")</f>
        <v>八年級</v>
      </c>
      <c r="G2787" s="14" t="str">
        <f>IFERROR(__xludf.DUMMYFUNCTION("""COMPUTED_VALUE"""),"●小禮物")</f>
        <v>●小禮物</v>
      </c>
      <c r="H2787" s="8"/>
    </row>
    <row r="2788">
      <c r="A2788" s="18"/>
      <c r="B2788" s="14">
        <f>IFERROR(__xludf.DUMMYFUNCTION("""COMPUTED_VALUE"""),1180896.0)</f>
        <v>1180896</v>
      </c>
      <c r="C2788" s="14" t="str">
        <f>IFERROR(__xludf.DUMMYFUNCTION("""COMPUTED_VALUE"""),"楊祐姍")</f>
        <v>楊祐姍</v>
      </c>
      <c r="D2788" s="16" t="str">
        <f>IFERROR(__xludf.DUMMYFUNCTION("""COMPUTED_VALUE"""),"103*****csh.tn.edu.tw")</f>
        <v>103*****csh.tn.edu.tw</v>
      </c>
      <c r="E2788" s="17" t="str">
        <f>IFERROR(__xludf.DUMMYFUNCTION("""COMPUTED_VALUE"""),"慈濟學校財團法人臺南市私立慈濟高級中學附設國中部")</f>
        <v>慈濟學校財團法人臺南市私立慈濟高級中學附設國中部</v>
      </c>
      <c r="F2788" s="14" t="str">
        <f>IFERROR(__xludf.DUMMYFUNCTION("""COMPUTED_VALUE"""),"八年級")</f>
        <v>八年級</v>
      </c>
      <c r="G2788" s="14" t="str">
        <f>IFERROR(__xludf.DUMMYFUNCTION("""COMPUTED_VALUE"""),"●小禮物")</f>
        <v>●小禮物</v>
      </c>
      <c r="H2788" s="8"/>
    </row>
    <row r="2789">
      <c r="A2789" s="18"/>
      <c r="B2789" s="14">
        <f>IFERROR(__xludf.DUMMYFUNCTION("""COMPUTED_VALUE"""),1180962.0)</f>
        <v>1180962</v>
      </c>
      <c r="C2789" s="14" t="str">
        <f>IFERROR(__xludf.DUMMYFUNCTION("""COMPUTED_VALUE"""),"鄭宇翔")</f>
        <v>鄭宇翔</v>
      </c>
      <c r="D2789" s="16" t="str">
        <f>IFERROR(__xludf.DUMMYFUNCTION("""COMPUTED_VALUE"""),"ste*****3157@gmail.com")</f>
        <v>ste*****3157@gmail.com</v>
      </c>
      <c r="E2789" s="17" t="str">
        <f>IFERROR(__xludf.DUMMYFUNCTION("""COMPUTED_VALUE"""),"慈濟學校財團法人臺南市私立慈濟高級中學附設國中部")</f>
        <v>慈濟學校財團法人臺南市私立慈濟高級中學附設國中部</v>
      </c>
      <c r="F2789" s="14" t="str">
        <f>IFERROR(__xludf.DUMMYFUNCTION("""COMPUTED_VALUE"""),"八年級")</f>
        <v>八年級</v>
      </c>
      <c r="G2789" s="14" t="str">
        <f>IFERROR(__xludf.DUMMYFUNCTION("""COMPUTED_VALUE"""),"●小禮物")</f>
        <v>●小禮物</v>
      </c>
      <c r="H2789" s="8"/>
    </row>
    <row r="2790">
      <c r="A2790" s="18"/>
      <c r="B2790" s="14">
        <f>IFERROR(__xludf.DUMMYFUNCTION("""COMPUTED_VALUE"""),1180897.0)</f>
        <v>1180897</v>
      </c>
      <c r="C2790" s="14" t="str">
        <f>IFERROR(__xludf.DUMMYFUNCTION("""COMPUTED_VALUE"""),"呂寀葳")</f>
        <v>呂寀葳</v>
      </c>
      <c r="D2790" s="16" t="str">
        <f>IFERROR(__xludf.DUMMYFUNCTION("""COMPUTED_VALUE"""),"wiw*****27@gmail.com")</f>
        <v>wiw*****27@gmail.com</v>
      </c>
      <c r="E2790" s="17" t="str">
        <f>IFERROR(__xludf.DUMMYFUNCTION("""COMPUTED_VALUE"""),"慈濟學校財團法人臺南市私立慈濟高級中學附設國中部")</f>
        <v>慈濟學校財團法人臺南市私立慈濟高級中學附設國中部</v>
      </c>
      <c r="F2790" s="14" t="str">
        <f>IFERROR(__xludf.DUMMYFUNCTION("""COMPUTED_VALUE"""),"八年級")</f>
        <v>八年級</v>
      </c>
      <c r="G2790" s="14" t="str">
        <f>IFERROR(__xludf.DUMMYFUNCTION("""COMPUTED_VALUE"""),"獎狀")</f>
        <v>獎狀</v>
      </c>
      <c r="H2790" s="8"/>
    </row>
    <row r="2791">
      <c r="A2791" s="18"/>
      <c r="B2791" s="14">
        <f>IFERROR(__xludf.DUMMYFUNCTION("""COMPUTED_VALUE"""),1180929.0)</f>
        <v>1180929</v>
      </c>
      <c r="C2791" s="14" t="str">
        <f>IFERROR(__xludf.DUMMYFUNCTION("""COMPUTED_VALUE"""),"徐可昕")</f>
        <v>徐可昕</v>
      </c>
      <c r="D2791" s="16" t="str">
        <f>IFERROR(__xludf.DUMMYFUNCTION("""COMPUTED_VALUE"""),"min*****0428@gmail.com")</f>
        <v>min*****0428@gmail.com</v>
      </c>
      <c r="E2791" s="17" t="str">
        <f>IFERROR(__xludf.DUMMYFUNCTION("""COMPUTED_VALUE"""),"慈濟學校財團法人臺南市私立慈濟高級中學附設國中部")</f>
        <v>慈濟學校財團法人臺南市私立慈濟高級中學附設國中部</v>
      </c>
      <c r="F2791" s="14" t="str">
        <f>IFERROR(__xludf.DUMMYFUNCTION("""COMPUTED_VALUE"""),"八年級")</f>
        <v>八年級</v>
      </c>
      <c r="G2791" s="14" t="str">
        <f>IFERROR(__xludf.DUMMYFUNCTION("""COMPUTED_VALUE"""),"獎狀")</f>
        <v>獎狀</v>
      </c>
      <c r="H2791" s="8"/>
    </row>
    <row r="2792">
      <c r="A2792" s="18"/>
      <c r="B2792" s="14">
        <f>IFERROR(__xludf.DUMMYFUNCTION("""COMPUTED_VALUE"""),243962.0)</f>
        <v>243962</v>
      </c>
      <c r="C2792" s="14" t="str">
        <f>IFERROR(__xludf.DUMMYFUNCTION("""COMPUTED_VALUE"""),"莊雅淇")</f>
        <v>莊雅淇</v>
      </c>
      <c r="D2792" s="16" t="str">
        <f>IFERROR(__xludf.DUMMYFUNCTION("""COMPUTED_VALUE"""),"103*****csh.tn.edu.tw")</f>
        <v>103*****csh.tn.edu.tw</v>
      </c>
      <c r="E2792" s="17" t="str">
        <f>IFERROR(__xludf.DUMMYFUNCTION("""COMPUTED_VALUE"""),"慈濟學校財團法人臺南市私立慈濟高級中學附設國中部")</f>
        <v>慈濟學校財團法人臺南市私立慈濟高級中學附設國中部</v>
      </c>
      <c r="F2792" s="14" t="str">
        <f>IFERROR(__xludf.DUMMYFUNCTION("""COMPUTED_VALUE"""),"八年級")</f>
        <v>八年級</v>
      </c>
      <c r="G2792" s="14" t="str">
        <f>IFERROR(__xludf.DUMMYFUNCTION("""COMPUTED_VALUE"""),"獎狀")</f>
        <v>獎狀</v>
      </c>
      <c r="H2792" s="8"/>
    </row>
    <row r="2793">
      <c r="A2793" s="18"/>
      <c r="B2793" s="14">
        <f>IFERROR(__xludf.DUMMYFUNCTION("""COMPUTED_VALUE"""),1104146.0)</f>
        <v>1104146</v>
      </c>
      <c r="C2793" s="14" t="str">
        <f>IFERROR(__xludf.DUMMYFUNCTION("""COMPUTED_VALUE"""),"許庭睿")</f>
        <v>許庭睿</v>
      </c>
      <c r="D2793" s="16" t="str">
        <f>IFERROR(__xludf.DUMMYFUNCTION("""COMPUTED_VALUE"""),"h10*****hnps.tn.edu.tw")</f>
        <v>h10*****hnps.tn.edu.tw</v>
      </c>
      <c r="E2793" s="17" t="str">
        <f>IFERROR(__xludf.DUMMYFUNCTION("""COMPUTED_VALUE"""),"慈濟學校財團法人臺南市私立慈濟高級中學附設國中部")</f>
        <v>慈濟學校財團法人臺南市私立慈濟高級中學附設國中部</v>
      </c>
      <c r="F2793" s="14" t="str">
        <f>IFERROR(__xludf.DUMMYFUNCTION("""COMPUTED_VALUE"""),"八年級")</f>
        <v>八年級</v>
      </c>
      <c r="G2793" s="14" t="str">
        <f>IFERROR(__xludf.DUMMYFUNCTION("""COMPUTED_VALUE"""),"獎狀")</f>
        <v>獎狀</v>
      </c>
      <c r="H2793" s="8"/>
    </row>
    <row r="2794">
      <c r="A2794" s="18"/>
      <c r="B2794" s="14">
        <f>IFERROR(__xludf.DUMMYFUNCTION("""COMPUTED_VALUE"""),1103451.0)</f>
        <v>1103451</v>
      </c>
      <c r="C2794" s="14" t="str">
        <f>IFERROR(__xludf.DUMMYFUNCTION("""COMPUTED_VALUE"""),"陸泓仁")</f>
        <v>陸泓仁</v>
      </c>
      <c r="D2794" s="16" t="str">
        <f>IFERROR(__xludf.DUMMYFUNCTION("""COMPUTED_VALUE"""),"lor*****11@gmail.com")</f>
        <v>lor*****11@gmail.com</v>
      </c>
      <c r="E2794" s="17" t="str">
        <f>IFERROR(__xludf.DUMMYFUNCTION("""COMPUTED_VALUE"""),"慈濟學校財團法人臺南市私立慈濟高級中學附設國中部")</f>
        <v>慈濟學校財團法人臺南市私立慈濟高級中學附設國中部</v>
      </c>
      <c r="F2794" s="14" t="str">
        <f>IFERROR(__xludf.DUMMYFUNCTION("""COMPUTED_VALUE"""),"八年級")</f>
        <v>八年級</v>
      </c>
      <c r="G2794" s="14" t="str">
        <f>IFERROR(__xludf.DUMMYFUNCTION("""COMPUTED_VALUE"""),"獎狀")</f>
        <v>獎狀</v>
      </c>
      <c r="H2794" s="8"/>
    </row>
    <row r="2795">
      <c r="A2795" s="18"/>
      <c r="B2795" s="14">
        <f>IFERROR(__xludf.DUMMYFUNCTION("""COMPUTED_VALUE"""),1180894.0)</f>
        <v>1180894</v>
      </c>
      <c r="C2795" s="14" t="str">
        <f>IFERROR(__xludf.DUMMYFUNCTION("""COMPUTED_VALUE"""),"黃子軒")</f>
        <v>黃子軒</v>
      </c>
      <c r="D2795" s="16" t="str">
        <f>IFERROR(__xludf.DUMMYFUNCTION("""COMPUTED_VALUE"""),"970*****vi@gmail.com")</f>
        <v>970*****vi@gmail.com</v>
      </c>
      <c r="E2795" s="17" t="str">
        <f>IFERROR(__xludf.DUMMYFUNCTION("""COMPUTED_VALUE"""),"慈濟學校財團法人臺南市私立慈濟高級中學附設國中部")</f>
        <v>慈濟學校財團法人臺南市私立慈濟高級中學附設國中部</v>
      </c>
      <c r="F2795" s="14" t="str">
        <f>IFERROR(__xludf.DUMMYFUNCTION("""COMPUTED_VALUE"""),"八年級")</f>
        <v>八年級</v>
      </c>
      <c r="G2795" s="14" t="str">
        <f>IFERROR(__xludf.DUMMYFUNCTION("""COMPUTED_VALUE"""),"獎狀")</f>
        <v>獎狀</v>
      </c>
      <c r="H2795" s="8"/>
    </row>
    <row r="2796">
      <c r="A2796" s="18"/>
      <c r="B2796" s="14">
        <f>IFERROR(__xludf.DUMMYFUNCTION("""COMPUTED_VALUE"""),1193768.0)</f>
        <v>1193768</v>
      </c>
      <c r="C2796" s="14" t="str">
        <f>IFERROR(__xludf.DUMMYFUNCTION("""COMPUTED_VALUE"""),"洪晟祐")</f>
        <v>洪晟祐</v>
      </c>
      <c r="D2796" s="16" t="str">
        <f>IFERROR(__xludf.DUMMYFUNCTION("""COMPUTED_VALUE"""),"shu*****001@icloud.com")</f>
        <v>shu*****001@icloud.com</v>
      </c>
      <c r="E2796" s="17" t="str">
        <f>IFERROR(__xludf.DUMMYFUNCTION("""COMPUTED_VALUE"""),"慈濟學校財團法人臺南市私立慈濟高級中學附設國中部")</f>
        <v>慈濟學校財團法人臺南市私立慈濟高級中學附設國中部</v>
      </c>
      <c r="F2796" s="14" t="str">
        <f>IFERROR(__xludf.DUMMYFUNCTION("""COMPUTED_VALUE"""),"九年級")</f>
        <v>九年級</v>
      </c>
      <c r="G2796" s="14" t="str">
        <f>IFERROR(__xludf.DUMMYFUNCTION("""COMPUTED_VALUE"""),"獎狀")</f>
        <v>獎狀</v>
      </c>
      <c r="H2796" s="8"/>
    </row>
    <row r="2797">
      <c r="A2797" s="18"/>
      <c r="B2797" s="14">
        <f>IFERROR(__xludf.DUMMYFUNCTION("""COMPUTED_VALUE"""),1106870.0)</f>
        <v>1106870</v>
      </c>
      <c r="C2797" s="14" t="str">
        <f>IFERROR(__xludf.DUMMYFUNCTION("""COMPUTED_VALUE"""),"張哲昕")</f>
        <v>張哲昕</v>
      </c>
      <c r="D2797" s="16" t="str">
        <f>IFERROR(__xludf.DUMMYFUNCTION("""COMPUTED_VALUE"""),"110*****anjh.tn.edu.tw")</f>
        <v>110*****anjh.tn.edu.tw</v>
      </c>
      <c r="E2797" s="17" t="str">
        <f>IFERROR(__xludf.DUMMYFUNCTION("""COMPUTED_VALUE"""),"臺南市立安南國民中學")</f>
        <v>臺南市立安南國民中學</v>
      </c>
      <c r="F2797" s="14" t="str">
        <f>IFERROR(__xludf.DUMMYFUNCTION("""COMPUTED_VALUE"""),"八年級")</f>
        <v>八年級</v>
      </c>
      <c r="G2797" s="14" t="str">
        <f>IFERROR(__xludf.DUMMYFUNCTION("""COMPUTED_VALUE"""),"●小禮物")</f>
        <v>●小禮物</v>
      </c>
      <c r="H2797" s="8"/>
    </row>
    <row r="2798">
      <c r="A2798" s="18"/>
      <c r="B2798" s="14">
        <f>IFERROR(__xludf.DUMMYFUNCTION("""COMPUTED_VALUE"""),1110582.0)</f>
        <v>1110582</v>
      </c>
      <c r="C2798" s="14" t="str">
        <f>IFERROR(__xludf.DUMMYFUNCTION("""COMPUTED_VALUE"""),"曾淮媗")</f>
        <v>曾淮媗</v>
      </c>
      <c r="D2798" s="16" t="str">
        <f>IFERROR(__xludf.DUMMYFUNCTION("""COMPUTED_VALUE"""),"110*****anjh.tn.edu.tw")</f>
        <v>110*****anjh.tn.edu.tw</v>
      </c>
      <c r="E2798" s="17" t="str">
        <f>IFERROR(__xludf.DUMMYFUNCTION("""COMPUTED_VALUE"""),"臺南市立安南國民中學")</f>
        <v>臺南市立安南國民中學</v>
      </c>
      <c r="F2798" s="14" t="str">
        <f>IFERROR(__xludf.DUMMYFUNCTION("""COMPUTED_VALUE"""),"八年級")</f>
        <v>八年級</v>
      </c>
      <c r="G2798" s="14" t="str">
        <f>IFERROR(__xludf.DUMMYFUNCTION("""COMPUTED_VALUE"""),"●小禮物")</f>
        <v>●小禮物</v>
      </c>
      <c r="H2798" s="8"/>
    </row>
    <row r="2799">
      <c r="A2799" s="18"/>
      <c r="B2799" s="14">
        <f>IFERROR(__xludf.DUMMYFUNCTION("""COMPUTED_VALUE"""),373262.0)</f>
        <v>373262</v>
      </c>
      <c r="C2799" s="14" t="str">
        <f>IFERROR(__xludf.DUMMYFUNCTION("""COMPUTED_VALUE"""),"張睿甫")</f>
        <v>張睿甫</v>
      </c>
      <c r="D2799" s="16" t="str">
        <f>IFERROR(__xludf.DUMMYFUNCTION("""COMPUTED_VALUE"""),"st1*****0@mail.edu.tw")</f>
        <v>st1*****0@mail.edu.tw</v>
      </c>
      <c r="E2799" s="17" t="str">
        <f>IFERROR(__xludf.DUMMYFUNCTION("""COMPUTED_VALUE"""),"臺南市立安南國民中學")</f>
        <v>臺南市立安南國民中學</v>
      </c>
      <c r="F2799" s="14" t="str">
        <f>IFERROR(__xludf.DUMMYFUNCTION("""COMPUTED_VALUE"""),"八年級")</f>
        <v>八年級</v>
      </c>
      <c r="G2799" s="14" t="str">
        <f>IFERROR(__xludf.DUMMYFUNCTION("""COMPUTED_VALUE"""),"獎狀")</f>
        <v>獎狀</v>
      </c>
      <c r="H2799" s="8"/>
    </row>
    <row r="2800">
      <c r="A2800" s="18"/>
      <c r="B2800" s="14">
        <f>IFERROR(__xludf.DUMMYFUNCTION("""COMPUTED_VALUE"""),1110324.0)</f>
        <v>1110324</v>
      </c>
      <c r="C2800" s="14" t="str">
        <f>IFERROR(__xludf.DUMMYFUNCTION("""COMPUTED_VALUE"""),"林家甫")</f>
        <v>林家甫</v>
      </c>
      <c r="D2800" s="16" t="str">
        <f>IFERROR(__xludf.DUMMYFUNCTION("""COMPUTED_VALUE"""),"110*****anjh.tn.edu.tw")</f>
        <v>110*****anjh.tn.edu.tw</v>
      </c>
      <c r="E2800" s="17" t="str">
        <f>IFERROR(__xludf.DUMMYFUNCTION("""COMPUTED_VALUE"""),"臺南市立安南國民中學")</f>
        <v>臺南市立安南國民中學</v>
      </c>
      <c r="F2800" s="14" t="str">
        <f>IFERROR(__xludf.DUMMYFUNCTION("""COMPUTED_VALUE"""),"八年級")</f>
        <v>八年級</v>
      </c>
      <c r="G2800" s="14" t="str">
        <f>IFERROR(__xludf.DUMMYFUNCTION("""COMPUTED_VALUE"""),"●小禮物")</f>
        <v>●小禮物</v>
      </c>
      <c r="H2800" s="8"/>
    </row>
    <row r="2801">
      <c r="A2801" s="18"/>
      <c r="B2801" s="14">
        <f>IFERROR(__xludf.DUMMYFUNCTION("""COMPUTED_VALUE"""),1039164.0)</f>
        <v>1039164</v>
      </c>
      <c r="C2801" s="14" t="str">
        <f>IFERROR(__xludf.DUMMYFUNCTION("""COMPUTED_VALUE"""),"曾彙甯")</f>
        <v>曾彙甯</v>
      </c>
      <c r="D2801" s="16" t="str">
        <f>IFERROR(__xludf.DUMMYFUNCTION("""COMPUTED_VALUE"""),"st1*****9@mail.edu.tw")</f>
        <v>st1*****9@mail.edu.tw</v>
      </c>
      <c r="E2801" s="17" t="str">
        <f>IFERROR(__xludf.DUMMYFUNCTION("""COMPUTED_VALUE"""),"臺南市立安南國民中學")</f>
        <v>臺南市立安南國民中學</v>
      </c>
      <c r="F2801" s="14" t="str">
        <f>IFERROR(__xludf.DUMMYFUNCTION("""COMPUTED_VALUE"""),"九年級")</f>
        <v>九年級</v>
      </c>
      <c r="G2801" s="14" t="str">
        <f>IFERROR(__xludf.DUMMYFUNCTION("""COMPUTED_VALUE"""),"獎狀")</f>
        <v>獎狀</v>
      </c>
      <c r="H2801" s="8"/>
    </row>
    <row r="2802">
      <c r="A2802" s="18"/>
      <c r="B2802" s="14">
        <f>IFERROR(__xludf.DUMMYFUNCTION("""COMPUTED_VALUE"""),1166366.0)</f>
        <v>1166366</v>
      </c>
      <c r="C2802" s="14" t="str">
        <f>IFERROR(__xludf.DUMMYFUNCTION("""COMPUTED_VALUE"""),"林祐鉦")</f>
        <v>林祐鉦</v>
      </c>
      <c r="D2802" s="16" t="str">
        <f>IFERROR(__xludf.DUMMYFUNCTION("""COMPUTED_VALUE"""),"109*****anjh.tn.edu.tw")</f>
        <v>109*****anjh.tn.edu.tw</v>
      </c>
      <c r="E2802" s="17" t="str">
        <f>IFERROR(__xludf.DUMMYFUNCTION("""COMPUTED_VALUE"""),"臺南市立安南國民中學")</f>
        <v>臺南市立安南國民中學</v>
      </c>
      <c r="F2802" s="14" t="str">
        <f>IFERROR(__xludf.DUMMYFUNCTION("""COMPUTED_VALUE"""),"九年級")</f>
        <v>九年級</v>
      </c>
      <c r="G2802" s="14" t="str">
        <f>IFERROR(__xludf.DUMMYFUNCTION("""COMPUTED_VALUE"""),"●小禮物")</f>
        <v>●小禮物</v>
      </c>
      <c r="H2802" s="8"/>
    </row>
    <row r="2803">
      <c r="A2803" s="18"/>
      <c r="B2803" s="14">
        <f>IFERROR(__xludf.DUMMYFUNCTION("""COMPUTED_VALUE"""),548031.0)</f>
        <v>548031</v>
      </c>
      <c r="C2803" s="14" t="str">
        <f>IFERROR(__xludf.DUMMYFUNCTION("""COMPUTED_VALUE"""),"蔡佳妤")</f>
        <v>蔡佳妤</v>
      </c>
      <c r="D2803" s="16" t="str">
        <f>IFERROR(__xludf.DUMMYFUNCTION("""COMPUTED_VALUE"""),"st0*****@mail.edu.tw")</f>
        <v>st0*****@mail.edu.tw</v>
      </c>
      <c r="E2803" s="17" t="str">
        <f>IFERROR(__xludf.DUMMYFUNCTION("""COMPUTED_VALUE"""),"臺南市立安南國民中學")</f>
        <v>臺南市立安南國民中學</v>
      </c>
      <c r="F2803" s="14" t="str">
        <f>IFERROR(__xludf.DUMMYFUNCTION("""COMPUTED_VALUE"""),"九年級")</f>
        <v>九年級</v>
      </c>
      <c r="G2803" s="14" t="str">
        <f>IFERROR(__xludf.DUMMYFUNCTION("""COMPUTED_VALUE"""),"●小禮物")</f>
        <v>●小禮物</v>
      </c>
      <c r="H2803" s="8"/>
    </row>
    <row r="2804">
      <c r="A2804" s="18"/>
      <c r="B2804" s="14">
        <f>IFERROR(__xludf.DUMMYFUNCTION("""COMPUTED_VALUE"""),1166358.0)</f>
        <v>1166358</v>
      </c>
      <c r="C2804" s="14" t="str">
        <f>IFERROR(__xludf.DUMMYFUNCTION("""COMPUTED_VALUE"""),"賴科亦")</f>
        <v>賴科亦</v>
      </c>
      <c r="D2804" s="16" t="str">
        <f>IFERROR(__xludf.DUMMYFUNCTION("""COMPUTED_VALUE"""),"109*****anjh.tn.edu.tw")</f>
        <v>109*****anjh.tn.edu.tw</v>
      </c>
      <c r="E2804" s="17" t="str">
        <f>IFERROR(__xludf.DUMMYFUNCTION("""COMPUTED_VALUE"""),"臺南市立安南國民中學")</f>
        <v>臺南市立安南國民中學</v>
      </c>
      <c r="F2804" s="14" t="str">
        <f>IFERROR(__xludf.DUMMYFUNCTION("""COMPUTED_VALUE"""),"九年級")</f>
        <v>九年級</v>
      </c>
      <c r="G2804" s="14" t="str">
        <f>IFERROR(__xludf.DUMMYFUNCTION("""COMPUTED_VALUE"""),"●小禮物")</f>
        <v>●小禮物</v>
      </c>
      <c r="H2804" s="8"/>
    </row>
    <row r="2805">
      <c r="A2805" s="18"/>
      <c r="B2805" s="14">
        <f>IFERROR(__xludf.DUMMYFUNCTION("""COMPUTED_VALUE"""),751054.0)</f>
        <v>751054</v>
      </c>
      <c r="C2805" s="14" t="str">
        <f>IFERROR(__xludf.DUMMYFUNCTION("""COMPUTED_VALUE"""),"吳思樺")</f>
        <v>吳思樺</v>
      </c>
      <c r="D2805" s="16" t="str">
        <f>IFERROR(__xludf.DUMMYFUNCTION("""COMPUTED_VALUE"""),"109*****anjh.tn.edu.tw")</f>
        <v>109*****anjh.tn.edu.tw</v>
      </c>
      <c r="E2805" s="17" t="str">
        <f>IFERROR(__xludf.DUMMYFUNCTION("""COMPUTED_VALUE"""),"臺南市立安南國民中學")</f>
        <v>臺南市立安南國民中學</v>
      </c>
      <c r="F2805" s="14" t="str">
        <f>IFERROR(__xludf.DUMMYFUNCTION("""COMPUTED_VALUE"""),"九年級")</f>
        <v>九年級</v>
      </c>
      <c r="G2805" s="14" t="str">
        <f>IFERROR(__xludf.DUMMYFUNCTION("""COMPUTED_VALUE"""),"●小禮物")</f>
        <v>●小禮物</v>
      </c>
      <c r="H2805" s="8"/>
    </row>
    <row r="2806">
      <c r="A2806" s="18"/>
      <c r="B2806" s="14">
        <f>IFERROR(__xludf.DUMMYFUNCTION("""COMPUTED_VALUE"""),983181.0)</f>
        <v>983181</v>
      </c>
      <c r="C2806" s="14" t="str">
        <f>IFERROR(__xludf.DUMMYFUNCTION("""COMPUTED_VALUE"""),"張宥葶")</f>
        <v>張宥葶</v>
      </c>
      <c r="D2806" s="16" t="str">
        <f>IFERROR(__xludf.DUMMYFUNCTION("""COMPUTED_VALUE"""),"109*****anjh.tn.edu.tw")</f>
        <v>109*****anjh.tn.edu.tw</v>
      </c>
      <c r="E2806" s="17" t="str">
        <f>IFERROR(__xludf.DUMMYFUNCTION("""COMPUTED_VALUE"""),"臺南市立安南國民中學")</f>
        <v>臺南市立安南國民中學</v>
      </c>
      <c r="F2806" s="14" t="str">
        <f>IFERROR(__xludf.DUMMYFUNCTION("""COMPUTED_VALUE"""),"九年級")</f>
        <v>九年級</v>
      </c>
      <c r="G2806" s="14" t="str">
        <f>IFERROR(__xludf.DUMMYFUNCTION("""COMPUTED_VALUE"""),"●小禮物")</f>
        <v>●小禮物</v>
      </c>
      <c r="H2806" s="8"/>
    </row>
    <row r="2807">
      <c r="A2807" s="18"/>
      <c r="B2807" s="14">
        <f>IFERROR(__xludf.DUMMYFUNCTION("""COMPUTED_VALUE"""),709978.0)</f>
        <v>709978</v>
      </c>
      <c r="C2807" s="14" t="str">
        <f>IFERROR(__xludf.DUMMYFUNCTION("""COMPUTED_VALUE"""),"李宜蓁")</f>
        <v>李宜蓁</v>
      </c>
      <c r="D2807" s="16" t="str">
        <f>IFERROR(__xludf.DUMMYFUNCTION("""COMPUTED_VALUE"""),"109*****anjh.tn.edu.tw")</f>
        <v>109*****anjh.tn.edu.tw</v>
      </c>
      <c r="E2807" s="17" t="str">
        <f>IFERROR(__xludf.DUMMYFUNCTION("""COMPUTED_VALUE"""),"臺南市立安南國民中學")</f>
        <v>臺南市立安南國民中學</v>
      </c>
      <c r="F2807" s="14" t="str">
        <f>IFERROR(__xludf.DUMMYFUNCTION("""COMPUTED_VALUE"""),"九年級")</f>
        <v>九年級</v>
      </c>
      <c r="G2807" s="14" t="str">
        <f>IFERROR(__xludf.DUMMYFUNCTION("""COMPUTED_VALUE"""),"獎狀")</f>
        <v>獎狀</v>
      </c>
      <c r="H2807" s="8"/>
    </row>
    <row r="2808">
      <c r="A2808" s="18"/>
      <c r="B2808" s="14">
        <f>IFERROR(__xludf.DUMMYFUNCTION("""COMPUTED_VALUE"""),333743.0)</f>
        <v>333743</v>
      </c>
      <c r="C2808" s="14" t="str">
        <f>IFERROR(__xludf.DUMMYFUNCTION("""COMPUTED_VALUE"""),"林峻逸")</f>
        <v>林峻逸</v>
      </c>
      <c r="D2808" s="16" t="str">
        <f>IFERROR(__xludf.DUMMYFUNCTION("""COMPUTED_VALUE"""),"st9*****7@mail.edu.tw")</f>
        <v>st9*****7@mail.edu.tw</v>
      </c>
      <c r="E2808" s="17" t="str">
        <f>IFERROR(__xludf.DUMMYFUNCTION("""COMPUTED_VALUE"""),"臺南市立和順國民中學")</f>
        <v>臺南市立和順國民中學</v>
      </c>
      <c r="F2808" s="14" t="str">
        <f>IFERROR(__xludf.DUMMYFUNCTION("""COMPUTED_VALUE"""),"八年級")</f>
        <v>八年級</v>
      </c>
      <c r="G2808" s="14" t="str">
        <f>IFERROR(__xludf.DUMMYFUNCTION("""COMPUTED_VALUE"""),"●小禮物")</f>
        <v>●小禮物</v>
      </c>
      <c r="H2808" s="8"/>
    </row>
    <row r="2809">
      <c r="A2809" s="18"/>
      <c r="B2809" s="14">
        <f>IFERROR(__xludf.DUMMYFUNCTION("""COMPUTED_VALUE"""),869862.0)</f>
        <v>869862</v>
      </c>
      <c r="C2809" s="14" t="str">
        <f>IFERROR(__xludf.DUMMYFUNCTION("""COMPUTED_VALUE"""),"吳婉慈")</f>
        <v>吳婉慈</v>
      </c>
      <c r="D2809" s="16" t="str">
        <f>IFERROR(__xludf.DUMMYFUNCTION("""COMPUTED_VALUE"""),"wan*****322@gmail.com")</f>
        <v>wan*****322@gmail.com</v>
      </c>
      <c r="E2809" s="17" t="str">
        <f>IFERROR(__xludf.DUMMYFUNCTION("""COMPUTED_VALUE"""),"臺南市私立瀛海高級中學附設國中部")</f>
        <v>臺南市私立瀛海高級中學附設國中部</v>
      </c>
      <c r="F2809" s="14" t="str">
        <f>IFERROR(__xludf.DUMMYFUNCTION("""COMPUTED_VALUE"""),"八年級")</f>
        <v>八年級</v>
      </c>
      <c r="G2809" s="14" t="str">
        <f>IFERROR(__xludf.DUMMYFUNCTION("""COMPUTED_VALUE"""),"獎狀")</f>
        <v>獎狀</v>
      </c>
      <c r="H2809" s="8"/>
    </row>
    <row r="2810">
      <c r="A2810" s="18"/>
      <c r="B2810" s="14">
        <f>IFERROR(__xludf.DUMMYFUNCTION("""COMPUTED_VALUE"""),594893.0)</f>
        <v>594893</v>
      </c>
      <c r="C2810" s="14" t="str">
        <f>IFERROR(__xludf.DUMMYFUNCTION("""COMPUTED_VALUE"""),"周芷菲")</f>
        <v>周芷菲</v>
      </c>
      <c r="D2810" s="16" t="str">
        <f>IFERROR(__xludf.DUMMYFUNCTION("""COMPUTED_VALUE"""),"st0*****2@mail.edu.tw")</f>
        <v>st0*****2@mail.edu.tw</v>
      </c>
      <c r="E2810" s="17" t="str">
        <f>IFERROR(__xludf.DUMMYFUNCTION("""COMPUTED_VALUE"""),"臺南市立永康國民中學")</f>
        <v>臺南市立永康國民中學</v>
      </c>
      <c r="F2810" s="14" t="str">
        <f>IFERROR(__xludf.DUMMYFUNCTION("""COMPUTED_VALUE"""),"八年級")</f>
        <v>八年級</v>
      </c>
      <c r="G2810" s="14" t="str">
        <f>IFERROR(__xludf.DUMMYFUNCTION("""COMPUTED_VALUE"""),"獎狀")</f>
        <v>獎狀</v>
      </c>
      <c r="H2810" s="8"/>
    </row>
    <row r="2811">
      <c r="A2811" s="18"/>
      <c r="B2811" s="14">
        <f>IFERROR(__xludf.DUMMYFUNCTION("""COMPUTED_VALUE"""),882182.0)</f>
        <v>882182</v>
      </c>
      <c r="C2811" s="14" t="str">
        <f>IFERROR(__xludf.DUMMYFUNCTION("""COMPUTED_VALUE"""),"陳品齊")</f>
        <v>陳品齊</v>
      </c>
      <c r="D2811" s="16" t="str">
        <f>IFERROR(__xludf.DUMMYFUNCTION("""COMPUTED_VALUE"""),"st1*****5.tn@mail.edu.tw")</f>
        <v>st1*****5.tn@mail.edu.tw</v>
      </c>
      <c r="E2811" s="17" t="str">
        <f>IFERROR(__xludf.DUMMYFUNCTION("""COMPUTED_VALUE"""),"臺南市立永康國民中學")</f>
        <v>臺南市立永康國民中學</v>
      </c>
      <c r="F2811" s="14" t="str">
        <f>IFERROR(__xludf.DUMMYFUNCTION("""COMPUTED_VALUE"""),"八年級")</f>
        <v>八年級</v>
      </c>
      <c r="G2811" s="14" t="str">
        <f>IFERROR(__xludf.DUMMYFUNCTION("""COMPUTED_VALUE"""),"獎狀")</f>
        <v>獎狀</v>
      </c>
      <c r="H2811" s="8"/>
    </row>
    <row r="2812">
      <c r="A2812" s="18"/>
      <c r="B2812" s="14">
        <f>IFERROR(__xludf.DUMMYFUNCTION("""COMPUTED_VALUE"""),377338.0)</f>
        <v>377338</v>
      </c>
      <c r="C2812" s="14" t="str">
        <f>IFERROR(__xludf.DUMMYFUNCTION("""COMPUTED_VALUE"""),"蔡立誠")</f>
        <v>蔡立誠</v>
      </c>
      <c r="D2812" s="16" t="str">
        <f>IFERROR(__xludf.DUMMYFUNCTION("""COMPUTED_VALUE"""),"st2*****4.tn@mail.edu.tw")</f>
        <v>st2*****4.tn@mail.edu.tw</v>
      </c>
      <c r="E2812" s="17" t="str">
        <f>IFERROR(__xludf.DUMMYFUNCTION("""COMPUTED_VALUE"""),"臺南市立大灣高級中學附設國中部")</f>
        <v>臺南市立大灣高級中學附設國中部</v>
      </c>
      <c r="F2812" s="14" t="str">
        <f>IFERROR(__xludf.DUMMYFUNCTION("""COMPUTED_VALUE"""),"七年級")</f>
        <v>七年級</v>
      </c>
      <c r="G2812" s="14" t="str">
        <f>IFERROR(__xludf.DUMMYFUNCTION("""COMPUTED_VALUE"""),"●小禮物")</f>
        <v>●小禮物</v>
      </c>
      <c r="H2812" s="8"/>
    </row>
    <row r="2813">
      <c r="A2813" s="18"/>
      <c r="B2813" s="14">
        <f>IFERROR(__xludf.DUMMYFUNCTION("""COMPUTED_VALUE"""),726561.0)</f>
        <v>726561</v>
      </c>
      <c r="C2813" s="14" t="str">
        <f>IFERROR(__xludf.DUMMYFUNCTION("""COMPUTED_VALUE"""),"吳映蓁")</f>
        <v>吳映蓁</v>
      </c>
      <c r="D2813" s="16" t="str">
        <f>IFERROR(__xludf.DUMMYFUNCTION("""COMPUTED_VALUE"""),"a09*****267@gmail.com")</f>
        <v>a09*****267@gmail.com</v>
      </c>
      <c r="E2813" s="17" t="str">
        <f>IFERROR(__xludf.DUMMYFUNCTION("""COMPUTED_VALUE"""),"臺南市立仁德國民中學")</f>
        <v>臺南市立仁德國民中學</v>
      </c>
      <c r="F2813" s="14" t="str">
        <f>IFERROR(__xludf.DUMMYFUNCTION("""COMPUTED_VALUE"""),"七年級")</f>
        <v>七年級</v>
      </c>
      <c r="G2813" s="14" t="str">
        <f>IFERROR(__xludf.DUMMYFUNCTION("""COMPUTED_VALUE"""),"●小禮物")</f>
        <v>●小禮物</v>
      </c>
      <c r="H2813" s="8"/>
    </row>
    <row r="2814">
      <c r="A2814" s="18"/>
      <c r="B2814" s="14">
        <f>IFERROR(__xludf.DUMMYFUNCTION("""COMPUTED_VALUE"""),831078.0)</f>
        <v>831078</v>
      </c>
      <c r="C2814" s="14" t="str">
        <f>IFERROR(__xludf.DUMMYFUNCTION("""COMPUTED_VALUE"""),"吳美菱")</f>
        <v>吳美菱</v>
      </c>
      <c r="D2814" s="16" t="str">
        <f>IFERROR(__xludf.DUMMYFUNCTION("""COMPUTED_VALUE"""),"st5*****8@mail.edu.tw")</f>
        <v>st5*****8@mail.edu.tw</v>
      </c>
      <c r="E2814" s="17" t="str">
        <f>IFERROR(__xludf.DUMMYFUNCTION("""COMPUTED_VALUE"""),"臺南市立關廟國民中學")</f>
        <v>臺南市立關廟國民中學</v>
      </c>
      <c r="F2814" s="14" t="str">
        <f>IFERROR(__xludf.DUMMYFUNCTION("""COMPUTED_VALUE"""),"八年級")</f>
        <v>八年級</v>
      </c>
      <c r="G2814" s="14" t="str">
        <f>IFERROR(__xludf.DUMMYFUNCTION("""COMPUTED_VALUE"""),"●小禮物")</f>
        <v>●小禮物</v>
      </c>
      <c r="H2814" s="8"/>
    </row>
    <row r="2815">
      <c r="A2815" s="18"/>
      <c r="B2815" s="14">
        <f>IFERROR(__xludf.DUMMYFUNCTION("""COMPUTED_VALUE"""),831064.0)</f>
        <v>831064</v>
      </c>
      <c r="C2815" s="14" t="str">
        <f>IFERROR(__xludf.DUMMYFUNCTION("""COMPUTED_VALUE"""),"黃珮芩")</f>
        <v>黃珮芩</v>
      </c>
      <c r="D2815" s="16" t="str">
        <f>IFERROR(__xludf.DUMMYFUNCTION("""COMPUTED_VALUE"""),"st1*****7.tn@mail.edu.tw")</f>
        <v>st1*****7.tn@mail.edu.tw</v>
      </c>
      <c r="E2815" s="17" t="str">
        <f>IFERROR(__xludf.DUMMYFUNCTION("""COMPUTED_VALUE"""),"臺南市立關廟國民中學")</f>
        <v>臺南市立關廟國民中學</v>
      </c>
      <c r="F2815" s="14" t="str">
        <f>IFERROR(__xludf.DUMMYFUNCTION("""COMPUTED_VALUE"""),"八年級")</f>
        <v>八年級</v>
      </c>
      <c r="G2815" s="14" t="str">
        <f>IFERROR(__xludf.DUMMYFUNCTION("""COMPUTED_VALUE"""),"●小禮物")</f>
        <v>●小禮物</v>
      </c>
      <c r="H2815" s="8"/>
    </row>
    <row r="2816">
      <c r="A2816" s="18"/>
      <c r="B2816" s="14">
        <f>IFERROR(__xludf.DUMMYFUNCTION("""COMPUTED_VALUE"""),831056.0)</f>
        <v>831056</v>
      </c>
      <c r="C2816" s="14" t="str">
        <f>IFERROR(__xludf.DUMMYFUNCTION("""COMPUTED_VALUE"""),"鄧欣妮")</f>
        <v>鄧欣妮</v>
      </c>
      <c r="D2816" s="16" t="str">
        <f>IFERROR(__xludf.DUMMYFUNCTION("""COMPUTED_VALUE"""),"st3*****1.tn@mail.edu.tw")</f>
        <v>st3*****1.tn@mail.edu.tw</v>
      </c>
      <c r="E2816" s="17" t="str">
        <f>IFERROR(__xludf.DUMMYFUNCTION("""COMPUTED_VALUE"""),"臺南市立關廟國民中學")</f>
        <v>臺南市立關廟國民中學</v>
      </c>
      <c r="F2816" s="14" t="str">
        <f>IFERROR(__xludf.DUMMYFUNCTION("""COMPUTED_VALUE"""),"八年級")</f>
        <v>八年級</v>
      </c>
      <c r="G2816" s="14" t="str">
        <f>IFERROR(__xludf.DUMMYFUNCTION("""COMPUTED_VALUE"""),"●小禮物")</f>
        <v>●小禮物</v>
      </c>
      <c r="H2816" s="8"/>
    </row>
    <row r="2817">
      <c r="A2817" s="18"/>
      <c r="B2817" s="14">
        <f>IFERROR(__xludf.DUMMYFUNCTION("""COMPUTED_VALUE"""),831083.0)</f>
        <v>831083</v>
      </c>
      <c r="C2817" s="14" t="str">
        <f>IFERROR(__xludf.DUMMYFUNCTION("""COMPUTED_VALUE"""),"盧家茜")</f>
        <v>盧家茜</v>
      </c>
      <c r="D2817" s="16" t="str">
        <f>IFERROR(__xludf.DUMMYFUNCTION("""COMPUTED_VALUE"""),"hil*****2345@mail.edu.tw")</f>
        <v>hil*****2345@mail.edu.tw</v>
      </c>
      <c r="E2817" s="17" t="str">
        <f>IFERROR(__xludf.DUMMYFUNCTION("""COMPUTED_VALUE"""),"臺南市立關廟國民中學")</f>
        <v>臺南市立關廟國民中學</v>
      </c>
      <c r="F2817" s="14" t="str">
        <f>IFERROR(__xludf.DUMMYFUNCTION("""COMPUTED_VALUE"""),"八年級")</f>
        <v>八年級</v>
      </c>
      <c r="G2817" s="14" t="str">
        <f>IFERROR(__xludf.DUMMYFUNCTION("""COMPUTED_VALUE"""),"●小禮物")</f>
        <v>●小禮物</v>
      </c>
      <c r="H2817" s="8"/>
    </row>
    <row r="2818">
      <c r="A2818" s="18"/>
      <c r="B2818" s="14">
        <f>IFERROR(__xludf.DUMMYFUNCTION("""COMPUTED_VALUE"""),831060.0)</f>
        <v>831060</v>
      </c>
      <c r="C2818" s="14" t="str">
        <f>IFERROR(__xludf.DUMMYFUNCTION("""COMPUTED_VALUE"""),"吳瑜帆")</f>
        <v>吳瑜帆</v>
      </c>
      <c r="D2818" s="16" t="str">
        <f>IFERROR(__xludf.DUMMYFUNCTION("""COMPUTED_VALUE"""),"st0*****58@mail.edu.tw")</f>
        <v>st0*****58@mail.edu.tw</v>
      </c>
      <c r="E2818" s="17" t="str">
        <f>IFERROR(__xludf.DUMMYFUNCTION("""COMPUTED_VALUE"""),"臺南市立關廟國民中學")</f>
        <v>臺南市立關廟國民中學</v>
      </c>
      <c r="F2818" s="14" t="str">
        <f>IFERROR(__xludf.DUMMYFUNCTION("""COMPUTED_VALUE"""),"八年級")</f>
        <v>八年級</v>
      </c>
      <c r="G2818" s="14" t="str">
        <f>IFERROR(__xludf.DUMMYFUNCTION("""COMPUTED_VALUE"""),"★禮券$500")</f>
        <v>★禮券$500</v>
      </c>
      <c r="H2818" s="8"/>
    </row>
    <row r="2819">
      <c r="A2819" s="18"/>
      <c r="B2819" s="14">
        <f>IFERROR(__xludf.DUMMYFUNCTION("""COMPUTED_VALUE"""),831077.0)</f>
        <v>831077</v>
      </c>
      <c r="C2819" s="14" t="str">
        <f>IFERROR(__xludf.DUMMYFUNCTION("""COMPUTED_VALUE"""),"李宗勳")</f>
        <v>李宗勳</v>
      </c>
      <c r="D2819" s="16" t="str">
        <f>IFERROR(__xludf.DUMMYFUNCTION("""COMPUTED_VALUE"""),"st1*****7.tn@mail.edu.tw")</f>
        <v>st1*****7.tn@mail.edu.tw</v>
      </c>
      <c r="E2819" s="17" t="str">
        <f>IFERROR(__xludf.DUMMYFUNCTION("""COMPUTED_VALUE"""),"臺南市立關廟國民中學")</f>
        <v>臺南市立關廟國民中學</v>
      </c>
      <c r="F2819" s="14" t="str">
        <f>IFERROR(__xludf.DUMMYFUNCTION("""COMPUTED_VALUE"""),"八年級")</f>
        <v>八年級</v>
      </c>
      <c r="G2819" s="14" t="str">
        <f>IFERROR(__xludf.DUMMYFUNCTION("""COMPUTED_VALUE"""),"獎狀")</f>
        <v>獎狀</v>
      </c>
      <c r="H2819" s="8"/>
    </row>
    <row r="2820">
      <c r="A2820" s="18"/>
      <c r="B2820" s="14">
        <f>IFERROR(__xludf.DUMMYFUNCTION("""COMPUTED_VALUE"""),831080.0)</f>
        <v>831080</v>
      </c>
      <c r="C2820" s="14" t="str">
        <f>IFERROR(__xludf.DUMMYFUNCTION("""COMPUTED_VALUE"""),"張孜綺")</f>
        <v>張孜綺</v>
      </c>
      <c r="D2820" s="16" t="str">
        <f>IFERROR(__xludf.DUMMYFUNCTION("""COMPUTED_VALUE"""),"st1*****2.ship@mail.edu.tw")</f>
        <v>st1*****2.ship@mail.edu.tw</v>
      </c>
      <c r="E2820" s="17" t="str">
        <f>IFERROR(__xludf.DUMMYFUNCTION("""COMPUTED_VALUE"""),"臺南市立關廟國民中學")</f>
        <v>臺南市立關廟國民中學</v>
      </c>
      <c r="F2820" s="14" t="str">
        <f>IFERROR(__xludf.DUMMYFUNCTION("""COMPUTED_VALUE"""),"八年級")</f>
        <v>八年級</v>
      </c>
      <c r="G2820" s="14" t="str">
        <f>IFERROR(__xludf.DUMMYFUNCTION("""COMPUTED_VALUE"""),"獎狀")</f>
        <v>獎狀</v>
      </c>
      <c r="H2820" s="8"/>
    </row>
    <row r="2821">
      <c r="A2821" s="18"/>
      <c r="B2821" s="14">
        <f>IFERROR(__xludf.DUMMYFUNCTION("""COMPUTED_VALUE"""),573976.0)</f>
        <v>573976</v>
      </c>
      <c r="C2821" s="14" t="str">
        <f>IFERROR(__xludf.DUMMYFUNCTION("""COMPUTED_VALUE"""),"游芮萱")</f>
        <v>游芮萱</v>
      </c>
      <c r="D2821" s="16" t="str">
        <f>IFERROR(__xludf.DUMMYFUNCTION("""COMPUTED_VALUE"""),"st5*****0@mail.edu.tw")</f>
        <v>st5*****0@mail.edu.tw</v>
      </c>
      <c r="E2821" s="17" t="str">
        <f>IFERROR(__xludf.DUMMYFUNCTION("""COMPUTED_VALUE"""),"臺南市立關廟國民中學")</f>
        <v>臺南市立關廟國民中學</v>
      </c>
      <c r="F2821" s="14" t="str">
        <f>IFERROR(__xludf.DUMMYFUNCTION("""COMPUTED_VALUE"""),"八年級")</f>
        <v>八年級</v>
      </c>
      <c r="G2821" s="14" t="str">
        <f>IFERROR(__xludf.DUMMYFUNCTION("""COMPUTED_VALUE"""),"獎狀")</f>
        <v>獎狀</v>
      </c>
      <c r="H2821" s="8"/>
    </row>
    <row r="2822">
      <c r="A2822" s="18"/>
      <c r="B2822" s="14">
        <f>IFERROR(__xludf.DUMMYFUNCTION("""COMPUTED_VALUE"""),831052.0)</f>
        <v>831052</v>
      </c>
      <c r="C2822" s="14" t="str">
        <f>IFERROR(__xludf.DUMMYFUNCTION("""COMPUTED_VALUE"""),"黃婉淇")</f>
        <v>黃婉淇</v>
      </c>
      <c r="D2822" s="16" t="str">
        <f>IFERROR(__xludf.DUMMYFUNCTION("""COMPUTED_VALUE"""),"st5*****5.tn@mail.edu.tw")</f>
        <v>st5*****5.tn@mail.edu.tw</v>
      </c>
      <c r="E2822" s="17" t="str">
        <f>IFERROR(__xludf.DUMMYFUNCTION("""COMPUTED_VALUE"""),"臺南市立關廟國民中學")</f>
        <v>臺南市立關廟國民中學</v>
      </c>
      <c r="F2822" s="14" t="str">
        <f>IFERROR(__xludf.DUMMYFUNCTION("""COMPUTED_VALUE"""),"八年級")</f>
        <v>八年級</v>
      </c>
      <c r="G2822" s="14" t="str">
        <f>IFERROR(__xludf.DUMMYFUNCTION("""COMPUTED_VALUE"""),"獎狀")</f>
        <v>獎狀</v>
      </c>
      <c r="H2822" s="8"/>
    </row>
    <row r="2823">
      <c r="A2823" s="18"/>
      <c r="B2823" s="14">
        <f>IFERROR(__xludf.DUMMYFUNCTION("""COMPUTED_VALUE"""),831079.0)</f>
        <v>831079</v>
      </c>
      <c r="C2823" s="14" t="str">
        <f>IFERROR(__xludf.DUMMYFUNCTION("""COMPUTED_VALUE"""),"楊渝汎")</f>
        <v>楊渝汎</v>
      </c>
      <c r="D2823" s="16" t="str">
        <f>IFERROR(__xludf.DUMMYFUNCTION("""COMPUTED_VALUE"""),"st5*****5.tn@mail.edu.tw")</f>
        <v>st5*****5.tn@mail.edu.tw</v>
      </c>
      <c r="E2823" s="17" t="str">
        <f>IFERROR(__xludf.DUMMYFUNCTION("""COMPUTED_VALUE"""),"臺南市立關廟國民中學")</f>
        <v>臺南市立關廟國民中學</v>
      </c>
      <c r="F2823" s="14" t="str">
        <f>IFERROR(__xludf.DUMMYFUNCTION("""COMPUTED_VALUE"""),"八年級")</f>
        <v>八年級</v>
      </c>
      <c r="G2823" s="14" t="str">
        <f>IFERROR(__xludf.DUMMYFUNCTION("""COMPUTED_VALUE"""),"獎狀")</f>
        <v>獎狀</v>
      </c>
      <c r="H2823" s="8"/>
    </row>
    <row r="2824">
      <c r="A2824" s="18"/>
      <c r="B2824" s="14">
        <f>IFERROR(__xludf.DUMMYFUNCTION("""COMPUTED_VALUE"""),381754.0)</f>
        <v>381754</v>
      </c>
      <c r="C2824" s="14" t="str">
        <f>IFERROR(__xludf.DUMMYFUNCTION("""COMPUTED_VALUE"""),"薛誼臻")</f>
        <v>薛誼臻</v>
      </c>
      <c r="D2824" s="16" t="str">
        <f>IFERROR(__xludf.DUMMYFUNCTION("""COMPUTED_VALUE"""),"st3*****6@mail.edu.tw")</f>
        <v>st3*****6@mail.edu.tw</v>
      </c>
      <c r="E2824" s="17" t="str">
        <f>IFERROR(__xludf.DUMMYFUNCTION("""COMPUTED_VALUE"""),"臺南市立關廟國民中學")</f>
        <v>臺南市立關廟國民中學</v>
      </c>
      <c r="F2824" s="14" t="str">
        <f>IFERROR(__xludf.DUMMYFUNCTION("""COMPUTED_VALUE"""),"八年級")</f>
        <v>八年級</v>
      </c>
      <c r="G2824" s="14" t="str">
        <f>IFERROR(__xludf.DUMMYFUNCTION("""COMPUTED_VALUE"""),"獎狀")</f>
        <v>獎狀</v>
      </c>
      <c r="H2824" s="8"/>
    </row>
    <row r="2825">
      <c r="A2825" s="18"/>
      <c r="B2825" s="14">
        <f>IFERROR(__xludf.DUMMYFUNCTION("""COMPUTED_VALUE"""),470616.0)</f>
        <v>470616</v>
      </c>
      <c r="C2825" s="14" t="str">
        <f>IFERROR(__xludf.DUMMYFUNCTION("""COMPUTED_VALUE"""),"洪仕杰")</f>
        <v>洪仕杰</v>
      </c>
      <c r="D2825" s="16" t="str">
        <f>IFERROR(__xludf.DUMMYFUNCTION("""COMPUTED_VALUE"""),"st2*****7@mail.edu.tw")</f>
        <v>st2*****7@mail.edu.tw</v>
      </c>
      <c r="E2825" s="17" t="str">
        <f>IFERROR(__xludf.DUMMYFUNCTION("""COMPUTED_VALUE"""),"臺南市立關廟國民中學")</f>
        <v>臺南市立關廟國民中學</v>
      </c>
      <c r="F2825" s="14" t="str">
        <f>IFERROR(__xludf.DUMMYFUNCTION("""COMPUTED_VALUE"""),"九年級")</f>
        <v>九年級</v>
      </c>
      <c r="G2825" s="14" t="str">
        <f>IFERROR(__xludf.DUMMYFUNCTION("""COMPUTED_VALUE"""),"獎狀")</f>
        <v>獎狀</v>
      </c>
      <c r="H2825" s="8"/>
    </row>
    <row r="2826">
      <c r="A2826" s="18"/>
      <c r="B2826" s="14">
        <f>IFERROR(__xludf.DUMMYFUNCTION("""COMPUTED_VALUE"""),470615.0)</f>
        <v>470615</v>
      </c>
      <c r="C2826" s="14" t="str">
        <f>IFERROR(__xludf.DUMMYFUNCTION("""COMPUTED_VALUE"""),"吳婉瑄")</f>
        <v>吳婉瑄</v>
      </c>
      <c r="D2826" s="16" t="str">
        <f>IFERROR(__xludf.DUMMYFUNCTION("""COMPUTED_VALUE"""),"st2*****6@mail.edu.tw")</f>
        <v>st2*****6@mail.edu.tw</v>
      </c>
      <c r="E2826" s="17" t="str">
        <f>IFERROR(__xludf.DUMMYFUNCTION("""COMPUTED_VALUE"""),"臺南市立關廟國民中學")</f>
        <v>臺南市立關廟國民中學</v>
      </c>
      <c r="F2826" s="14" t="str">
        <f>IFERROR(__xludf.DUMMYFUNCTION("""COMPUTED_VALUE"""),"九年級")</f>
        <v>九年級</v>
      </c>
      <c r="G2826" s="14" t="str">
        <f>IFERROR(__xludf.DUMMYFUNCTION("""COMPUTED_VALUE"""),"●小禮物")</f>
        <v>●小禮物</v>
      </c>
      <c r="H2826" s="8"/>
    </row>
    <row r="2827">
      <c r="A2827" s="18"/>
      <c r="B2827" s="14">
        <f>IFERROR(__xludf.DUMMYFUNCTION("""COMPUTED_VALUE"""),470618.0)</f>
        <v>470618</v>
      </c>
      <c r="C2827" s="14" t="str">
        <f>IFERROR(__xludf.DUMMYFUNCTION("""COMPUTED_VALUE"""),"陳宥霓")</f>
        <v>陳宥霓</v>
      </c>
      <c r="D2827" s="16" t="str">
        <f>IFERROR(__xludf.DUMMYFUNCTION("""COMPUTED_VALUE"""),"st0*****6@mail.edu.tw")</f>
        <v>st0*****6@mail.edu.tw</v>
      </c>
      <c r="E2827" s="17" t="str">
        <f>IFERROR(__xludf.DUMMYFUNCTION("""COMPUTED_VALUE"""),"臺南市立關廟國民中學")</f>
        <v>臺南市立關廟國民中學</v>
      </c>
      <c r="F2827" s="14" t="str">
        <f>IFERROR(__xludf.DUMMYFUNCTION("""COMPUTED_VALUE"""),"九年級")</f>
        <v>九年級</v>
      </c>
      <c r="G2827" s="14" t="str">
        <f>IFERROR(__xludf.DUMMYFUNCTION("""COMPUTED_VALUE"""),"●小禮物")</f>
        <v>●小禮物</v>
      </c>
      <c r="H2827" s="8"/>
    </row>
    <row r="2828">
      <c r="A2828" s="18"/>
      <c r="B2828" s="14">
        <f>IFERROR(__xludf.DUMMYFUNCTION("""COMPUTED_VALUE"""),489257.0)</f>
        <v>489257</v>
      </c>
      <c r="C2828" s="14" t="str">
        <f>IFERROR(__xludf.DUMMYFUNCTION("""COMPUTED_VALUE"""),"陳禹玫")</f>
        <v>陳禹玫</v>
      </c>
      <c r="D2828" s="16" t="str">
        <f>IFERROR(__xludf.DUMMYFUNCTION("""COMPUTED_VALUE"""),"st2*****7@mail.edu.tw")</f>
        <v>st2*****7@mail.edu.tw</v>
      </c>
      <c r="E2828" s="17" t="str">
        <f>IFERROR(__xludf.DUMMYFUNCTION("""COMPUTED_VALUE"""),"臺南市立關廟國民中學")</f>
        <v>臺南市立關廟國民中學</v>
      </c>
      <c r="F2828" s="14" t="str">
        <f>IFERROR(__xludf.DUMMYFUNCTION("""COMPUTED_VALUE"""),"九年級")</f>
        <v>九年級</v>
      </c>
      <c r="G2828" s="14" t="str">
        <f>IFERROR(__xludf.DUMMYFUNCTION("""COMPUTED_VALUE"""),"●小禮物")</f>
        <v>●小禮物</v>
      </c>
      <c r="H2828" s="8"/>
    </row>
    <row r="2829">
      <c r="A2829" s="18"/>
      <c r="B2829" s="14">
        <f>IFERROR(__xludf.DUMMYFUNCTION("""COMPUTED_VALUE"""),470627.0)</f>
        <v>470627</v>
      </c>
      <c r="C2829" s="14" t="str">
        <f>IFERROR(__xludf.DUMMYFUNCTION("""COMPUTED_VALUE"""),"湯和羲")</f>
        <v>湯和羲</v>
      </c>
      <c r="D2829" s="16" t="str">
        <f>IFERROR(__xludf.DUMMYFUNCTION("""COMPUTED_VALUE"""),"sf5*****4@mail.edu.tw")</f>
        <v>sf5*****4@mail.edu.tw</v>
      </c>
      <c r="E2829" s="17" t="str">
        <f>IFERROR(__xludf.DUMMYFUNCTION("""COMPUTED_VALUE"""),"臺南市立關廟國民中學")</f>
        <v>臺南市立關廟國民中學</v>
      </c>
      <c r="F2829" s="14" t="str">
        <f>IFERROR(__xludf.DUMMYFUNCTION("""COMPUTED_VALUE"""),"九年級")</f>
        <v>九年級</v>
      </c>
      <c r="G2829" s="14" t="str">
        <f>IFERROR(__xludf.DUMMYFUNCTION("""COMPUTED_VALUE"""),"●小禮物")</f>
        <v>●小禮物</v>
      </c>
      <c r="H2829" s="8"/>
    </row>
    <row r="2830">
      <c r="A2830" s="18"/>
      <c r="B2830" s="14">
        <f>IFERROR(__xludf.DUMMYFUNCTION("""COMPUTED_VALUE"""),470634.0)</f>
        <v>470634</v>
      </c>
      <c r="C2830" s="14" t="str">
        <f>IFERROR(__xludf.DUMMYFUNCTION("""COMPUTED_VALUE"""),"黃立宏")</f>
        <v>黃立宏</v>
      </c>
      <c r="D2830" s="16" t="str">
        <f>IFERROR(__xludf.DUMMYFUNCTION("""COMPUTED_VALUE"""),"st0*****0@mail.edu.tw")</f>
        <v>st0*****0@mail.edu.tw</v>
      </c>
      <c r="E2830" s="17" t="str">
        <f>IFERROR(__xludf.DUMMYFUNCTION("""COMPUTED_VALUE"""),"臺南市立關廟國民中學")</f>
        <v>臺南市立關廟國民中學</v>
      </c>
      <c r="F2830" s="14" t="str">
        <f>IFERROR(__xludf.DUMMYFUNCTION("""COMPUTED_VALUE"""),"九年級")</f>
        <v>九年級</v>
      </c>
      <c r="G2830" s="14" t="str">
        <f>IFERROR(__xludf.DUMMYFUNCTION("""COMPUTED_VALUE"""),"●小禮物")</f>
        <v>●小禮物</v>
      </c>
      <c r="H2830" s="8"/>
    </row>
    <row r="2831">
      <c r="A2831" s="18"/>
      <c r="B2831" s="14">
        <f>IFERROR(__xludf.DUMMYFUNCTION("""COMPUTED_VALUE"""),470610.0)</f>
        <v>470610</v>
      </c>
      <c r="C2831" s="14" t="str">
        <f>IFERROR(__xludf.DUMMYFUNCTION("""COMPUTED_VALUE"""),"黃杰謙")</f>
        <v>黃杰謙</v>
      </c>
      <c r="D2831" s="16" t="str">
        <f>IFERROR(__xludf.DUMMYFUNCTION("""COMPUTED_VALUE"""),"st1*****6.tn@mail.edu.tw")</f>
        <v>st1*****6.tn@mail.edu.tw</v>
      </c>
      <c r="E2831" s="17" t="str">
        <f>IFERROR(__xludf.DUMMYFUNCTION("""COMPUTED_VALUE"""),"臺南市立關廟國民中學")</f>
        <v>臺南市立關廟國民中學</v>
      </c>
      <c r="F2831" s="14" t="str">
        <f>IFERROR(__xludf.DUMMYFUNCTION("""COMPUTED_VALUE"""),"九年級")</f>
        <v>九年級</v>
      </c>
      <c r="G2831" s="14" t="str">
        <f>IFERROR(__xludf.DUMMYFUNCTION("""COMPUTED_VALUE"""),"●小禮物")</f>
        <v>●小禮物</v>
      </c>
      <c r="H2831" s="8"/>
    </row>
    <row r="2832">
      <c r="A2832" s="18"/>
      <c r="B2832" s="14">
        <f>IFERROR(__xludf.DUMMYFUNCTION("""COMPUTED_VALUE"""),470633.0)</f>
        <v>470633</v>
      </c>
      <c r="C2832" s="14" t="str">
        <f>IFERROR(__xludf.DUMMYFUNCTION("""COMPUTED_VALUE"""),"黃臻芸")</f>
        <v>黃臻芸</v>
      </c>
      <c r="D2832" s="16" t="str">
        <f>IFERROR(__xludf.DUMMYFUNCTION("""COMPUTED_VALUE"""),"st5*****4@mail.edu.tw")</f>
        <v>st5*****4@mail.edu.tw</v>
      </c>
      <c r="E2832" s="17" t="str">
        <f>IFERROR(__xludf.DUMMYFUNCTION("""COMPUTED_VALUE"""),"臺南市立關廟國民中學")</f>
        <v>臺南市立關廟國民中學</v>
      </c>
      <c r="F2832" s="14" t="str">
        <f>IFERROR(__xludf.DUMMYFUNCTION("""COMPUTED_VALUE"""),"九年級")</f>
        <v>九年級</v>
      </c>
      <c r="G2832" s="14" t="str">
        <f>IFERROR(__xludf.DUMMYFUNCTION("""COMPUTED_VALUE"""),"●小禮物")</f>
        <v>●小禮物</v>
      </c>
      <c r="H2832" s="8"/>
    </row>
    <row r="2833">
      <c r="A2833" s="18"/>
      <c r="B2833" s="14">
        <f>IFERROR(__xludf.DUMMYFUNCTION("""COMPUTED_VALUE"""),470629.0)</f>
        <v>470629</v>
      </c>
      <c r="C2833" s="14" t="str">
        <f>IFERROR(__xludf.DUMMYFUNCTION("""COMPUTED_VALUE"""),"林以茵")</f>
        <v>林以茵</v>
      </c>
      <c r="D2833" s="16" t="str">
        <f>IFERROR(__xludf.DUMMYFUNCTION("""COMPUTED_VALUE"""),"st6*****8@mail.edu.tw")</f>
        <v>st6*****8@mail.edu.tw</v>
      </c>
      <c r="E2833" s="17" t="str">
        <f>IFERROR(__xludf.DUMMYFUNCTION("""COMPUTED_VALUE"""),"臺南市立關廟國民中學")</f>
        <v>臺南市立關廟國民中學</v>
      </c>
      <c r="F2833" s="14" t="str">
        <f>IFERROR(__xludf.DUMMYFUNCTION("""COMPUTED_VALUE"""),"九年級")</f>
        <v>九年級</v>
      </c>
      <c r="G2833" s="14" t="str">
        <f>IFERROR(__xludf.DUMMYFUNCTION("""COMPUTED_VALUE"""),"★禮券$200")</f>
        <v>★禮券$200</v>
      </c>
      <c r="H2833" s="8"/>
    </row>
    <row r="2834">
      <c r="A2834" s="18"/>
      <c r="B2834" s="14">
        <f>IFERROR(__xludf.DUMMYFUNCTION("""COMPUTED_VALUE"""),470619.0)</f>
        <v>470619</v>
      </c>
      <c r="C2834" s="14" t="str">
        <f>IFERROR(__xludf.DUMMYFUNCTION("""COMPUTED_VALUE"""),"王芊穎")</f>
        <v>王芊穎</v>
      </c>
      <c r="D2834" s="16" t="str">
        <f>IFERROR(__xludf.DUMMYFUNCTION("""COMPUTED_VALUE"""),"st0*****3@mail.edu.tw")</f>
        <v>st0*****3@mail.edu.tw</v>
      </c>
      <c r="E2834" s="17" t="str">
        <f>IFERROR(__xludf.DUMMYFUNCTION("""COMPUTED_VALUE"""),"臺南市立關廟國民中學")</f>
        <v>臺南市立關廟國民中學</v>
      </c>
      <c r="F2834" s="14" t="str">
        <f>IFERROR(__xludf.DUMMYFUNCTION("""COMPUTED_VALUE"""),"九年級")</f>
        <v>九年級</v>
      </c>
      <c r="G2834" s="14" t="str">
        <f>IFERROR(__xludf.DUMMYFUNCTION("""COMPUTED_VALUE"""),"獎狀")</f>
        <v>獎狀</v>
      </c>
      <c r="H2834" s="8"/>
    </row>
    <row r="2835">
      <c r="A2835" s="18"/>
      <c r="B2835" s="14">
        <f>IFERROR(__xludf.DUMMYFUNCTION("""COMPUTED_VALUE"""),470611.0)</f>
        <v>470611</v>
      </c>
      <c r="C2835" s="14" t="str">
        <f>IFERROR(__xludf.DUMMYFUNCTION("""COMPUTED_VALUE"""),"吳翊寧")</f>
        <v>吳翊寧</v>
      </c>
      <c r="D2835" s="16" t="str">
        <f>IFERROR(__xludf.DUMMYFUNCTION("""COMPUTED_VALUE"""),"st2*****4@mail.edu.tw")</f>
        <v>st2*****4@mail.edu.tw</v>
      </c>
      <c r="E2835" s="17" t="str">
        <f>IFERROR(__xludf.DUMMYFUNCTION("""COMPUTED_VALUE"""),"臺南市立關廟國民中學")</f>
        <v>臺南市立關廟國民中學</v>
      </c>
      <c r="F2835" s="14" t="str">
        <f>IFERROR(__xludf.DUMMYFUNCTION("""COMPUTED_VALUE"""),"九年級")</f>
        <v>九年級</v>
      </c>
      <c r="G2835" s="14" t="str">
        <f>IFERROR(__xludf.DUMMYFUNCTION("""COMPUTED_VALUE"""),"獎狀")</f>
        <v>獎狀</v>
      </c>
      <c r="H2835" s="8"/>
    </row>
    <row r="2836">
      <c r="A2836" s="18"/>
      <c r="B2836" s="14">
        <f>IFERROR(__xludf.DUMMYFUNCTION("""COMPUTED_VALUE"""),470609.0)</f>
        <v>470609</v>
      </c>
      <c r="C2836" s="14" t="str">
        <f>IFERROR(__xludf.DUMMYFUNCTION("""COMPUTED_VALUE"""),"侯聰緯")</f>
        <v>侯聰緯</v>
      </c>
      <c r="D2836" s="16" t="str">
        <f>IFERROR(__xludf.DUMMYFUNCTION("""COMPUTED_VALUE"""),"st5*****7.tn@mail.edu.tw")</f>
        <v>st5*****7.tn@mail.edu.tw</v>
      </c>
      <c r="E2836" s="17" t="str">
        <f>IFERROR(__xludf.DUMMYFUNCTION("""COMPUTED_VALUE"""),"臺南市立關廟國民中學")</f>
        <v>臺南市立關廟國民中學</v>
      </c>
      <c r="F2836" s="14" t="str">
        <f>IFERROR(__xludf.DUMMYFUNCTION("""COMPUTED_VALUE"""),"九年級")</f>
        <v>九年級</v>
      </c>
      <c r="G2836" s="14" t="str">
        <f>IFERROR(__xludf.DUMMYFUNCTION("""COMPUTED_VALUE"""),"獎狀")</f>
        <v>獎狀</v>
      </c>
      <c r="H2836" s="8"/>
    </row>
    <row r="2837">
      <c r="A2837" s="18"/>
      <c r="B2837" s="14">
        <f>IFERROR(__xludf.DUMMYFUNCTION("""COMPUTED_VALUE"""),470625.0)</f>
        <v>470625</v>
      </c>
      <c r="C2837" s="14" t="str">
        <f>IFERROR(__xludf.DUMMYFUNCTION("""COMPUTED_VALUE"""),"洪佳靖")</f>
        <v>洪佳靖</v>
      </c>
      <c r="D2837" s="16" t="str">
        <f>IFERROR(__xludf.DUMMYFUNCTION("""COMPUTED_VALUE"""),"st5*****6@mail.edu.tw")</f>
        <v>st5*****6@mail.edu.tw</v>
      </c>
      <c r="E2837" s="17" t="str">
        <f>IFERROR(__xludf.DUMMYFUNCTION("""COMPUTED_VALUE"""),"臺南市立關廟國民中學")</f>
        <v>臺南市立關廟國民中學</v>
      </c>
      <c r="F2837" s="14" t="str">
        <f>IFERROR(__xludf.DUMMYFUNCTION("""COMPUTED_VALUE"""),"九年級")</f>
        <v>九年級</v>
      </c>
      <c r="G2837" s="14" t="str">
        <f>IFERROR(__xludf.DUMMYFUNCTION("""COMPUTED_VALUE"""),"獎狀")</f>
        <v>獎狀</v>
      </c>
      <c r="H2837" s="8"/>
    </row>
    <row r="2838">
      <c r="A2838" s="18"/>
      <c r="B2838" s="14">
        <f>IFERROR(__xludf.DUMMYFUNCTION("""COMPUTED_VALUE"""),470612.0)</f>
        <v>470612</v>
      </c>
      <c r="C2838" s="14" t="str">
        <f>IFERROR(__xludf.DUMMYFUNCTION("""COMPUTED_VALUE"""),"張鎮宇")</f>
        <v>張鎮宇</v>
      </c>
      <c r="D2838" s="16" t="str">
        <f>IFERROR(__xludf.DUMMYFUNCTION("""COMPUTED_VALUE"""),"bri*****n@mail.edu.tw")</f>
        <v>bri*****n@mail.edu.tw</v>
      </c>
      <c r="E2838" s="17" t="str">
        <f>IFERROR(__xludf.DUMMYFUNCTION("""COMPUTED_VALUE"""),"臺南市立關廟國民中學")</f>
        <v>臺南市立關廟國民中學</v>
      </c>
      <c r="F2838" s="14" t="str">
        <f>IFERROR(__xludf.DUMMYFUNCTION("""COMPUTED_VALUE"""),"九年級")</f>
        <v>九年級</v>
      </c>
      <c r="G2838" s="14" t="str">
        <f>IFERROR(__xludf.DUMMYFUNCTION("""COMPUTED_VALUE"""),"獎狀")</f>
        <v>獎狀</v>
      </c>
      <c r="H2838" s="8"/>
    </row>
    <row r="2839">
      <c r="A2839" s="18"/>
      <c r="B2839" s="14">
        <f>IFERROR(__xludf.DUMMYFUNCTION("""COMPUTED_VALUE"""),470623.0)</f>
        <v>470623</v>
      </c>
      <c r="C2839" s="14" t="str">
        <f>IFERROR(__xludf.DUMMYFUNCTION("""COMPUTED_VALUE"""),"陳梓妍")</f>
        <v>陳梓妍</v>
      </c>
      <c r="D2839" s="16" t="str">
        <f>IFERROR(__xludf.DUMMYFUNCTION("""COMPUTED_VALUE"""),"st9*****@mail.edu.tw")</f>
        <v>st9*****@mail.edu.tw</v>
      </c>
      <c r="E2839" s="17" t="str">
        <f>IFERROR(__xludf.DUMMYFUNCTION("""COMPUTED_VALUE"""),"臺南市立關廟國民中學")</f>
        <v>臺南市立關廟國民中學</v>
      </c>
      <c r="F2839" s="14" t="str">
        <f>IFERROR(__xludf.DUMMYFUNCTION("""COMPUTED_VALUE"""),"九年級")</f>
        <v>九年級</v>
      </c>
      <c r="G2839" s="14" t="str">
        <f>IFERROR(__xludf.DUMMYFUNCTION("""COMPUTED_VALUE"""),"獎狀")</f>
        <v>獎狀</v>
      </c>
      <c r="H2839" s="8"/>
    </row>
    <row r="2840">
      <c r="A2840" s="18"/>
      <c r="B2840" s="14">
        <f>IFERROR(__xludf.DUMMYFUNCTION("""COMPUTED_VALUE"""),470622.0)</f>
        <v>470622</v>
      </c>
      <c r="C2840" s="14" t="str">
        <f>IFERROR(__xludf.DUMMYFUNCTION("""COMPUTED_VALUE"""),"黃君瑜")</f>
        <v>黃君瑜</v>
      </c>
      <c r="D2840" s="16" t="str">
        <f>IFERROR(__xludf.DUMMYFUNCTION("""COMPUTED_VALUE"""),"st8*****0.tn@mail.edu.tw")</f>
        <v>st8*****0.tn@mail.edu.tw</v>
      </c>
      <c r="E2840" s="17" t="str">
        <f>IFERROR(__xludf.DUMMYFUNCTION("""COMPUTED_VALUE"""),"臺南市立關廟國民中學")</f>
        <v>臺南市立關廟國民中學</v>
      </c>
      <c r="F2840" s="14" t="str">
        <f>IFERROR(__xludf.DUMMYFUNCTION("""COMPUTED_VALUE"""),"九年級")</f>
        <v>九年級</v>
      </c>
      <c r="G2840" s="14" t="str">
        <f>IFERROR(__xludf.DUMMYFUNCTION("""COMPUTED_VALUE"""),"獎狀")</f>
        <v>獎狀</v>
      </c>
      <c r="H2840" s="8"/>
    </row>
    <row r="2841">
      <c r="A2841" s="18"/>
      <c r="B2841" s="14">
        <f>IFERROR(__xludf.DUMMYFUNCTION("""COMPUTED_VALUE"""),489256.0)</f>
        <v>489256</v>
      </c>
      <c r="C2841" s="14" t="str">
        <f>IFERROR(__xludf.DUMMYFUNCTION("""COMPUTED_VALUE"""),"黃偉傑")</f>
        <v>黃偉傑</v>
      </c>
      <c r="D2841" s="16" t="str">
        <f>IFERROR(__xludf.DUMMYFUNCTION("""COMPUTED_VALUE"""),"st0*****0@mail.edu.tw")</f>
        <v>st0*****0@mail.edu.tw</v>
      </c>
      <c r="E2841" s="17" t="str">
        <f>IFERROR(__xludf.DUMMYFUNCTION("""COMPUTED_VALUE"""),"臺南市立關廟國民中學")</f>
        <v>臺南市立關廟國民中學</v>
      </c>
      <c r="F2841" s="14" t="str">
        <f>IFERROR(__xludf.DUMMYFUNCTION("""COMPUTED_VALUE"""),"九年級")</f>
        <v>九年級</v>
      </c>
      <c r="G2841" s="14" t="str">
        <f>IFERROR(__xludf.DUMMYFUNCTION("""COMPUTED_VALUE"""),"獎狀")</f>
        <v>獎狀</v>
      </c>
      <c r="H2841" s="8"/>
    </row>
    <row r="2842">
      <c r="A2842" s="18"/>
      <c r="B2842" s="14">
        <f>IFERROR(__xludf.DUMMYFUNCTION("""COMPUTED_VALUE"""),470635.0)</f>
        <v>470635</v>
      </c>
      <c r="C2842" s="14" t="str">
        <f>IFERROR(__xludf.DUMMYFUNCTION("""COMPUTED_VALUE"""),"謝宜恩")</f>
        <v>謝宜恩</v>
      </c>
      <c r="D2842" s="16" t="str">
        <f>IFERROR(__xludf.DUMMYFUNCTION("""COMPUTED_VALUE"""),"st5*****7@mail.edu.tw")</f>
        <v>st5*****7@mail.edu.tw</v>
      </c>
      <c r="E2842" s="17" t="str">
        <f>IFERROR(__xludf.DUMMYFUNCTION("""COMPUTED_VALUE"""),"臺南市立關廟國民中學")</f>
        <v>臺南市立關廟國民中學</v>
      </c>
      <c r="F2842" s="14" t="str">
        <f>IFERROR(__xludf.DUMMYFUNCTION("""COMPUTED_VALUE"""),"九年級")</f>
        <v>九年級</v>
      </c>
      <c r="G2842" s="14" t="str">
        <f>IFERROR(__xludf.DUMMYFUNCTION("""COMPUTED_VALUE"""),"獎狀")</f>
        <v>獎狀</v>
      </c>
      <c r="H2842" s="8"/>
    </row>
    <row r="2843">
      <c r="A2843" s="18"/>
      <c r="B2843" s="14">
        <f>IFERROR(__xludf.DUMMYFUNCTION("""COMPUTED_VALUE"""),200166.0)</f>
        <v>200166</v>
      </c>
      <c r="C2843" s="14" t="str">
        <f>IFERROR(__xludf.DUMMYFUNCTION("""COMPUTED_VALUE"""),"林宥辰")</f>
        <v>林宥辰</v>
      </c>
      <c r="D2843" s="16" t="str">
        <f>IFERROR(__xludf.DUMMYFUNCTION("""COMPUTED_VALUE"""),"bb9*****@gmail.com")</f>
        <v>bb9*****@gmail.com</v>
      </c>
      <c r="E2843" s="17" t="str">
        <f>IFERROR(__xludf.DUMMYFUNCTION("""COMPUTED_VALUE"""),"方濟會學校財團法人臺南市黎明高級中學附設國中部")</f>
        <v>方濟會學校財團法人臺南市黎明高級中學附設國中部</v>
      </c>
      <c r="F2843" s="14" t="str">
        <f>IFERROR(__xludf.DUMMYFUNCTION("""COMPUTED_VALUE"""),"七年級")</f>
        <v>七年級</v>
      </c>
      <c r="G2843" s="14" t="str">
        <f>IFERROR(__xludf.DUMMYFUNCTION("""COMPUTED_VALUE"""),"★禮券$200")</f>
        <v>★禮券$200</v>
      </c>
      <c r="H2843" s="8"/>
    </row>
    <row r="2844">
      <c r="A2844" s="18"/>
      <c r="B2844" s="14">
        <f>IFERROR(__xludf.DUMMYFUNCTION("""COMPUTED_VALUE"""),821198.0)</f>
        <v>821198</v>
      </c>
      <c r="C2844" s="14" t="str">
        <f>IFERROR(__xludf.DUMMYFUNCTION("""COMPUTED_VALUE"""),"陳盈榛")</f>
        <v>陳盈榛</v>
      </c>
      <c r="D2844" s="16" t="str">
        <f>IFERROR(__xludf.DUMMYFUNCTION("""COMPUTED_VALUE"""),"sy1*****6@gmail.com")</f>
        <v>sy1*****6@gmail.com</v>
      </c>
      <c r="E2844" s="17" t="str">
        <f>IFERROR(__xludf.DUMMYFUNCTION("""COMPUTED_VALUE"""),"方濟會學校財團法人臺南市黎明高級中學附設國中部")</f>
        <v>方濟會學校財團法人臺南市黎明高級中學附設國中部</v>
      </c>
      <c r="F2844" s="14" t="str">
        <f>IFERROR(__xludf.DUMMYFUNCTION("""COMPUTED_VALUE"""),"八年級")</f>
        <v>八年級</v>
      </c>
      <c r="G2844" s="14" t="str">
        <f>IFERROR(__xludf.DUMMYFUNCTION("""COMPUTED_VALUE"""),"●小禮物")</f>
        <v>●小禮物</v>
      </c>
      <c r="H2844" s="8"/>
    </row>
    <row r="2845">
      <c r="A2845" s="18"/>
      <c r="B2845" s="14">
        <f>IFERROR(__xludf.DUMMYFUNCTION("""COMPUTED_VALUE"""),721076.0)</f>
        <v>721076</v>
      </c>
      <c r="C2845" s="14" t="str">
        <f>IFERROR(__xludf.DUMMYFUNCTION("""COMPUTED_VALUE"""),"陳晶華")</f>
        <v>陳晶華</v>
      </c>
      <c r="D2845" s="16" t="str">
        <f>IFERROR(__xludf.DUMMYFUNCTION("""COMPUTED_VALUE"""),"lm1*****8@gmail.com")</f>
        <v>lm1*****8@gmail.com</v>
      </c>
      <c r="E2845" s="17" t="str">
        <f>IFERROR(__xludf.DUMMYFUNCTION("""COMPUTED_VALUE"""),"方濟會學校財團法人臺南市黎明高級中學附設國中部")</f>
        <v>方濟會學校財團法人臺南市黎明高級中學附設國中部</v>
      </c>
      <c r="F2845" s="14" t="str">
        <f>IFERROR(__xludf.DUMMYFUNCTION("""COMPUTED_VALUE"""),"九年級")</f>
        <v>九年級</v>
      </c>
      <c r="G2845" s="14" t="str">
        <f>IFERROR(__xludf.DUMMYFUNCTION("""COMPUTED_VALUE"""),"●小禮物")</f>
        <v>●小禮物</v>
      </c>
      <c r="H2845" s="8"/>
    </row>
    <row r="2846">
      <c r="A2846" s="18"/>
      <c r="B2846" s="14">
        <f>IFERROR(__xludf.DUMMYFUNCTION("""COMPUTED_VALUE"""),329194.0)</f>
        <v>329194</v>
      </c>
      <c r="C2846" s="14" t="str">
        <f>IFERROR(__xludf.DUMMYFUNCTION("""COMPUTED_VALUE"""),"朱奕丞")</f>
        <v>朱奕丞</v>
      </c>
      <c r="D2846" s="16" t="str">
        <f>IFERROR(__xludf.DUMMYFUNCTION("""COMPUTED_VALUE"""),"st6*****6.tn@mail.edu.tw")</f>
        <v>st6*****6.tn@mail.edu.tw</v>
      </c>
      <c r="E2846" s="17" t="str">
        <f>IFERROR(__xludf.DUMMYFUNCTION("""COMPUTED_VALUE"""),"臺南市立佳興國民中學")</f>
        <v>臺南市立佳興國民中學</v>
      </c>
      <c r="F2846" s="14" t="str">
        <f>IFERROR(__xludf.DUMMYFUNCTION("""COMPUTED_VALUE"""),"九年級")</f>
        <v>九年級</v>
      </c>
      <c r="G2846" s="14" t="str">
        <f>IFERROR(__xludf.DUMMYFUNCTION("""COMPUTED_VALUE"""),"獎狀")</f>
        <v>獎狀</v>
      </c>
      <c r="H2846" s="8"/>
    </row>
    <row r="2847">
      <c r="A2847" s="18"/>
      <c r="B2847" s="14">
        <f>IFERROR(__xludf.DUMMYFUNCTION("""COMPUTED_VALUE"""),1192025.0)</f>
        <v>1192025</v>
      </c>
      <c r="C2847" s="14" t="str">
        <f>IFERROR(__xludf.DUMMYFUNCTION("""COMPUTED_VALUE"""),"陳怡瑄")</f>
        <v>陳怡瑄</v>
      </c>
      <c r="D2847" s="16" t="str">
        <f>IFERROR(__xludf.DUMMYFUNCTION("""COMPUTED_VALUE"""),"st5*****0@jljh.tn.edu.tw")</f>
        <v>st5*****0@jljh.tn.edu.tw</v>
      </c>
      <c r="E2847" s="17" t="str">
        <f>IFERROR(__xludf.DUMMYFUNCTION("""COMPUTED_VALUE"""),"臺南市立佳里國民中學")</f>
        <v>臺南市立佳里國民中學</v>
      </c>
      <c r="F2847" s="14" t="str">
        <f>IFERROR(__xludf.DUMMYFUNCTION("""COMPUTED_VALUE"""),"七年級")</f>
        <v>七年級</v>
      </c>
      <c r="G2847" s="14" t="str">
        <f>IFERROR(__xludf.DUMMYFUNCTION("""COMPUTED_VALUE"""),"獎狀")</f>
        <v>獎狀</v>
      </c>
      <c r="H2847" s="8"/>
    </row>
    <row r="2848">
      <c r="A2848" s="18"/>
      <c r="B2848" s="14">
        <f>IFERROR(__xludf.DUMMYFUNCTION("""COMPUTED_VALUE"""),565317.0)</f>
        <v>565317</v>
      </c>
      <c r="C2848" s="14" t="str">
        <f>IFERROR(__xludf.DUMMYFUNCTION("""COMPUTED_VALUE"""),"蔡任博")</f>
        <v>蔡任博</v>
      </c>
      <c r="D2848" s="16" t="str">
        <f>IFERROR(__xludf.DUMMYFUNCTION("""COMPUTED_VALUE"""),"st3*****8.tn@mail.edu.tw")</f>
        <v>st3*****8.tn@mail.edu.tw</v>
      </c>
      <c r="E2848" s="17" t="str">
        <f>IFERROR(__xludf.DUMMYFUNCTION("""COMPUTED_VALUE"""),"臺南市立佳里國民中學")</f>
        <v>臺南市立佳里國民中學</v>
      </c>
      <c r="F2848" s="14" t="str">
        <f>IFERROR(__xludf.DUMMYFUNCTION("""COMPUTED_VALUE"""),"七年級")</f>
        <v>七年級</v>
      </c>
      <c r="G2848" s="14" t="str">
        <f>IFERROR(__xludf.DUMMYFUNCTION("""COMPUTED_VALUE"""),"●小禮物")</f>
        <v>●小禮物</v>
      </c>
      <c r="H2848" s="8"/>
    </row>
    <row r="2849">
      <c r="A2849" s="18"/>
      <c r="B2849" s="14">
        <f>IFERROR(__xludf.DUMMYFUNCTION("""COMPUTED_VALUE"""),462315.0)</f>
        <v>462315</v>
      </c>
      <c r="C2849" s="14" t="str">
        <f>IFERROR(__xludf.DUMMYFUNCTION("""COMPUTED_VALUE"""),"陳祐任")</f>
        <v>陳祐任</v>
      </c>
      <c r="D2849" s="16" t="str">
        <f>IFERROR(__xludf.DUMMYFUNCTION("""COMPUTED_VALUE"""),"st5*****9.tn@mail.edu.tw")</f>
        <v>st5*****9.tn@mail.edu.tw</v>
      </c>
      <c r="E2849" s="17" t="str">
        <f>IFERROR(__xludf.DUMMYFUNCTION("""COMPUTED_VALUE"""),"臺南市立佳里國民中學")</f>
        <v>臺南市立佳里國民中學</v>
      </c>
      <c r="F2849" s="14" t="str">
        <f>IFERROR(__xludf.DUMMYFUNCTION("""COMPUTED_VALUE"""),"七年級")</f>
        <v>七年級</v>
      </c>
      <c r="G2849" s="14" t="str">
        <f>IFERROR(__xludf.DUMMYFUNCTION("""COMPUTED_VALUE"""),"●小禮物")</f>
        <v>●小禮物</v>
      </c>
      <c r="H2849" s="8"/>
    </row>
    <row r="2850">
      <c r="A2850" s="18"/>
      <c r="B2850" s="14">
        <f>IFERROR(__xludf.DUMMYFUNCTION("""COMPUTED_VALUE"""),1017790.0)</f>
        <v>1017790</v>
      </c>
      <c r="C2850" s="14" t="str">
        <f>IFERROR(__xludf.DUMMYFUNCTION("""COMPUTED_VALUE"""),"劉恩彤")</f>
        <v>劉恩彤</v>
      </c>
      <c r="D2850" s="16" t="str">
        <f>IFERROR(__xludf.DUMMYFUNCTION("""COMPUTED_VALUE"""),"st2*****6@jljh.tn.edu.tw")</f>
        <v>st2*****6@jljh.tn.edu.tw</v>
      </c>
      <c r="E2850" s="17" t="str">
        <f>IFERROR(__xludf.DUMMYFUNCTION("""COMPUTED_VALUE"""),"臺南市立佳里國民中學")</f>
        <v>臺南市立佳里國民中學</v>
      </c>
      <c r="F2850" s="14" t="str">
        <f>IFERROR(__xludf.DUMMYFUNCTION("""COMPUTED_VALUE"""),"八年級")</f>
        <v>八年級</v>
      </c>
      <c r="G2850" s="14" t="str">
        <f>IFERROR(__xludf.DUMMYFUNCTION("""COMPUTED_VALUE"""),"●小禮物")</f>
        <v>●小禮物</v>
      </c>
      <c r="H2850" s="8"/>
    </row>
    <row r="2851">
      <c r="A2851" s="18"/>
      <c r="B2851" s="14">
        <f>IFERROR(__xludf.DUMMYFUNCTION("""COMPUTED_VALUE"""),1124596.0)</f>
        <v>1124596</v>
      </c>
      <c r="C2851" s="14" t="str">
        <f>IFERROR(__xludf.DUMMYFUNCTION("""COMPUTED_VALUE"""),"李翊蓁")</f>
        <v>李翊蓁</v>
      </c>
      <c r="D2851" s="16" t="str">
        <f>IFERROR(__xludf.DUMMYFUNCTION("""COMPUTED_VALUE"""),"st9*****2@jljh.tn.edu.tw")</f>
        <v>st9*****2@jljh.tn.edu.tw</v>
      </c>
      <c r="E2851" s="17" t="str">
        <f>IFERROR(__xludf.DUMMYFUNCTION("""COMPUTED_VALUE"""),"臺南市立佳里國民中學")</f>
        <v>臺南市立佳里國民中學</v>
      </c>
      <c r="F2851" s="14" t="str">
        <f>IFERROR(__xludf.DUMMYFUNCTION("""COMPUTED_VALUE"""),"八年級")</f>
        <v>八年級</v>
      </c>
      <c r="G2851" s="14" t="str">
        <f>IFERROR(__xludf.DUMMYFUNCTION("""COMPUTED_VALUE"""),"獎狀")</f>
        <v>獎狀</v>
      </c>
      <c r="H2851" s="8"/>
    </row>
    <row r="2852">
      <c r="A2852" s="18"/>
      <c r="B2852" s="14">
        <f>IFERROR(__xludf.DUMMYFUNCTION("""COMPUTED_VALUE"""),522276.0)</f>
        <v>522276</v>
      </c>
      <c r="C2852" s="14" t="str">
        <f>IFERROR(__xludf.DUMMYFUNCTION("""COMPUTED_VALUE"""),"洪明杉")</f>
        <v>洪明杉</v>
      </c>
      <c r="D2852" s="16" t="str">
        <f>IFERROR(__xludf.DUMMYFUNCTION("""COMPUTED_VALUE"""),"st4*****1.tn@mail.edu.tw")</f>
        <v>st4*****1.tn@mail.edu.tw</v>
      </c>
      <c r="E2852" s="17" t="str">
        <f>IFERROR(__xludf.DUMMYFUNCTION("""COMPUTED_VALUE"""),"臺南市立佳里國民中學")</f>
        <v>臺南市立佳里國民中學</v>
      </c>
      <c r="F2852" s="14" t="str">
        <f>IFERROR(__xludf.DUMMYFUNCTION("""COMPUTED_VALUE"""),"八年級")</f>
        <v>八年級</v>
      </c>
      <c r="G2852" s="14" t="str">
        <f>IFERROR(__xludf.DUMMYFUNCTION("""COMPUTED_VALUE"""),"●小禮物")</f>
        <v>●小禮物</v>
      </c>
      <c r="H2852" s="8"/>
    </row>
    <row r="2853">
      <c r="A2853" s="18"/>
      <c r="B2853" s="14">
        <f>IFERROR(__xludf.DUMMYFUNCTION("""COMPUTED_VALUE"""),1123801.0)</f>
        <v>1123801</v>
      </c>
      <c r="C2853" s="14" t="str">
        <f>IFERROR(__xludf.DUMMYFUNCTION("""COMPUTED_VALUE"""),"王予謙")</f>
        <v>王予謙</v>
      </c>
      <c r="D2853" s="16" t="str">
        <f>IFERROR(__xludf.DUMMYFUNCTION("""COMPUTED_VALUE"""),"kir*****1020@gmail.com")</f>
        <v>kir*****1020@gmail.com</v>
      </c>
      <c r="E2853" s="17" t="str">
        <f>IFERROR(__xludf.DUMMYFUNCTION("""COMPUTED_VALUE"""),"臺南市立佳里國民中學")</f>
        <v>臺南市立佳里國民中學</v>
      </c>
      <c r="F2853" s="14" t="str">
        <f>IFERROR(__xludf.DUMMYFUNCTION("""COMPUTED_VALUE"""),"九年級")</f>
        <v>九年級</v>
      </c>
      <c r="G2853" s="14" t="str">
        <f>IFERROR(__xludf.DUMMYFUNCTION("""COMPUTED_VALUE"""),"獎狀")</f>
        <v>獎狀</v>
      </c>
      <c r="H2853" s="8"/>
    </row>
    <row r="2854">
      <c r="A2854" s="18"/>
      <c r="B2854" s="14">
        <f>IFERROR(__xludf.DUMMYFUNCTION("""COMPUTED_VALUE"""),1124628.0)</f>
        <v>1124628</v>
      </c>
      <c r="C2854" s="14" t="str">
        <f>IFERROR(__xludf.DUMMYFUNCTION("""COMPUTED_VALUE"""),"陳品妍")</f>
        <v>陳品妍</v>
      </c>
      <c r="D2854" s="16" t="str">
        <f>IFERROR(__xludf.DUMMYFUNCTION("""COMPUTED_VALUE"""),"pin*****89808915@gmail.com")</f>
        <v>pin*****89808915@gmail.com</v>
      </c>
      <c r="E2854" s="17" t="str">
        <f>IFERROR(__xludf.DUMMYFUNCTION("""COMPUTED_VALUE"""),"臺南市立佳里國民中學")</f>
        <v>臺南市立佳里國民中學</v>
      </c>
      <c r="F2854" s="14" t="str">
        <f>IFERROR(__xludf.DUMMYFUNCTION("""COMPUTED_VALUE"""),"九年級")</f>
        <v>九年級</v>
      </c>
      <c r="G2854" s="14" t="str">
        <f>IFERROR(__xludf.DUMMYFUNCTION("""COMPUTED_VALUE"""),"●小禮物")</f>
        <v>●小禮物</v>
      </c>
      <c r="H2854" s="8"/>
    </row>
    <row r="2855">
      <c r="A2855" s="18"/>
      <c r="B2855" s="14">
        <f>IFERROR(__xludf.DUMMYFUNCTION("""COMPUTED_VALUE"""),1177201.0)</f>
        <v>1177201</v>
      </c>
      <c r="C2855" s="14" t="str">
        <f>IFERROR(__xludf.DUMMYFUNCTION("""COMPUTED_VALUE"""),"王宥惟")</f>
        <v>王宥惟</v>
      </c>
      <c r="D2855" s="16" t="str">
        <f>IFERROR(__xludf.DUMMYFUNCTION("""COMPUTED_VALUE"""),"j42*****.kmsh.tn.edu.tw")</f>
        <v>j42*****.kmsh.tn.edu.tw</v>
      </c>
      <c r="E2855" s="17" t="str">
        <f>IFERROR(__xludf.DUMMYFUNCTION("""COMPUTED_VALUE"""),"臺南市私立港明高級中學附設國中部")</f>
        <v>臺南市私立港明高級中學附設國中部</v>
      </c>
      <c r="F2855" s="14" t="str">
        <f>IFERROR(__xludf.DUMMYFUNCTION("""COMPUTED_VALUE"""),"七年級")</f>
        <v>七年級</v>
      </c>
      <c r="G2855" s="14" t="str">
        <f>IFERROR(__xludf.DUMMYFUNCTION("""COMPUTED_VALUE"""),"●小禮物")</f>
        <v>●小禮物</v>
      </c>
      <c r="H2855" s="8"/>
    </row>
    <row r="2856">
      <c r="A2856" s="18"/>
      <c r="B2856" s="14">
        <f>IFERROR(__xludf.DUMMYFUNCTION("""COMPUTED_VALUE"""),1173952.0)</f>
        <v>1173952</v>
      </c>
      <c r="C2856" s="14" t="str">
        <f>IFERROR(__xludf.DUMMYFUNCTION("""COMPUTED_VALUE"""),"徐暐傑")</f>
        <v>徐暐傑</v>
      </c>
      <c r="D2856" s="16" t="str">
        <f>IFERROR(__xludf.DUMMYFUNCTION("""COMPUTED_VALUE"""),"j47*****.kmsh.tn.edu.tw")</f>
        <v>j47*****.kmsh.tn.edu.tw</v>
      </c>
      <c r="E2856" s="17" t="str">
        <f>IFERROR(__xludf.DUMMYFUNCTION("""COMPUTED_VALUE"""),"臺南市私立港明高級中學附設國中部")</f>
        <v>臺南市私立港明高級中學附設國中部</v>
      </c>
      <c r="F2856" s="14" t="str">
        <f>IFERROR(__xludf.DUMMYFUNCTION("""COMPUTED_VALUE"""),"七年級")</f>
        <v>七年級</v>
      </c>
      <c r="G2856" s="14" t="str">
        <f>IFERROR(__xludf.DUMMYFUNCTION("""COMPUTED_VALUE"""),"●小禮物")</f>
        <v>●小禮物</v>
      </c>
      <c r="H2856" s="8"/>
    </row>
    <row r="2857">
      <c r="A2857" s="18"/>
      <c r="B2857" s="14">
        <f>IFERROR(__xludf.DUMMYFUNCTION("""COMPUTED_VALUE"""),1173843.0)</f>
        <v>1173843</v>
      </c>
      <c r="C2857" s="14" t="str">
        <f>IFERROR(__xludf.DUMMYFUNCTION("""COMPUTED_VALUE"""),"陳秉宗")</f>
        <v>陳秉宗</v>
      </c>
      <c r="D2857" s="16" t="str">
        <f>IFERROR(__xludf.DUMMYFUNCTION("""COMPUTED_VALUE"""),"j52*****.kmsh.tn.edu.tw")</f>
        <v>j52*****.kmsh.tn.edu.tw</v>
      </c>
      <c r="E2857" s="17" t="str">
        <f>IFERROR(__xludf.DUMMYFUNCTION("""COMPUTED_VALUE"""),"臺南市私立港明高級中學附設國中部")</f>
        <v>臺南市私立港明高級中學附設國中部</v>
      </c>
      <c r="F2857" s="14" t="str">
        <f>IFERROR(__xludf.DUMMYFUNCTION("""COMPUTED_VALUE"""),"七年級")</f>
        <v>七年級</v>
      </c>
      <c r="G2857" s="14" t="str">
        <f>IFERROR(__xludf.DUMMYFUNCTION("""COMPUTED_VALUE"""),"●小禮物")</f>
        <v>●小禮物</v>
      </c>
      <c r="H2857" s="8"/>
    </row>
    <row r="2858">
      <c r="A2858" s="18"/>
      <c r="B2858" s="14">
        <f>IFERROR(__xludf.DUMMYFUNCTION("""COMPUTED_VALUE"""),1177260.0)</f>
        <v>1177260</v>
      </c>
      <c r="C2858" s="14" t="str">
        <f>IFERROR(__xludf.DUMMYFUNCTION("""COMPUTED_VALUE"""),"劉芯語")</f>
        <v>劉芯語</v>
      </c>
      <c r="D2858" s="16" t="str">
        <f>IFERROR(__xludf.DUMMYFUNCTION("""COMPUTED_VALUE"""),"j31*****.kmsh.tn.edu.tw")</f>
        <v>j31*****.kmsh.tn.edu.tw</v>
      </c>
      <c r="E2858" s="17" t="str">
        <f>IFERROR(__xludf.DUMMYFUNCTION("""COMPUTED_VALUE"""),"臺南市私立港明高級中學附設國中部")</f>
        <v>臺南市私立港明高級中學附設國中部</v>
      </c>
      <c r="F2858" s="14" t="str">
        <f>IFERROR(__xludf.DUMMYFUNCTION("""COMPUTED_VALUE"""),"七年級")</f>
        <v>七年級</v>
      </c>
      <c r="G2858" s="14" t="str">
        <f>IFERROR(__xludf.DUMMYFUNCTION("""COMPUTED_VALUE"""),"●小禮物")</f>
        <v>●小禮物</v>
      </c>
      <c r="H2858" s="8"/>
    </row>
    <row r="2859">
      <c r="A2859" s="18"/>
      <c r="B2859" s="14">
        <f>IFERROR(__xludf.DUMMYFUNCTION("""COMPUTED_VALUE"""),1177594.0)</f>
        <v>1177594</v>
      </c>
      <c r="C2859" s="14" t="str">
        <f>IFERROR(__xludf.DUMMYFUNCTION("""COMPUTED_VALUE"""),"蔡懿庭")</f>
        <v>蔡懿庭</v>
      </c>
      <c r="D2859" s="16" t="str">
        <f>IFERROR(__xludf.DUMMYFUNCTION("""COMPUTED_VALUE"""),"j23*****.kmsh.tn.edu.tw")</f>
        <v>j23*****.kmsh.tn.edu.tw</v>
      </c>
      <c r="E2859" s="17" t="str">
        <f>IFERROR(__xludf.DUMMYFUNCTION("""COMPUTED_VALUE"""),"臺南市私立港明高級中學附設國中部")</f>
        <v>臺南市私立港明高級中學附設國中部</v>
      </c>
      <c r="F2859" s="14" t="str">
        <f>IFERROR(__xludf.DUMMYFUNCTION("""COMPUTED_VALUE"""),"七年級")</f>
        <v>七年級</v>
      </c>
      <c r="G2859" s="14" t="str">
        <f>IFERROR(__xludf.DUMMYFUNCTION("""COMPUTED_VALUE"""),"●小禮物")</f>
        <v>●小禮物</v>
      </c>
      <c r="H2859" s="8"/>
    </row>
    <row r="2860">
      <c r="A2860" s="18"/>
      <c r="B2860" s="14">
        <f>IFERROR(__xludf.DUMMYFUNCTION("""COMPUTED_VALUE"""),1174072.0)</f>
        <v>1174072</v>
      </c>
      <c r="C2860" s="14" t="str">
        <f>IFERROR(__xludf.DUMMYFUNCTION("""COMPUTED_VALUE"""),"蘇子銓")</f>
        <v>蘇子銓</v>
      </c>
      <c r="D2860" s="16" t="str">
        <f>IFERROR(__xludf.DUMMYFUNCTION("""COMPUTED_VALUE"""),"j07*****.kmsh.tn.edu.tw")</f>
        <v>j07*****.kmsh.tn.edu.tw</v>
      </c>
      <c r="E2860" s="17" t="str">
        <f>IFERROR(__xludf.DUMMYFUNCTION("""COMPUTED_VALUE"""),"臺南市私立港明高級中學附設國中部")</f>
        <v>臺南市私立港明高級中學附設國中部</v>
      </c>
      <c r="F2860" s="14" t="str">
        <f>IFERROR(__xludf.DUMMYFUNCTION("""COMPUTED_VALUE"""),"七年級")</f>
        <v>七年級</v>
      </c>
      <c r="G2860" s="14" t="str">
        <f>IFERROR(__xludf.DUMMYFUNCTION("""COMPUTED_VALUE"""),"●小禮物")</f>
        <v>●小禮物</v>
      </c>
      <c r="H2860" s="8"/>
    </row>
    <row r="2861">
      <c r="A2861" s="18"/>
      <c r="B2861" s="14">
        <f>IFERROR(__xludf.DUMMYFUNCTION("""COMPUTED_VALUE"""),1177655.0)</f>
        <v>1177655</v>
      </c>
      <c r="C2861" s="14" t="str">
        <f>IFERROR(__xludf.DUMMYFUNCTION("""COMPUTED_VALUE"""),"吳宜凡")</f>
        <v>吳宜凡</v>
      </c>
      <c r="D2861" s="16" t="str">
        <f>IFERROR(__xludf.DUMMYFUNCTION("""COMPUTED_VALUE"""),"j18*****.kmsh.tn.edu.tw")</f>
        <v>j18*****.kmsh.tn.edu.tw</v>
      </c>
      <c r="E2861" s="17" t="str">
        <f>IFERROR(__xludf.DUMMYFUNCTION("""COMPUTED_VALUE"""),"臺南市私立港明高級中學附設國中部")</f>
        <v>臺南市私立港明高級中學附設國中部</v>
      </c>
      <c r="F2861" s="14" t="str">
        <f>IFERROR(__xludf.DUMMYFUNCTION("""COMPUTED_VALUE"""),"七年級")</f>
        <v>七年級</v>
      </c>
      <c r="G2861" s="14" t="str">
        <f>IFERROR(__xludf.DUMMYFUNCTION("""COMPUTED_VALUE"""),"獎狀")</f>
        <v>獎狀</v>
      </c>
      <c r="H2861" s="8"/>
    </row>
    <row r="2862">
      <c r="A2862" s="18"/>
      <c r="B2862" s="14">
        <f>IFERROR(__xludf.DUMMYFUNCTION("""COMPUTED_VALUE"""),1177571.0)</f>
        <v>1177571</v>
      </c>
      <c r="C2862" s="14" t="str">
        <f>IFERROR(__xludf.DUMMYFUNCTION("""COMPUTED_VALUE"""),"林杰叡")</f>
        <v>林杰叡</v>
      </c>
      <c r="D2862" s="16" t="str">
        <f>IFERROR(__xludf.DUMMYFUNCTION("""COMPUTED_VALUE"""),"j43*****.kmsh.tn.edu.tw")</f>
        <v>j43*****.kmsh.tn.edu.tw</v>
      </c>
      <c r="E2862" s="17" t="str">
        <f>IFERROR(__xludf.DUMMYFUNCTION("""COMPUTED_VALUE"""),"臺南市私立港明高級中學附設國中部")</f>
        <v>臺南市私立港明高級中學附設國中部</v>
      </c>
      <c r="F2862" s="14" t="str">
        <f>IFERROR(__xludf.DUMMYFUNCTION("""COMPUTED_VALUE"""),"七年級")</f>
        <v>七年級</v>
      </c>
      <c r="G2862" s="14" t="str">
        <f>IFERROR(__xludf.DUMMYFUNCTION("""COMPUTED_VALUE"""),"獎狀")</f>
        <v>獎狀</v>
      </c>
      <c r="H2862" s="8"/>
    </row>
    <row r="2863">
      <c r="A2863" s="18"/>
      <c r="B2863" s="14">
        <f>IFERROR(__xludf.DUMMYFUNCTION("""COMPUTED_VALUE"""),1174418.0)</f>
        <v>1174418</v>
      </c>
      <c r="C2863" s="14" t="str">
        <f>IFERROR(__xludf.DUMMYFUNCTION("""COMPUTED_VALUE"""),"邱威霖")</f>
        <v>邱威霖</v>
      </c>
      <c r="D2863" s="16" t="str">
        <f>IFERROR(__xludf.DUMMYFUNCTION("""COMPUTED_VALUE"""),"j22*****.kmsh.tn.edu.tw")</f>
        <v>j22*****.kmsh.tn.edu.tw</v>
      </c>
      <c r="E2863" s="17" t="str">
        <f>IFERROR(__xludf.DUMMYFUNCTION("""COMPUTED_VALUE"""),"臺南市私立港明高級中學附設國中部")</f>
        <v>臺南市私立港明高級中學附設國中部</v>
      </c>
      <c r="F2863" s="14" t="str">
        <f>IFERROR(__xludf.DUMMYFUNCTION("""COMPUTED_VALUE"""),"七年級")</f>
        <v>七年級</v>
      </c>
      <c r="G2863" s="14" t="str">
        <f>IFERROR(__xludf.DUMMYFUNCTION("""COMPUTED_VALUE"""),"獎狀")</f>
        <v>獎狀</v>
      </c>
      <c r="H2863" s="8"/>
    </row>
    <row r="2864">
      <c r="A2864" s="18"/>
      <c r="B2864" s="14">
        <f>IFERROR(__xludf.DUMMYFUNCTION("""COMPUTED_VALUE"""),1177302.0)</f>
        <v>1177302</v>
      </c>
      <c r="C2864" s="14" t="str">
        <f>IFERROR(__xludf.DUMMYFUNCTION("""COMPUTED_VALUE"""),"張政峰")</f>
        <v>張政峰</v>
      </c>
      <c r="D2864" s="16" t="str">
        <f>IFERROR(__xludf.DUMMYFUNCTION("""COMPUTED_VALUE"""),"j17*****.kmsh.tn.edu.tw")</f>
        <v>j17*****.kmsh.tn.edu.tw</v>
      </c>
      <c r="E2864" s="17" t="str">
        <f>IFERROR(__xludf.DUMMYFUNCTION("""COMPUTED_VALUE"""),"臺南市私立港明高級中學附設國中部")</f>
        <v>臺南市私立港明高級中學附設國中部</v>
      </c>
      <c r="F2864" s="14" t="str">
        <f>IFERROR(__xludf.DUMMYFUNCTION("""COMPUTED_VALUE"""),"七年級")</f>
        <v>七年級</v>
      </c>
      <c r="G2864" s="14" t="str">
        <f>IFERROR(__xludf.DUMMYFUNCTION("""COMPUTED_VALUE"""),"獎狀")</f>
        <v>獎狀</v>
      </c>
      <c r="H2864" s="8"/>
    </row>
    <row r="2865">
      <c r="A2865" s="18"/>
      <c r="B2865" s="14">
        <f>IFERROR(__xludf.DUMMYFUNCTION("""COMPUTED_VALUE"""),1191826.0)</f>
        <v>1191826</v>
      </c>
      <c r="C2865" s="14" t="str">
        <f>IFERROR(__xludf.DUMMYFUNCTION("""COMPUTED_VALUE"""),"許文薰")</f>
        <v>許文薰</v>
      </c>
      <c r="D2865" s="16" t="str">
        <f>IFERROR(__xludf.DUMMYFUNCTION("""COMPUTED_VALUE"""),"j05*****.kmsh.tn.edu.tw")</f>
        <v>j05*****.kmsh.tn.edu.tw</v>
      </c>
      <c r="E2865" s="17" t="str">
        <f>IFERROR(__xludf.DUMMYFUNCTION("""COMPUTED_VALUE"""),"臺南市私立港明高級中學附設國中部")</f>
        <v>臺南市私立港明高級中學附設國中部</v>
      </c>
      <c r="F2865" s="14" t="str">
        <f>IFERROR(__xludf.DUMMYFUNCTION("""COMPUTED_VALUE"""),"七年級")</f>
        <v>七年級</v>
      </c>
      <c r="G2865" s="14" t="str">
        <f>IFERROR(__xludf.DUMMYFUNCTION("""COMPUTED_VALUE"""),"獎狀")</f>
        <v>獎狀</v>
      </c>
      <c r="H2865" s="8"/>
    </row>
    <row r="2866">
      <c r="A2866" s="18"/>
      <c r="B2866" s="14">
        <f>IFERROR(__xludf.DUMMYFUNCTION("""COMPUTED_VALUE"""),1177505.0)</f>
        <v>1177505</v>
      </c>
      <c r="C2866" s="14" t="str">
        <f>IFERROR(__xludf.DUMMYFUNCTION("""COMPUTED_VALUE"""),"陳鐿家")</f>
        <v>陳鐿家</v>
      </c>
      <c r="D2866" s="16" t="str">
        <f>IFERROR(__xludf.DUMMYFUNCTION("""COMPUTED_VALUE"""),"j18*****.kmsh.tn.edu.tw")</f>
        <v>j18*****.kmsh.tn.edu.tw</v>
      </c>
      <c r="E2866" s="17" t="str">
        <f>IFERROR(__xludf.DUMMYFUNCTION("""COMPUTED_VALUE"""),"臺南市私立港明高級中學附設國中部")</f>
        <v>臺南市私立港明高級中學附設國中部</v>
      </c>
      <c r="F2866" s="14" t="str">
        <f>IFERROR(__xludf.DUMMYFUNCTION("""COMPUTED_VALUE"""),"七年級")</f>
        <v>七年級</v>
      </c>
      <c r="G2866" s="14" t="str">
        <f>IFERROR(__xludf.DUMMYFUNCTION("""COMPUTED_VALUE"""),"獎狀")</f>
        <v>獎狀</v>
      </c>
      <c r="H2866" s="8"/>
    </row>
    <row r="2867">
      <c r="A2867" s="18"/>
      <c r="B2867" s="14">
        <f>IFERROR(__xludf.DUMMYFUNCTION("""COMPUTED_VALUE"""),1174423.0)</f>
        <v>1174423</v>
      </c>
      <c r="C2867" s="14" t="str">
        <f>IFERROR(__xludf.DUMMYFUNCTION("""COMPUTED_VALUE"""),"楊欣秀")</f>
        <v>楊欣秀</v>
      </c>
      <c r="D2867" s="16" t="str">
        <f>IFERROR(__xludf.DUMMYFUNCTION("""COMPUTED_VALUE"""),"j36*****.kmsh.tn.edu.tw")</f>
        <v>j36*****.kmsh.tn.edu.tw</v>
      </c>
      <c r="E2867" s="17" t="str">
        <f>IFERROR(__xludf.DUMMYFUNCTION("""COMPUTED_VALUE"""),"臺南市私立港明高級中學附設國中部")</f>
        <v>臺南市私立港明高級中學附設國中部</v>
      </c>
      <c r="F2867" s="14" t="str">
        <f>IFERROR(__xludf.DUMMYFUNCTION("""COMPUTED_VALUE"""),"七年級")</f>
        <v>七年級</v>
      </c>
      <c r="G2867" s="14" t="str">
        <f>IFERROR(__xludf.DUMMYFUNCTION("""COMPUTED_VALUE"""),"獎狀")</f>
        <v>獎狀</v>
      </c>
      <c r="H2867" s="8"/>
    </row>
    <row r="2868">
      <c r="A2868" s="18"/>
      <c r="B2868" s="14">
        <f>IFERROR(__xludf.DUMMYFUNCTION("""COMPUTED_VALUE"""),1179878.0)</f>
        <v>1179878</v>
      </c>
      <c r="C2868" s="14" t="str">
        <f>IFERROR(__xludf.DUMMYFUNCTION("""COMPUTED_VALUE"""),"蔡芸柔")</f>
        <v>蔡芸柔</v>
      </c>
      <c r="D2868" s="16" t="str">
        <f>IFERROR(__xludf.DUMMYFUNCTION("""COMPUTED_VALUE"""),"j46*****.kmsh.tn.edu.tw")</f>
        <v>j46*****.kmsh.tn.edu.tw</v>
      </c>
      <c r="E2868" s="17" t="str">
        <f>IFERROR(__xludf.DUMMYFUNCTION("""COMPUTED_VALUE"""),"臺南市私立港明高級中學附設國中部")</f>
        <v>臺南市私立港明高級中學附設國中部</v>
      </c>
      <c r="F2868" s="14" t="str">
        <f>IFERROR(__xludf.DUMMYFUNCTION("""COMPUTED_VALUE"""),"七年級")</f>
        <v>七年級</v>
      </c>
      <c r="G2868" s="14" t="str">
        <f>IFERROR(__xludf.DUMMYFUNCTION("""COMPUTED_VALUE"""),"獎狀")</f>
        <v>獎狀</v>
      </c>
      <c r="H2868" s="8"/>
    </row>
    <row r="2869">
      <c r="A2869" s="18"/>
      <c r="B2869" s="14">
        <f>IFERROR(__xludf.DUMMYFUNCTION("""COMPUTED_VALUE"""),1173990.0)</f>
        <v>1173990</v>
      </c>
      <c r="C2869" s="14" t="str">
        <f>IFERROR(__xludf.DUMMYFUNCTION("""COMPUTED_VALUE"""),"蘇灝")</f>
        <v>蘇灝</v>
      </c>
      <c r="D2869" s="16" t="str">
        <f>IFERROR(__xludf.DUMMYFUNCTION("""COMPUTED_VALUE"""),"j52*****.kmsh.tn.edu.tw")</f>
        <v>j52*****.kmsh.tn.edu.tw</v>
      </c>
      <c r="E2869" s="17" t="str">
        <f>IFERROR(__xludf.DUMMYFUNCTION("""COMPUTED_VALUE"""),"臺南市私立港明高級中學附設國中部")</f>
        <v>臺南市私立港明高級中學附設國中部</v>
      </c>
      <c r="F2869" s="14" t="str">
        <f>IFERROR(__xludf.DUMMYFUNCTION("""COMPUTED_VALUE"""),"七年級")</f>
        <v>七年級</v>
      </c>
      <c r="G2869" s="14" t="str">
        <f>IFERROR(__xludf.DUMMYFUNCTION("""COMPUTED_VALUE"""),"獎狀")</f>
        <v>獎狀</v>
      </c>
      <c r="H2869" s="8"/>
    </row>
    <row r="2870">
      <c r="A2870" s="18"/>
      <c r="B2870" s="14">
        <f>IFERROR(__xludf.DUMMYFUNCTION("""COMPUTED_VALUE"""),1208708.0)</f>
        <v>1208708</v>
      </c>
      <c r="C2870" s="14" t="str">
        <f>IFERROR(__xludf.DUMMYFUNCTION("""COMPUTED_VALUE"""),"邱筱鈞")</f>
        <v>邱筱鈞</v>
      </c>
      <c r="D2870" s="16" t="str">
        <f>IFERROR(__xludf.DUMMYFUNCTION("""COMPUTED_VALUE"""),"qwe*****2626@gmail.com")</f>
        <v>qwe*****2626@gmail.com</v>
      </c>
      <c r="E2870" s="17" t="str">
        <f>IFERROR(__xludf.DUMMYFUNCTION("""COMPUTED_VALUE"""),"臺南市私立港明高級中學附設國中部")</f>
        <v>臺南市私立港明高級中學附設國中部</v>
      </c>
      <c r="F2870" s="14" t="str">
        <f>IFERROR(__xludf.DUMMYFUNCTION("""COMPUTED_VALUE"""),"七年級")</f>
        <v>七年級</v>
      </c>
      <c r="G2870" s="14" t="str">
        <f>IFERROR(__xludf.DUMMYFUNCTION("""COMPUTED_VALUE"""),"★禮券$200")</f>
        <v>★禮券$200</v>
      </c>
      <c r="H2870" s="8"/>
    </row>
    <row r="2871">
      <c r="A2871" s="18"/>
      <c r="B2871" s="14">
        <f>IFERROR(__xludf.DUMMYFUNCTION("""COMPUTED_VALUE"""),1089358.0)</f>
        <v>1089358</v>
      </c>
      <c r="C2871" s="14" t="str">
        <f>IFERROR(__xludf.DUMMYFUNCTION("""COMPUTED_VALUE"""),"林湧鈞")</f>
        <v>林湧鈞</v>
      </c>
      <c r="D2871" s="16" t="str">
        <f>IFERROR(__xludf.DUMMYFUNCTION("""COMPUTED_VALUE"""),"yao*****uang.cy@gmail.com")</f>
        <v>yao*****uang.cy@gmail.com</v>
      </c>
      <c r="E2871" s="17" t="str">
        <f>IFERROR(__xludf.DUMMYFUNCTION("""COMPUTED_VALUE"""),"臺南市私立港明高級中學附設國中部")</f>
        <v>臺南市私立港明高級中學附設國中部</v>
      </c>
      <c r="F2871" s="14" t="str">
        <f>IFERROR(__xludf.DUMMYFUNCTION("""COMPUTED_VALUE"""),"七年級")</f>
        <v>七年級</v>
      </c>
      <c r="G2871" s="14" t="str">
        <f>IFERROR(__xludf.DUMMYFUNCTION("""COMPUTED_VALUE"""),"●小禮物")</f>
        <v>●小禮物</v>
      </c>
      <c r="H2871" s="8"/>
    </row>
    <row r="2872">
      <c r="A2872" s="18"/>
      <c r="B2872" s="14">
        <f>IFERROR(__xludf.DUMMYFUNCTION("""COMPUTED_VALUE"""),841108.0)</f>
        <v>841108</v>
      </c>
      <c r="C2872" s="14" t="str">
        <f>IFERROR(__xludf.DUMMYFUNCTION("""COMPUTED_VALUE"""),"葉昕妤")</f>
        <v>葉昕妤</v>
      </c>
      <c r="D2872" s="16" t="str">
        <f>IFERROR(__xludf.DUMMYFUNCTION("""COMPUTED_VALUE"""),"met*****owerha@gmail.com")</f>
        <v>met*****owerha@gmail.com</v>
      </c>
      <c r="E2872" s="17" t="str">
        <f>IFERROR(__xludf.DUMMYFUNCTION("""COMPUTED_VALUE"""),"臺南市私立港明高級中學附設國中部")</f>
        <v>臺南市私立港明高級中學附設國中部</v>
      </c>
      <c r="F2872" s="14" t="str">
        <f>IFERROR(__xludf.DUMMYFUNCTION("""COMPUTED_VALUE"""),"八年級")</f>
        <v>八年級</v>
      </c>
      <c r="G2872" s="14" t="str">
        <f>IFERROR(__xludf.DUMMYFUNCTION("""COMPUTED_VALUE"""),"●小禮物")</f>
        <v>●小禮物</v>
      </c>
      <c r="H2872" s="8"/>
    </row>
    <row r="2873">
      <c r="A2873" s="18"/>
      <c r="B2873" s="14">
        <f>IFERROR(__xludf.DUMMYFUNCTION("""COMPUTED_VALUE"""),959954.0)</f>
        <v>959954</v>
      </c>
      <c r="C2873" s="14" t="str">
        <f>IFERROR(__xludf.DUMMYFUNCTION("""COMPUTED_VALUE"""),"王利媗")</f>
        <v>王利媗</v>
      </c>
      <c r="D2873" s="16" t="str">
        <f>IFERROR(__xludf.DUMMYFUNCTION("""COMPUTED_VALUE"""),"lix*****ng530@gmail.com")</f>
        <v>lix*****ng530@gmail.com</v>
      </c>
      <c r="E2873" s="17" t="str">
        <f>IFERROR(__xludf.DUMMYFUNCTION("""COMPUTED_VALUE"""),"臺南市私立港明高級中學附設國中部")</f>
        <v>臺南市私立港明高級中學附設國中部</v>
      </c>
      <c r="F2873" s="14" t="str">
        <f>IFERROR(__xludf.DUMMYFUNCTION("""COMPUTED_VALUE"""),"八年級")</f>
        <v>八年級</v>
      </c>
      <c r="G2873" s="14" t="str">
        <f>IFERROR(__xludf.DUMMYFUNCTION("""COMPUTED_VALUE"""),"獎狀")</f>
        <v>獎狀</v>
      </c>
      <c r="H2873" s="8"/>
    </row>
    <row r="2874">
      <c r="A2874" s="18"/>
      <c r="B2874" s="14">
        <f>IFERROR(__xludf.DUMMYFUNCTION("""COMPUTED_VALUE"""),392939.0)</f>
        <v>392939</v>
      </c>
      <c r="C2874" s="14" t="str">
        <f>IFERROR(__xludf.DUMMYFUNCTION("""COMPUTED_VALUE"""),"吳季詡")</f>
        <v>吳季詡</v>
      </c>
      <c r="D2874" s="16" t="str">
        <f>IFERROR(__xludf.DUMMYFUNCTION("""COMPUTED_VALUE"""),"st5*****5.tn@mail.edu.tw")</f>
        <v>st5*****5.tn@mail.edu.tw</v>
      </c>
      <c r="E2874" s="17" t="str">
        <f>IFERROR(__xludf.DUMMYFUNCTION("""COMPUTED_VALUE"""),"臺南市私立港明高級中學附設國中部")</f>
        <v>臺南市私立港明高級中學附設國中部</v>
      </c>
      <c r="F2874" s="14" t="str">
        <f>IFERROR(__xludf.DUMMYFUNCTION("""COMPUTED_VALUE"""),"八年級")</f>
        <v>八年級</v>
      </c>
      <c r="G2874" s="14" t="str">
        <f>IFERROR(__xludf.DUMMYFUNCTION("""COMPUTED_VALUE"""),"●小禮物")</f>
        <v>●小禮物</v>
      </c>
      <c r="H2874" s="8"/>
    </row>
    <row r="2875">
      <c r="A2875" s="18"/>
      <c r="B2875" s="14">
        <f>IFERROR(__xludf.DUMMYFUNCTION("""COMPUTED_VALUE"""),1179783.0)</f>
        <v>1179783</v>
      </c>
      <c r="C2875" s="14" t="str">
        <f>IFERROR(__xludf.DUMMYFUNCTION("""COMPUTED_VALUE"""),"林冠鋆")</f>
        <v>林冠鋆</v>
      </c>
      <c r="D2875" s="16" t="str">
        <f>IFERROR(__xludf.DUMMYFUNCTION("""COMPUTED_VALUE"""),"stj*****77@web.kmsh.tn.edu.tw")</f>
        <v>stj*****77@web.kmsh.tn.edu.tw</v>
      </c>
      <c r="E2875" s="17" t="str">
        <f>IFERROR(__xludf.DUMMYFUNCTION("""COMPUTED_VALUE"""),"臺南市私立港明高級中學附設國中部")</f>
        <v>臺南市私立港明高級中學附設國中部</v>
      </c>
      <c r="F2875" s="14" t="str">
        <f>IFERROR(__xludf.DUMMYFUNCTION("""COMPUTED_VALUE"""),"八年級")</f>
        <v>八年級</v>
      </c>
      <c r="G2875" s="14" t="str">
        <f>IFERROR(__xludf.DUMMYFUNCTION("""COMPUTED_VALUE"""),"●小禮物")</f>
        <v>●小禮物</v>
      </c>
      <c r="H2875" s="8"/>
    </row>
    <row r="2876">
      <c r="A2876" s="18"/>
      <c r="B2876" s="14">
        <f>IFERROR(__xludf.DUMMYFUNCTION("""COMPUTED_VALUE"""),1015205.0)</f>
        <v>1015205</v>
      </c>
      <c r="C2876" s="14" t="str">
        <f>IFERROR(__xludf.DUMMYFUNCTION("""COMPUTED_VALUE"""),"柯函妤")</f>
        <v>柯函妤</v>
      </c>
      <c r="D2876" s="16" t="str">
        <f>IFERROR(__xludf.DUMMYFUNCTION("""COMPUTED_VALUE"""),"stj*****50@web.kmsh.tn.edu.tw")</f>
        <v>stj*****50@web.kmsh.tn.edu.tw</v>
      </c>
      <c r="E2876" s="17" t="str">
        <f>IFERROR(__xludf.DUMMYFUNCTION("""COMPUTED_VALUE"""),"臺南市私立港明高級中學附設國中部")</f>
        <v>臺南市私立港明高級中學附設國中部</v>
      </c>
      <c r="F2876" s="14" t="str">
        <f>IFERROR(__xludf.DUMMYFUNCTION("""COMPUTED_VALUE"""),"八年級")</f>
        <v>八年級</v>
      </c>
      <c r="G2876" s="14" t="str">
        <f>IFERROR(__xludf.DUMMYFUNCTION("""COMPUTED_VALUE"""),"●小禮物")</f>
        <v>●小禮物</v>
      </c>
      <c r="H2876" s="8"/>
    </row>
    <row r="2877">
      <c r="A2877" s="18"/>
      <c r="B2877" s="14">
        <f>IFERROR(__xludf.DUMMYFUNCTION("""COMPUTED_VALUE"""),1173454.0)</f>
        <v>1173454</v>
      </c>
      <c r="C2877" s="14" t="str">
        <f>IFERROR(__xludf.DUMMYFUNCTION("""COMPUTED_VALUE"""),"張毓芷")</f>
        <v>張毓芷</v>
      </c>
      <c r="D2877" s="16" t="str">
        <f>IFERROR(__xludf.DUMMYFUNCTION("""COMPUTED_VALUE"""),"stj*****01@web.kmsh.tn.edu.tw")</f>
        <v>stj*****01@web.kmsh.tn.edu.tw</v>
      </c>
      <c r="E2877" s="17" t="str">
        <f>IFERROR(__xludf.DUMMYFUNCTION("""COMPUTED_VALUE"""),"臺南市私立港明高級中學附設國中部")</f>
        <v>臺南市私立港明高級中學附設國中部</v>
      </c>
      <c r="F2877" s="14" t="str">
        <f>IFERROR(__xludf.DUMMYFUNCTION("""COMPUTED_VALUE"""),"八年級")</f>
        <v>八年級</v>
      </c>
      <c r="G2877" s="14" t="str">
        <f>IFERROR(__xludf.DUMMYFUNCTION("""COMPUTED_VALUE"""),"●小禮物")</f>
        <v>●小禮物</v>
      </c>
      <c r="H2877" s="8"/>
    </row>
    <row r="2878">
      <c r="A2878" s="18"/>
      <c r="B2878" s="14">
        <f>IFERROR(__xludf.DUMMYFUNCTION("""COMPUTED_VALUE"""),1174895.0)</f>
        <v>1174895</v>
      </c>
      <c r="C2878" s="14" t="str">
        <f>IFERROR(__xludf.DUMMYFUNCTION("""COMPUTED_VALUE"""),"黃漴元")</f>
        <v>黃漴元</v>
      </c>
      <c r="D2878" s="16" t="str">
        <f>IFERROR(__xludf.DUMMYFUNCTION("""COMPUTED_VALUE"""),"stj*****92@web.kmsh.tn.edu.tw")</f>
        <v>stj*****92@web.kmsh.tn.edu.tw</v>
      </c>
      <c r="E2878" s="17" t="str">
        <f>IFERROR(__xludf.DUMMYFUNCTION("""COMPUTED_VALUE"""),"臺南市私立港明高級中學附設國中部")</f>
        <v>臺南市私立港明高級中學附設國中部</v>
      </c>
      <c r="F2878" s="14" t="str">
        <f>IFERROR(__xludf.DUMMYFUNCTION("""COMPUTED_VALUE"""),"八年級")</f>
        <v>八年級</v>
      </c>
      <c r="G2878" s="14" t="str">
        <f>IFERROR(__xludf.DUMMYFUNCTION("""COMPUTED_VALUE"""),"●小禮物")</f>
        <v>●小禮物</v>
      </c>
      <c r="H2878" s="8"/>
    </row>
    <row r="2879">
      <c r="A2879" s="18"/>
      <c r="B2879" s="14">
        <f>IFERROR(__xludf.DUMMYFUNCTION("""COMPUTED_VALUE"""),1169561.0)</f>
        <v>1169561</v>
      </c>
      <c r="C2879" s="14" t="str">
        <f>IFERROR(__xludf.DUMMYFUNCTION("""COMPUTED_VALUE"""),"葉媛穠")</f>
        <v>葉媛穠</v>
      </c>
      <c r="D2879" s="16" t="str">
        <f>IFERROR(__xludf.DUMMYFUNCTION("""COMPUTED_VALUE"""),"stj*****64@web.kmsh.tn.edu.tw")</f>
        <v>stj*****64@web.kmsh.tn.edu.tw</v>
      </c>
      <c r="E2879" s="17" t="str">
        <f>IFERROR(__xludf.DUMMYFUNCTION("""COMPUTED_VALUE"""),"臺南市私立港明高級中學附設國中部")</f>
        <v>臺南市私立港明高級中學附設國中部</v>
      </c>
      <c r="F2879" s="14" t="str">
        <f>IFERROR(__xludf.DUMMYFUNCTION("""COMPUTED_VALUE"""),"八年級")</f>
        <v>八年級</v>
      </c>
      <c r="G2879" s="14" t="str">
        <f>IFERROR(__xludf.DUMMYFUNCTION("""COMPUTED_VALUE"""),"●小禮物")</f>
        <v>●小禮物</v>
      </c>
      <c r="H2879" s="8"/>
    </row>
    <row r="2880">
      <c r="A2880" s="18"/>
      <c r="B2880" s="14">
        <f>IFERROR(__xludf.DUMMYFUNCTION("""COMPUTED_VALUE"""),1173755.0)</f>
        <v>1173755</v>
      </c>
      <c r="C2880" s="14" t="str">
        <f>IFERROR(__xludf.DUMMYFUNCTION("""COMPUTED_VALUE"""),"劉芮佑")</f>
        <v>劉芮佑</v>
      </c>
      <c r="D2880" s="16" t="str">
        <f>IFERROR(__xludf.DUMMYFUNCTION("""COMPUTED_VALUE"""),"stj*****61@web.kmsh.tn.edu.tw")</f>
        <v>stj*****61@web.kmsh.tn.edu.tw</v>
      </c>
      <c r="E2880" s="17" t="str">
        <f>IFERROR(__xludf.DUMMYFUNCTION("""COMPUTED_VALUE"""),"臺南市私立港明高級中學附設國中部")</f>
        <v>臺南市私立港明高級中學附設國中部</v>
      </c>
      <c r="F2880" s="14" t="str">
        <f>IFERROR(__xludf.DUMMYFUNCTION("""COMPUTED_VALUE"""),"八年級")</f>
        <v>八年級</v>
      </c>
      <c r="G2880" s="14" t="str">
        <f>IFERROR(__xludf.DUMMYFUNCTION("""COMPUTED_VALUE"""),"●小禮物")</f>
        <v>●小禮物</v>
      </c>
      <c r="H2880" s="8"/>
    </row>
    <row r="2881">
      <c r="A2881" s="18"/>
      <c r="B2881" s="14">
        <f>IFERROR(__xludf.DUMMYFUNCTION("""COMPUTED_VALUE"""),1174041.0)</f>
        <v>1174041</v>
      </c>
      <c r="C2881" s="14" t="str">
        <f>IFERROR(__xludf.DUMMYFUNCTION("""COMPUTED_VALUE"""),"陳閔謙")</f>
        <v>陳閔謙</v>
      </c>
      <c r="D2881" s="16" t="str">
        <f>IFERROR(__xludf.DUMMYFUNCTION("""COMPUTED_VALUE"""),"stj*****76@web.kmsh.tn.edu.tw")</f>
        <v>stj*****76@web.kmsh.tn.edu.tw</v>
      </c>
      <c r="E2881" s="17" t="str">
        <f>IFERROR(__xludf.DUMMYFUNCTION("""COMPUTED_VALUE"""),"臺南市私立港明高級中學附設國中部")</f>
        <v>臺南市私立港明高級中學附設國中部</v>
      </c>
      <c r="F2881" s="14" t="str">
        <f>IFERROR(__xludf.DUMMYFUNCTION("""COMPUTED_VALUE"""),"八年級")</f>
        <v>八年級</v>
      </c>
      <c r="G2881" s="14" t="str">
        <f>IFERROR(__xludf.DUMMYFUNCTION("""COMPUTED_VALUE"""),"★禮券$200")</f>
        <v>★禮券$200</v>
      </c>
      <c r="H2881" s="8"/>
    </row>
    <row r="2882">
      <c r="A2882" s="18"/>
      <c r="B2882" s="14">
        <f>IFERROR(__xludf.DUMMYFUNCTION("""COMPUTED_VALUE"""),1177574.0)</f>
        <v>1177574</v>
      </c>
      <c r="C2882" s="14" t="str">
        <f>IFERROR(__xludf.DUMMYFUNCTION("""COMPUTED_VALUE"""),"王宥婷")</f>
        <v>王宥婷</v>
      </c>
      <c r="D2882" s="16" t="str">
        <f>IFERROR(__xludf.DUMMYFUNCTION("""COMPUTED_VALUE"""),"stj*****05@web.kmsh.tn.edu.tw")</f>
        <v>stj*****05@web.kmsh.tn.edu.tw</v>
      </c>
      <c r="E2882" s="17" t="str">
        <f>IFERROR(__xludf.DUMMYFUNCTION("""COMPUTED_VALUE"""),"臺南市私立港明高級中學附設國中部")</f>
        <v>臺南市私立港明高級中學附設國中部</v>
      </c>
      <c r="F2882" s="14" t="str">
        <f>IFERROR(__xludf.DUMMYFUNCTION("""COMPUTED_VALUE"""),"八年級")</f>
        <v>八年級</v>
      </c>
      <c r="G2882" s="14" t="str">
        <f>IFERROR(__xludf.DUMMYFUNCTION("""COMPUTED_VALUE"""),"獎狀")</f>
        <v>獎狀</v>
      </c>
      <c r="H2882" s="8"/>
    </row>
    <row r="2883">
      <c r="A2883" s="18"/>
      <c r="B2883" s="14">
        <f>IFERROR(__xludf.DUMMYFUNCTION("""COMPUTED_VALUE"""),1177238.0)</f>
        <v>1177238</v>
      </c>
      <c r="C2883" s="14" t="str">
        <f>IFERROR(__xludf.DUMMYFUNCTION("""COMPUTED_VALUE"""),"王宥程")</f>
        <v>王宥程</v>
      </c>
      <c r="D2883" s="16" t="str">
        <f>IFERROR(__xludf.DUMMYFUNCTION("""COMPUTED_VALUE"""),"stj*****23@web.kmsh.tn.edu.tw")</f>
        <v>stj*****23@web.kmsh.tn.edu.tw</v>
      </c>
      <c r="E2883" s="17" t="str">
        <f>IFERROR(__xludf.DUMMYFUNCTION("""COMPUTED_VALUE"""),"臺南市私立港明高級中學附設國中部")</f>
        <v>臺南市私立港明高級中學附設國中部</v>
      </c>
      <c r="F2883" s="14" t="str">
        <f>IFERROR(__xludf.DUMMYFUNCTION("""COMPUTED_VALUE"""),"八年級")</f>
        <v>八年級</v>
      </c>
      <c r="G2883" s="14" t="str">
        <f>IFERROR(__xludf.DUMMYFUNCTION("""COMPUTED_VALUE"""),"獎狀")</f>
        <v>獎狀</v>
      </c>
      <c r="H2883" s="8"/>
    </row>
    <row r="2884">
      <c r="A2884" s="18"/>
      <c r="B2884" s="14">
        <f>IFERROR(__xludf.DUMMYFUNCTION("""COMPUTED_VALUE"""),1181817.0)</f>
        <v>1181817</v>
      </c>
      <c r="C2884" s="14" t="str">
        <f>IFERROR(__xludf.DUMMYFUNCTION("""COMPUTED_VALUE"""),"邱睿紘")</f>
        <v>邱睿紘</v>
      </c>
      <c r="D2884" s="16" t="str">
        <f>IFERROR(__xludf.DUMMYFUNCTION("""COMPUTED_VALUE"""),"stj*****38@web.kmsh.tn.edu.tw")</f>
        <v>stj*****38@web.kmsh.tn.edu.tw</v>
      </c>
      <c r="E2884" s="17" t="str">
        <f>IFERROR(__xludf.DUMMYFUNCTION("""COMPUTED_VALUE"""),"臺南市私立港明高級中學附設國中部")</f>
        <v>臺南市私立港明高級中學附設國中部</v>
      </c>
      <c r="F2884" s="14" t="str">
        <f>IFERROR(__xludf.DUMMYFUNCTION("""COMPUTED_VALUE"""),"八年級")</f>
        <v>八年級</v>
      </c>
      <c r="G2884" s="14" t="str">
        <f>IFERROR(__xludf.DUMMYFUNCTION("""COMPUTED_VALUE"""),"獎狀")</f>
        <v>獎狀</v>
      </c>
      <c r="H2884" s="8"/>
    </row>
    <row r="2885">
      <c r="A2885" s="18"/>
      <c r="B2885" s="14">
        <f>IFERROR(__xludf.DUMMYFUNCTION("""COMPUTED_VALUE"""),1177267.0)</f>
        <v>1177267</v>
      </c>
      <c r="C2885" s="14" t="str">
        <f>IFERROR(__xludf.DUMMYFUNCTION("""COMPUTED_VALUE"""),"侯毓亭")</f>
        <v>侯毓亭</v>
      </c>
      <c r="D2885" s="16" t="str">
        <f>IFERROR(__xludf.DUMMYFUNCTION("""COMPUTED_VALUE"""),"stj*****51@web.kmsh.tn.edu.tw")</f>
        <v>stj*****51@web.kmsh.tn.edu.tw</v>
      </c>
      <c r="E2885" s="17" t="str">
        <f>IFERROR(__xludf.DUMMYFUNCTION("""COMPUTED_VALUE"""),"臺南市私立港明高級中學附設國中部")</f>
        <v>臺南市私立港明高級中學附設國中部</v>
      </c>
      <c r="F2885" s="14" t="str">
        <f>IFERROR(__xludf.DUMMYFUNCTION("""COMPUTED_VALUE"""),"八年級")</f>
        <v>八年級</v>
      </c>
      <c r="G2885" s="14" t="str">
        <f>IFERROR(__xludf.DUMMYFUNCTION("""COMPUTED_VALUE"""),"獎狀")</f>
        <v>獎狀</v>
      </c>
      <c r="H2885" s="8"/>
    </row>
    <row r="2886">
      <c r="A2886" s="18"/>
      <c r="B2886" s="14">
        <f>IFERROR(__xludf.DUMMYFUNCTION("""COMPUTED_VALUE"""),1181677.0)</f>
        <v>1181677</v>
      </c>
      <c r="C2886" s="14" t="str">
        <f>IFERROR(__xludf.DUMMYFUNCTION("""COMPUTED_VALUE"""),"張喬涵")</f>
        <v>張喬涵</v>
      </c>
      <c r="D2886" s="16" t="str">
        <f>IFERROR(__xludf.DUMMYFUNCTION("""COMPUTED_VALUE"""),"stj*****63@web.kmsh.tn.edu.tw")</f>
        <v>stj*****63@web.kmsh.tn.edu.tw</v>
      </c>
      <c r="E2886" s="17" t="str">
        <f>IFERROR(__xludf.DUMMYFUNCTION("""COMPUTED_VALUE"""),"臺南市私立港明高級中學附設國中部")</f>
        <v>臺南市私立港明高級中學附設國中部</v>
      </c>
      <c r="F2886" s="14" t="str">
        <f>IFERROR(__xludf.DUMMYFUNCTION("""COMPUTED_VALUE"""),"八年級")</f>
        <v>八年級</v>
      </c>
      <c r="G2886" s="14" t="str">
        <f>IFERROR(__xludf.DUMMYFUNCTION("""COMPUTED_VALUE"""),"獎狀")</f>
        <v>獎狀</v>
      </c>
      <c r="H2886" s="8"/>
    </row>
    <row r="2887">
      <c r="A2887" s="18"/>
      <c r="B2887" s="14">
        <f>IFERROR(__xludf.DUMMYFUNCTION("""COMPUTED_VALUE"""),465961.0)</f>
        <v>465961</v>
      </c>
      <c r="C2887" s="14" t="str">
        <f>IFERROR(__xludf.DUMMYFUNCTION("""COMPUTED_VALUE"""),"徐咏廷")</f>
        <v>徐咏廷</v>
      </c>
      <c r="D2887" s="16" t="str">
        <f>IFERROR(__xludf.DUMMYFUNCTION("""COMPUTED_VALUE"""),"stj*****13@web.kmsh.tn.edu.tw")</f>
        <v>stj*****13@web.kmsh.tn.edu.tw</v>
      </c>
      <c r="E2887" s="17" t="str">
        <f>IFERROR(__xludf.DUMMYFUNCTION("""COMPUTED_VALUE"""),"臺南市私立港明高級中學附設國中部")</f>
        <v>臺南市私立港明高級中學附設國中部</v>
      </c>
      <c r="F2887" s="14" t="str">
        <f>IFERROR(__xludf.DUMMYFUNCTION("""COMPUTED_VALUE"""),"九年級")</f>
        <v>九年級</v>
      </c>
      <c r="G2887" s="14" t="str">
        <f>IFERROR(__xludf.DUMMYFUNCTION("""COMPUTED_VALUE"""),"獎狀")</f>
        <v>獎狀</v>
      </c>
      <c r="H2887" s="8"/>
    </row>
    <row r="2888">
      <c r="A2888" s="18"/>
      <c r="B2888" s="14">
        <f>IFERROR(__xludf.DUMMYFUNCTION("""COMPUTED_VALUE"""),547737.0)</f>
        <v>547737</v>
      </c>
      <c r="C2888" s="14" t="str">
        <f>IFERROR(__xludf.DUMMYFUNCTION("""COMPUTED_VALUE"""),"王柏穎")</f>
        <v>王柏穎</v>
      </c>
      <c r="D2888" s="16" t="str">
        <f>IFERROR(__xludf.DUMMYFUNCTION("""COMPUTED_VALUE"""),"stj*****55@web.kmsh.tn.edu.tw")</f>
        <v>stj*****55@web.kmsh.tn.edu.tw</v>
      </c>
      <c r="E2888" s="17" t="str">
        <f>IFERROR(__xludf.DUMMYFUNCTION("""COMPUTED_VALUE"""),"臺南市私立港明高級中學附設國中部")</f>
        <v>臺南市私立港明高級中學附設國中部</v>
      </c>
      <c r="F2888" s="14" t="str">
        <f>IFERROR(__xludf.DUMMYFUNCTION("""COMPUTED_VALUE"""),"九年級")</f>
        <v>九年級</v>
      </c>
      <c r="G2888" s="14" t="str">
        <f>IFERROR(__xludf.DUMMYFUNCTION("""COMPUTED_VALUE"""),"獎狀")</f>
        <v>獎狀</v>
      </c>
      <c r="H2888" s="8"/>
    </row>
    <row r="2889">
      <c r="A2889" s="18"/>
      <c r="B2889" s="14">
        <f>IFERROR(__xludf.DUMMYFUNCTION("""COMPUTED_VALUE"""),1123806.0)</f>
        <v>1123806</v>
      </c>
      <c r="C2889" s="14" t="str">
        <f>IFERROR(__xludf.DUMMYFUNCTION("""COMPUTED_VALUE"""),"楊佩璇")</f>
        <v>楊佩璇</v>
      </c>
      <c r="D2889" s="16" t="str">
        <f>IFERROR(__xludf.DUMMYFUNCTION("""COMPUTED_VALUE"""),"jmj*****097@jmjh.tn.edu.tw")</f>
        <v>jmj*****097@jmjh.tn.edu.tw</v>
      </c>
      <c r="E2889" s="17" t="str">
        <f>IFERROR(__xludf.DUMMYFUNCTION("""COMPUTED_VALUE"""),"臺南市私立昭明國民中學")</f>
        <v>臺南市私立昭明國民中學</v>
      </c>
      <c r="F2889" s="14" t="str">
        <f>IFERROR(__xludf.DUMMYFUNCTION("""COMPUTED_VALUE"""),"八年級")</f>
        <v>八年級</v>
      </c>
      <c r="G2889" s="14" t="str">
        <f>IFERROR(__xludf.DUMMYFUNCTION("""COMPUTED_VALUE"""),"●小禮物")</f>
        <v>●小禮物</v>
      </c>
      <c r="H2889" s="8"/>
    </row>
    <row r="2890">
      <c r="A2890" s="18"/>
      <c r="B2890" s="14">
        <f>IFERROR(__xludf.DUMMYFUNCTION("""COMPUTED_VALUE"""),998939.0)</f>
        <v>998939</v>
      </c>
      <c r="C2890" s="14" t="str">
        <f>IFERROR(__xludf.DUMMYFUNCTION("""COMPUTED_VALUE"""),"陳芷嫺")</f>
        <v>陳芷嫺</v>
      </c>
      <c r="D2890" s="16" t="str">
        <f>IFERROR(__xludf.DUMMYFUNCTION("""COMPUTED_VALUE"""),"zhi*****70323@gmail.com")</f>
        <v>zhi*****70323@gmail.com</v>
      </c>
      <c r="E2890" s="17" t="str">
        <f>IFERROR(__xludf.DUMMYFUNCTION("""COMPUTED_VALUE"""),"臺南市私立昭明國民中學")</f>
        <v>臺南市私立昭明國民中學</v>
      </c>
      <c r="F2890" s="14" t="str">
        <f>IFERROR(__xludf.DUMMYFUNCTION("""COMPUTED_VALUE"""),"九年級")</f>
        <v>九年級</v>
      </c>
      <c r="G2890" s="14" t="str">
        <f>IFERROR(__xludf.DUMMYFUNCTION("""COMPUTED_VALUE"""),"●小禮物")</f>
        <v>●小禮物</v>
      </c>
      <c r="H2890" s="8"/>
    </row>
    <row r="2891">
      <c r="A2891" s="18"/>
      <c r="B2891" s="14">
        <f>IFERROR(__xludf.DUMMYFUNCTION("""COMPUTED_VALUE"""),1123800.0)</f>
        <v>1123800</v>
      </c>
      <c r="C2891" s="14" t="str">
        <f>IFERROR(__xludf.DUMMYFUNCTION("""COMPUTED_VALUE"""),"邱宛蓁")</f>
        <v>邱宛蓁</v>
      </c>
      <c r="D2891" s="16" t="str">
        <f>IFERROR(__xludf.DUMMYFUNCTION("""COMPUTED_VALUE"""),"o90*****55@gmail.com")</f>
        <v>o90*****55@gmail.com</v>
      </c>
      <c r="E2891" s="17" t="str">
        <f>IFERROR(__xludf.DUMMYFUNCTION("""COMPUTED_VALUE"""),"臺南市私立昭明國民中學")</f>
        <v>臺南市私立昭明國民中學</v>
      </c>
      <c r="F2891" s="14" t="str">
        <f>IFERROR(__xludf.DUMMYFUNCTION("""COMPUTED_VALUE"""),"九年級")</f>
        <v>九年級</v>
      </c>
      <c r="G2891" s="14" t="str">
        <f>IFERROR(__xludf.DUMMYFUNCTION("""COMPUTED_VALUE"""),"獎狀")</f>
        <v>獎狀</v>
      </c>
      <c r="H2891" s="8"/>
    </row>
    <row r="2892">
      <c r="A2892" s="18"/>
      <c r="B2892" s="14">
        <f>IFERROR(__xludf.DUMMYFUNCTION("""COMPUTED_VALUE"""),877248.0)</f>
        <v>877248</v>
      </c>
      <c r="C2892" s="14" t="str">
        <f>IFERROR(__xludf.DUMMYFUNCTION("""COMPUTED_VALUE"""),"歐吟雯")</f>
        <v>歐吟雯</v>
      </c>
      <c r="D2892" s="16" t="str">
        <f>IFERROR(__xludf.DUMMYFUNCTION("""COMPUTED_VALUE"""),"st5*****5@mail.edu.tw")</f>
        <v>st5*****5@mail.edu.tw</v>
      </c>
      <c r="E2892" s="17" t="str">
        <f>IFERROR(__xludf.DUMMYFUNCTION("""COMPUTED_VALUE"""),"臺南市立北門國民中學")</f>
        <v>臺南市立北門國民中學</v>
      </c>
      <c r="F2892" s="14" t="str">
        <f>IFERROR(__xludf.DUMMYFUNCTION("""COMPUTED_VALUE"""),"九年級")</f>
        <v>九年級</v>
      </c>
      <c r="G2892" s="14" t="str">
        <f>IFERROR(__xludf.DUMMYFUNCTION("""COMPUTED_VALUE"""),"獎狀")</f>
        <v>獎狀</v>
      </c>
      <c r="H2892" s="8"/>
    </row>
    <row r="2893">
      <c r="A2893" s="18"/>
      <c r="B2893" s="14">
        <f>IFERROR(__xludf.DUMMYFUNCTION("""COMPUTED_VALUE"""),764532.0)</f>
        <v>764532</v>
      </c>
      <c r="C2893" s="14" t="str">
        <f>IFERROR(__xludf.DUMMYFUNCTION("""COMPUTED_VALUE"""),"林明旋")</f>
        <v>林明旋</v>
      </c>
      <c r="D2893" s="16" t="str">
        <f>IFERROR(__xludf.DUMMYFUNCTION("""COMPUTED_VALUE"""),"gif*****5177@gm.syps.tn.edu.tw")</f>
        <v>gif*****5177@gm.syps.tn.edu.tw</v>
      </c>
      <c r="E2893" s="17" t="str">
        <f>IFERROR(__xludf.DUMMYFUNCTION("""COMPUTED_VALUE"""),"興國學校財團法人臺南市興國高級中學附設國中部")</f>
        <v>興國學校財團法人臺南市興國高級中學附設國中部</v>
      </c>
      <c r="F2893" s="14" t="str">
        <f>IFERROR(__xludf.DUMMYFUNCTION("""COMPUTED_VALUE"""),"七年級")</f>
        <v>七年級</v>
      </c>
      <c r="G2893" s="14" t="str">
        <f>IFERROR(__xludf.DUMMYFUNCTION("""COMPUTED_VALUE"""),"●小禮物")</f>
        <v>●小禮物</v>
      </c>
      <c r="H2893" s="8"/>
    </row>
    <row r="2894">
      <c r="A2894" s="18"/>
      <c r="B2894" s="14">
        <f>IFERROR(__xludf.DUMMYFUNCTION("""COMPUTED_VALUE"""),845141.0)</f>
        <v>845141</v>
      </c>
      <c r="C2894" s="14" t="str">
        <f>IFERROR(__xludf.DUMMYFUNCTION("""COMPUTED_VALUE"""),"曾憶芯")</f>
        <v>曾憶芯</v>
      </c>
      <c r="D2894" s="16" t="str">
        <f>IFERROR(__xludf.DUMMYFUNCTION("""COMPUTED_VALUE"""),"110*****hkhs.tn.edu.tw")</f>
        <v>110*****hkhs.tn.edu.tw</v>
      </c>
      <c r="E2894" s="17" t="str">
        <f>IFERROR(__xludf.DUMMYFUNCTION("""COMPUTED_VALUE"""),"興國學校財團法人臺南市興國高級中學附設國中部")</f>
        <v>興國學校財團法人臺南市興國高級中學附設國中部</v>
      </c>
      <c r="F2894" s="14" t="str">
        <f>IFERROR(__xludf.DUMMYFUNCTION("""COMPUTED_VALUE"""),"八年級")</f>
        <v>八年級</v>
      </c>
      <c r="G2894" s="14" t="str">
        <f>IFERROR(__xludf.DUMMYFUNCTION("""COMPUTED_VALUE"""),"●小禮物")</f>
        <v>●小禮物</v>
      </c>
      <c r="H2894" s="8"/>
    </row>
    <row r="2895">
      <c r="A2895" s="18"/>
      <c r="B2895" s="14">
        <f>IFERROR(__xludf.DUMMYFUNCTION("""COMPUTED_VALUE"""),845135.0)</f>
        <v>845135</v>
      </c>
      <c r="C2895" s="14" t="str">
        <f>IFERROR(__xludf.DUMMYFUNCTION("""COMPUTED_VALUE"""),"李苓溱")</f>
        <v>李苓溱</v>
      </c>
      <c r="D2895" s="16" t="str">
        <f>IFERROR(__xludf.DUMMYFUNCTION("""COMPUTED_VALUE"""),"110*****hkhs.tn.edu.tw")</f>
        <v>110*****hkhs.tn.edu.tw</v>
      </c>
      <c r="E2895" s="17" t="str">
        <f>IFERROR(__xludf.DUMMYFUNCTION("""COMPUTED_VALUE"""),"興國學校財團法人臺南市興國高級中學附設國中部")</f>
        <v>興國學校財團法人臺南市興國高級中學附設國中部</v>
      </c>
      <c r="F2895" s="14" t="str">
        <f>IFERROR(__xludf.DUMMYFUNCTION("""COMPUTED_VALUE"""),"八年級")</f>
        <v>八年級</v>
      </c>
      <c r="G2895" s="14" t="str">
        <f>IFERROR(__xludf.DUMMYFUNCTION("""COMPUTED_VALUE"""),"獎狀")</f>
        <v>獎狀</v>
      </c>
      <c r="H2895" s="8"/>
    </row>
    <row r="2896">
      <c r="A2896" s="18"/>
      <c r="B2896" s="14">
        <f>IFERROR(__xludf.DUMMYFUNCTION("""COMPUTED_VALUE"""),845153.0)</f>
        <v>845153</v>
      </c>
      <c r="C2896" s="14" t="str">
        <f>IFERROR(__xludf.DUMMYFUNCTION("""COMPUTED_VALUE"""),"侯仲恩")</f>
        <v>侯仲恩</v>
      </c>
      <c r="D2896" s="16" t="str">
        <f>IFERROR(__xludf.DUMMYFUNCTION("""COMPUTED_VALUE"""),"110*****hkhs.tn.edu.tw")</f>
        <v>110*****hkhs.tn.edu.tw</v>
      </c>
      <c r="E2896" s="17" t="str">
        <f>IFERROR(__xludf.DUMMYFUNCTION("""COMPUTED_VALUE"""),"興國學校財團法人臺南市興國高級中學附設國中部")</f>
        <v>興國學校財團法人臺南市興國高級中學附設國中部</v>
      </c>
      <c r="F2896" s="14" t="str">
        <f>IFERROR(__xludf.DUMMYFUNCTION("""COMPUTED_VALUE"""),"八年級")</f>
        <v>八年級</v>
      </c>
      <c r="G2896" s="14" t="str">
        <f>IFERROR(__xludf.DUMMYFUNCTION("""COMPUTED_VALUE"""),"獎狀")</f>
        <v>獎狀</v>
      </c>
      <c r="H2896" s="8"/>
    </row>
    <row r="2897">
      <c r="A2897" s="18"/>
      <c r="B2897" s="14">
        <f>IFERROR(__xludf.DUMMYFUNCTION("""COMPUTED_VALUE"""),845138.0)</f>
        <v>845138</v>
      </c>
      <c r="C2897" s="14" t="str">
        <f>IFERROR(__xludf.DUMMYFUNCTION("""COMPUTED_VALUE"""),"柯宥溱")</f>
        <v>柯宥溱</v>
      </c>
      <c r="D2897" s="16" t="str">
        <f>IFERROR(__xludf.DUMMYFUNCTION("""COMPUTED_VALUE"""),"110*****hkhs.tn.edu.tw")</f>
        <v>110*****hkhs.tn.edu.tw</v>
      </c>
      <c r="E2897" s="17" t="str">
        <f>IFERROR(__xludf.DUMMYFUNCTION("""COMPUTED_VALUE"""),"興國學校財團法人臺南市興國高級中學附設國中部")</f>
        <v>興國學校財團法人臺南市興國高級中學附設國中部</v>
      </c>
      <c r="F2897" s="14" t="str">
        <f>IFERROR(__xludf.DUMMYFUNCTION("""COMPUTED_VALUE"""),"八年級")</f>
        <v>八年級</v>
      </c>
      <c r="G2897" s="14" t="str">
        <f>IFERROR(__xludf.DUMMYFUNCTION("""COMPUTED_VALUE"""),"獎狀")</f>
        <v>獎狀</v>
      </c>
      <c r="H2897" s="8"/>
    </row>
    <row r="2898">
      <c r="A2898" s="18"/>
      <c r="B2898" s="14">
        <f>IFERROR(__xludf.DUMMYFUNCTION("""COMPUTED_VALUE"""),845162.0)</f>
        <v>845162</v>
      </c>
      <c r="C2898" s="14" t="str">
        <f>IFERROR(__xludf.DUMMYFUNCTION("""COMPUTED_VALUE"""),"葉一頡")</f>
        <v>葉一頡</v>
      </c>
      <c r="D2898" s="16" t="str">
        <f>IFERROR(__xludf.DUMMYFUNCTION("""COMPUTED_VALUE"""),"110*****hkhs.tn.edu.tw")</f>
        <v>110*****hkhs.tn.edu.tw</v>
      </c>
      <c r="E2898" s="17" t="str">
        <f>IFERROR(__xludf.DUMMYFUNCTION("""COMPUTED_VALUE"""),"興國學校財團法人臺南市興國高級中學附設國中部")</f>
        <v>興國學校財團法人臺南市興國高級中學附設國中部</v>
      </c>
      <c r="F2898" s="14" t="str">
        <f>IFERROR(__xludf.DUMMYFUNCTION("""COMPUTED_VALUE"""),"八年級")</f>
        <v>八年級</v>
      </c>
      <c r="G2898" s="14" t="str">
        <f>IFERROR(__xludf.DUMMYFUNCTION("""COMPUTED_VALUE"""),"獎狀")</f>
        <v>獎狀</v>
      </c>
      <c r="H2898" s="8"/>
    </row>
    <row r="2899">
      <c r="A2899" s="18"/>
      <c r="B2899" s="14">
        <f>IFERROR(__xludf.DUMMYFUNCTION("""COMPUTED_VALUE"""),845145.0)</f>
        <v>845145</v>
      </c>
      <c r="C2899" s="14" t="str">
        <f>IFERROR(__xludf.DUMMYFUNCTION("""COMPUTED_VALUE"""),"蕭詩婕")</f>
        <v>蕭詩婕</v>
      </c>
      <c r="D2899" s="16" t="str">
        <f>IFERROR(__xludf.DUMMYFUNCTION("""COMPUTED_VALUE"""),"110*****hkhs.tn.edu.tw")</f>
        <v>110*****hkhs.tn.edu.tw</v>
      </c>
      <c r="E2899" s="17" t="str">
        <f>IFERROR(__xludf.DUMMYFUNCTION("""COMPUTED_VALUE"""),"興國學校財團法人臺南市興國高級中學附設國中部")</f>
        <v>興國學校財團法人臺南市興國高級中學附設國中部</v>
      </c>
      <c r="F2899" s="14" t="str">
        <f>IFERROR(__xludf.DUMMYFUNCTION("""COMPUTED_VALUE"""),"八年級")</f>
        <v>八年級</v>
      </c>
      <c r="G2899" s="14" t="str">
        <f>IFERROR(__xludf.DUMMYFUNCTION("""COMPUTED_VALUE"""),"獎狀")</f>
        <v>獎狀</v>
      </c>
      <c r="H2899" s="8"/>
    </row>
    <row r="2900">
      <c r="A2900" s="18"/>
      <c r="B2900" s="14">
        <f>IFERROR(__xludf.DUMMYFUNCTION("""COMPUTED_VALUE"""),590509.0)</f>
        <v>590509</v>
      </c>
      <c r="C2900" s="14" t="str">
        <f>IFERROR(__xludf.DUMMYFUNCTION("""COMPUTED_VALUE"""),"楊意禛")</f>
        <v>楊意禛</v>
      </c>
      <c r="D2900" s="16" t="str">
        <f>IFERROR(__xludf.DUMMYFUNCTION("""COMPUTED_VALUE"""),"rom*****gkid@gmail.com")</f>
        <v>rom*****gkid@gmail.com</v>
      </c>
      <c r="E2900" s="17" t="str">
        <f>IFERROR(__xludf.DUMMYFUNCTION("""COMPUTED_VALUE"""),"興國學校財團法人臺南市興國高級中學附設國中部")</f>
        <v>興國學校財團法人臺南市興國高級中學附設國中部</v>
      </c>
      <c r="F2900" s="14" t="str">
        <f>IFERROR(__xludf.DUMMYFUNCTION("""COMPUTED_VALUE"""),"九年級")</f>
        <v>九年級</v>
      </c>
      <c r="G2900" s="14" t="str">
        <f>IFERROR(__xludf.DUMMYFUNCTION("""COMPUTED_VALUE"""),"●小禮物")</f>
        <v>●小禮物</v>
      </c>
      <c r="H2900" s="8"/>
    </row>
    <row r="2901">
      <c r="A2901" s="18"/>
      <c r="B2901" s="14">
        <f>IFERROR(__xludf.DUMMYFUNCTION("""COMPUTED_VALUE"""),466195.0)</f>
        <v>466195</v>
      </c>
      <c r="C2901" s="14" t="str">
        <f>IFERROR(__xludf.DUMMYFUNCTION("""COMPUTED_VALUE"""),"陳玉真")</f>
        <v>陳玉真</v>
      </c>
      <c r="D2901" s="16" t="str">
        <f>IFERROR(__xludf.DUMMYFUNCTION("""COMPUTED_VALUE"""),"st1*****8.tn@mail.edu.tw")</f>
        <v>st1*****8.tn@mail.edu.tw</v>
      </c>
      <c r="E2901" s="17" t="str">
        <f>IFERROR(__xludf.DUMMYFUNCTION("""COMPUTED_VALUE"""),"臺南市立太子國民中學")</f>
        <v>臺南市立太子國民中學</v>
      </c>
      <c r="F2901" s="14" t="str">
        <f>IFERROR(__xludf.DUMMYFUNCTION("""COMPUTED_VALUE"""),"九年級")</f>
        <v>九年級</v>
      </c>
      <c r="G2901" s="14" t="str">
        <f>IFERROR(__xludf.DUMMYFUNCTION("""COMPUTED_VALUE"""),"獎狀")</f>
        <v>獎狀</v>
      </c>
      <c r="H2901" s="8"/>
    </row>
    <row r="2902">
      <c r="A2902" s="18"/>
      <c r="B2902" s="14">
        <f>IFERROR(__xludf.DUMMYFUNCTION("""COMPUTED_VALUE"""),1082889.0)</f>
        <v>1082889</v>
      </c>
      <c r="C2902" s="14" t="str">
        <f>IFERROR(__xludf.DUMMYFUNCTION("""COMPUTED_VALUE"""),"洪睿慶")</f>
        <v>洪睿慶</v>
      </c>
      <c r="D2902" s="16" t="str">
        <f>IFERROR(__xludf.DUMMYFUNCTION("""COMPUTED_VALUE"""),"st1*****0.tn@mail.edu.tw")</f>
        <v>st1*****0.tn@mail.edu.tw</v>
      </c>
      <c r="E2902" s="17" t="str">
        <f>IFERROR(__xludf.DUMMYFUNCTION("""COMPUTED_VALUE"""),"臺南市立新東國民中學")</f>
        <v>臺南市立新東國民中學</v>
      </c>
      <c r="F2902" s="14" t="str">
        <f>IFERROR(__xludf.DUMMYFUNCTION("""COMPUTED_VALUE"""),"七年級")</f>
        <v>七年級</v>
      </c>
      <c r="G2902" s="14" t="str">
        <f>IFERROR(__xludf.DUMMYFUNCTION("""COMPUTED_VALUE"""),"●小禮物")</f>
        <v>●小禮物</v>
      </c>
      <c r="H2902" s="8"/>
    </row>
    <row r="2903">
      <c r="A2903" s="18"/>
      <c r="B2903" s="14">
        <f>IFERROR(__xludf.DUMMYFUNCTION("""COMPUTED_VALUE"""),741944.0)</f>
        <v>741944</v>
      </c>
      <c r="C2903" s="14" t="str">
        <f>IFERROR(__xludf.DUMMYFUNCTION("""COMPUTED_VALUE"""),"潘宥希")</f>
        <v>潘宥希</v>
      </c>
      <c r="D2903" s="16" t="str">
        <f>IFERROR(__xludf.DUMMYFUNCTION("""COMPUTED_VALUE"""),"st6*****7@mail.edu.tw")</f>
        <v>st6*****7@mail.edu.tw</v>
      </c>
      <c r="E2903" s="17" t="str">
        <f>IFERROR(__xludf.DUMMYFUNCTION("""COMPUTED_VALUE"""),"臺南市立新東國民中學")</f>
        <v>臺南市立新東國民中學</v>
      </c>
      <c r="F2903" s="14" t="str">
        <f>IFERROR(__xludf.DUMMYFUNCTION("""COMPUTED_VALUE"""),"七年級")</f>
        <v>七年級</v>
      </c>
      <c r="G2903" s="14" t="str">
        <f>IFERROR(__xludf.DUMMYFUNCTION("""COMPUTED_VALUE"""),"獎狀")</f>
        <v>獎狀</v>
      </c>
      <c r="H2903" s="8"/>
    </row>
    <row r="2904">
      <c r="A2904" s="18"/>
      <c r="B2904" s="14">
        <f>IFERROR(__xludf.DUMMYFUNCTION("""COMPUTED_VALUE"""),935963.0)</f>
        <v>935963</v>
      </c>
      <c r="C2904" s="14" t="str">
        <f>IFERROR(__xludf.DUMMYFUNCTION("""COMPUTED_VALUE"""),"林佑嘉")</f>
        <v>林佑嘉</v>
      </c>
      <c r="D2904" s="16" t="str">
        <f>IFERROR(__xludf.DUMMYFUNCTION("""COMPUTED_VALUE"""),"lin*****97@gmail.com")</f>
        <v>lin*****97@gmail.com</v>
      </c>
      <c r="E2904" s="17" t="str">
        <f>IFERROR(__xludf.DUMMYFUNCTION("""COMPUTED_VALUE"""),"臺南市立南新國民中學")</f>
        <v>臺南市立南新國民中學</v>
      </c>
      <c r="F2904" s="14" t="str">
        <f>IFERROR(__xludf.DUMMYFUNCTION("""COMPUTED_VALUE"""),"八年級")</f>
        <v>八年級</v>
      </c>
      <c r="G2904" s="14" t="str">
        <f>IFERROR(__xludf.DUMMYFUNCTION("""COMPUTED_VALUE"""),"獎狀")</f>
        <v>獎狀</v>
      </c>
      <c r="H2904" s="8"/>
    </row>
    <row r="2905">
      <c r="A2905" s="18"/>
      <c r="B2905" s="14">
        <f>IFERROR(__xludf.DUMMYFUNCTION("""COMPUTED_VALUE"""),514419.0)</f>
        <v>514419</v>
      </c>
      <c r="C2905" s="14" t="str">
        <f>IFERROR(__xludf.DUMMYFUNCTION("""COMPUTED_VALUE"""),"方玉美")</f>
        <v>方玉美</v>
      </c>
      <c r="D2905" s="16" t="str">
        <f>IFERROR(__xludf.DUMMYFUNCTION("""COMPUTED_VALUE"""),"st0*****0@mail.edu.tw")</f>
        <v>st0*****0@mail.edu.tw</v>
      </c>
      <c r="E2905" s="17" t="str">
        <f>IFERROR(__xludf.DUMMYFUNCTION("""COMPUTED_VALUE"""),"臺南市立白河國民中學")</f>
        <v>臺南市立白河國民中學</v>
      </c>
      <c r="F2905" s="14" t="str">
        <f>IFERROR(__xludf.DUMMYFUNCTION("""COMPUTED_VALUE"""),"九年級")</f>
        <v>九年級</v>
      </c>
      <c r="G2905" s="14" t="str">
        <f>IFERROR(__xludf.DUMMYFUNCTION("""COMPUTED_VALUE"""),"●小禮物")</f>
        <v>●小禮物</v>
      </c>
      <c r="H2905" s="8"/>
    </row>
    <row r="2906">
      <c r="A2906" s="18"/>
      <c r="B2906" s="14">
        <f>IFERROR(__xludf.DUMMYFUNCTION("""COMPUTED_VALUE"""),284662.0)</f>
        <v>284662</v>
      </c>
      <c r="C2906" s="14" t="str">
        <f>IFERROR(__xludf.DUMMYFUNCTION("""COMPUTED_VALUE"""),"蒲宣彣")</f>
        <v>蒲宣彣</v>
      </c>
      <c r="D2906" s="16" t="str">
        <f>IFERROR(__xludf.DUMMYFUNCTION("""COMPUTED_VALUE"""),"eva*****y@gmail.com")</f>
        <v>eva*****y@gmail.com</v>
      </c>
      <c r="E2906" s="17" t="str">
        <f>IFERROR(__xludf.DUMMYFUNCTION("""COMPUTED_VALUE"""),"國立南科國際實驗高級中學附設國中部")</f>
        <v>國立南科國際實驗高級中學附設國中部</v>
      </c>
      <c r="F2906" s="14" t="str">
        <f>IFERROR(__xludf.DUMMYFUNCTION("""COMPUTED_VALUE"""),"七年級")</f>
        <v>七年級</v>
      </c>
      <c r="G2906" s="14" t="str">
        <f>IFERROR(__xludf.DUMMYFUNCTION("""COMPUTED_VALUE"""),"獎狀")</f>
        <v>獎狀</v>
      </c>
      <c r="H2906" s="8"/>
    </row>
    <row r="2907">
      <c r="A2907" s="18"/>
      <c r="B2907" s="14">
        <f>IFERROR(__xludf.DUMMYFUNCTION("""COMPUTED_VALUE"""),541773.0)</f>
        <v>541773</v>
      </c>
      <c r="C2907" s="14" t="str">
        <f>IFERROR(__xludf.DUMMYFUNCTION("""COMPUTED_VALUE"""),"黃碧真")</f>
        <v>黃碧真</v>
      </c>
      <c r="D2907" s="16" t="str">
        <f>IFERROR(__xludf.DUMMYFUNCTION("""COMPUTED_VALUE"""),"js1*****7@nnkieh.tn.edu.tw")</f>
        <v>js1*****7@nnkieh.tn.edu.tw</v>
      </c>
      <c r="E2907" s="17" t="str">
        <f>IFERROR(__xludf.DUMMYFUNCTION("""COMPUTED_VALUE"""),"國立南科國際實驗高級中學附設國中部")</f>
        <v>國立南科國際實驗高級中學附設國中部</v>
      </c>
      <c r="F2907" s="14" t="str">
        <f>IFERROR(__xludf.DUMMYFUNCTION("""COMPUTED_VALUE"""),"九年級")</f>
        <v>九年級</v>
      </c>
      <c r="G2907" s="14" t="str">
        <f>IFERROR(__xludf.DUMMYFUNCTION("""COMPUTED_VALUE"""),"獎狀")</f>
        <v>獎狀</v>
      </c>
      <c r="H2907" s="8"/>
    </row>
    <row r="2908">
      <c r="A2908" s="18"/>
      <c r="B2908" s="14">
        <f>IFERROR(__xludf.DUMMYFUNCTION("""COMPUTED_VALUE"""),1010343.0)</f>
        <v>1010343</v>
      </c>
      <c r="C2908" s="14" t="str">
        <f>IFERROR(__xludf.DUMMYFUNCTION("""COMPUTED_VALUE"""),"曾子淵")</f>
        <v>曾子淵</v>
      </c>
      <c r="D2908" s="16" t="str">
        <f>IFERROR(__xludf.DUMMYFUNCTION("""COMPUTED_VALUE"""),"and*****g919@gmail.com")</f>
        <v>and*****g919@gmail.com</v>
      </c>
      <c r="E2908" s="17" t="str">
        <f>IFERROR(__xludf.DUMMYFUNCTION("""COMPUTED_VALUE"""),"臺南市立安定國民中學")</f>
        <v>臺南市立安定國民中學</v>
      </c>
      <c r="F2908" s="14" t="str">
        <f>IFERROR(__xludf.DUMMYFUNCTION("""COMPUTED_VALUE"""),"八年級")</f>
        <v>八年級</v>
      </c>
      <c r="G2908" s="14" t="str">
        <f>IFERROR(__xludf.DUMMYFUNCTION("""COMPUTED_VALUE"""),"獎狀")</f>
        <v>獎狀</v>
      </c>
      <c r="H2908" s="8"/>
    </row>
    <row r="2909">
      <c r="A2909" s="18"/>
      <c r="B2909" s="14">
        <f>IFERROR(__xludf.DUMMYFUNCTION("""COMPUTED_VALUE"""),240613.0)</f>
        <v>240613</v>
      </c>
      <c r="C2909" s="14" t="str">
        <f>IFERROR(__xludf.DUMMYFUNCTION("""COMPUTED_VALUE"""),"李心延")</f>
        <v>李心延</v>
      </c>
      <c r="D2909" s="16" t="str">
        <f>IFERROR(__xludf.DUMMYFUNCTION("""COMPUTED_VALUE"""),"s03*****@mail.edu.tw")</f>
        <v>s03*****@mail.edu.tw</v>
      </c>
      <c r="E2909" s="17" t="str">
        <f>IFERROR(__xludf.DUMMYFUNCTION("""COMPUTED_VALUE"""),"高雄市立前金國民中學")</f>
        <v>高雄市立前金國民中學</v>
      </c>
      <c r="F2909" s="14" t="str">
        <f>IFERROR(__xludf.DUMMYFUNCTION("""COMPUTED_VALUE"""),"九年級")</f>
        <v>九年級</v>
      </c>
      <c r="G2909" s="14" t="str">
        <f>IFERROR(__xludf.DUMMYFUNCTION("""COMPUTED_VALUE"""),"●小禮物")</f>
        <v>●小禮物</v>
      </c>
      <c r="H2909" s="8"/>
    </row>
    <row r="2910">
      <c r="A2910" s="18"/>
      <c r="B2910" s="14">
        <f>IFERROR(__xludf.DUMMYFUNCTION("""COMPUTED_VALUE"""),284271.0)</f>
        <v>284271</v>
      </c>
      <c r="C2910" s="14" t="str">
        <f>IFERROR(__xludf.DUMMYFUNCTION("""COMPUTED_VALUE"""),"葉宸嘉")</f>
        <v>葉宸嘉</v>
      </c>
      <c r="D2910" s="16" t="str">
        <f>IFERROR(__xludf.DUMMYFUNCTION("""COMPUTED_VALUE"""),"s05*****.kh@mail.edu.tw")</f>
        <v>s05*****.kh@mail.edu.tw</v>
      </c>
      <c r="E2910" s="17" t="str">
        <f>IFERROR(__xludf.DUMMYFUNCTION("""COMPUTED_VALUE"""),"高雄市立五福國民中學")</f>
        <v>高雄市立五福國民中學</v>
      </c>
      <c r="F2910" s="14" t="str">
        <f>IFERROR(__xludf.DUMMYFUNCTION("""COMPUTED_VALUE"""),"七年級")</f>
        <v>七年級</v>
      </c>
      <c r="G2910" s="14" t="str">
        <f>IFERROR(__xludf.DUMMYFUNCTION("""COMPUTED_VALUE"""),"●小禮物")</f>
        <v>●小禮物</v>
      </c>
      <c r="H2910" s="8"/>
    </row>
    <row r="2911">
      <c r="A2911" s="18"/>
      <c r="B2911" s="14">
        <f>IFERROR(__xludf.DUMMYFUNCTION("""COMPUTED_VALUE"""),220569.0)</f>
        <v>220569</v>
      </c>
      <c r="C2911" s="14" t="str">
        <f>IFERROR(__xludf.DUMMYFUNCTION("""COMPUTED_VALUE"""),"黃秉豐")</f>
        <v>黃秉豐</v>
      </c>
      <c r="D2911" s="16" t="str">
        <f>IFERROR(__xludf.DUMMYFUNCTION("""COMPUTED_VALUE"""),"s03*****@mail.edu.tw")</f>
        <v>s03*****@mail.edu.tw</v>
      </c>
      <c r="E2911" s="17" t="str">
        <f>IFERROR(__xludf.DUMMYFUNCTION("""COMPUTED_VALUE"""),"天主教道明學校財團法人高雄市道明高級中學附設國中部")</f>
        <v>天主教道明學校財團法人高雄市道明高級中學附設國中部</v>
      </c>
      <c r="F2911" s="14" t="str">
        <f>IFERROR(__xludf.DUMMYFUNCTION("""COMPUTED_VALUE"""),"九年級")</f>
        <v>九年級</v>
      </c>
      <c r="G2911" s="14" t="str">
        <f>IFERROR(__xludf.DUMMYFUNCTION("""COMPUTED_VALUE"""),"●小禮物")</f>
        <v>●小禮物</v>
      </c>
      <c r="H2911" s="8"/>
    </row>
    <row r="2912">
      <c r="A2912" s="18"/>
      <c r="B2912" s="14">
        <f>IFERROR(__xludf.DUMMYFUNCTION("""COMPUTED_VALUE"""),1186438.0)</f>
        <v>1186438</v>
      </c>
      <c r="C2912" s="14" t="str">
        <f>IFERROR(__xludf.DUMMYFUNCTION("""COMPUTED_VALUE"""),"蔡育哲")</f>
        <v>蔡育哲</v>
      </c>
      <c r="D2912" s="16" t="str">
        <f>IFERROR(__xludf.DUMMYFUNCTION("""COMPUTED_VALUE"""),"jak*****3@mail.edu.tw")</f>
        <v>jak*****3@mail.edu.tw</v>
      </c>
      <c r="E2912" s="17" t="str">
        <f>IFERROR(__xludf.DUMMYFUNCTION("""COMPUTED_VALUE"""),"國立高雄師範大學附屬高級中學附設國中部")</f>
        <v>國立高雄師範大學附屬高級中學附設國中部</v>
      </c>
      <c r="F2912" s="14" t="str">
        <f>IFERROR(__xludf.DUMMYFUNCTION("""COMPUTED_VALUE"""),"七年級")</f>
        <v>七年級</v>
      </c>
      <c r="G2912" s="14" t="str">
        <f>IFERROR(__xludf.DUMMYFUNCTION("""COMPUTED_VALUE"""),"●小禮物")</f>
        <v>●小禮物</v>
      </c>
      <c r="H2912" s="8"/>
    </row>
    <row r="2913">
      <c r="A2913" s="18"/>
      <c r="B2913" s="14">
        <f>IFERROR(__xludf.DUMMYFUNCTION("""COMPUTED_VALUE"""),808139.0)</f>
        <v>808139</v>
      </c>
      <c r="C2913" s="14" t="str">
        <f>IFERROR(__xludf.DUMMYFUNCTION("""COMPUTED_VALUE"""),"葉承宇")</f>
        <v>葉承宇</v>
      </c>
      <c r="D2913" s="16" t="str">
        <f>IFERROR(__xludf.DUMMYFUNCTION("""COMPUTED_VALUE"""),"101*****stu.nknush.kh.edu.tw")</f>
        <v>101*****stu.nknush.kh.edu.tw</v>
      </c>
      <c r="E2913" s="17" t="str">
        <f>IFERROR(__xludf.DUMMYFUNCTION("""COMPUTED_VALUE"""),"國立高雄師範大學附屬高級中學附設國中部")</f>
        <v>國立高雄師範大學附屬高級中學附設國中部</v>
      </c>
      <c r="F2913" s="14" t="str">
        <f>IFERROR(__xludf.DUMMYFUNCTION("""COMPUTED_VALUE"""),"八年級")</f>
        <v>八年級</v>
      </c>
      <c r="G2913" s="14" t="str">
        <f>IFERROR(__xludf.DUMMYFUNCTION("""COMPUTED_VALUE"""),"●小禮物")</f>
        <v>●小禮物</v>
      </c>
      <c r="H2913" s="8"/>
    </row>
    <row r="2914">
      <c r="A2914" s="18"/>
      <c r="B2914" s="14">
        <f>IFERROR(__xludf.DUMMYFUNCTION("""COMPUTED_VALUE"""),808900.0)</f>
        <v>808900</v>
      </c>
      <c r="C2914" s="14" t="str">
        <f>IFERROR(__xludf.DUMMYFUNCTION("""COMPUTED_VALUE"""),"鍾易謀")</f>
        <v>鍾易謀</v>
      </c>
      <c r="D2914" s="16" t="str">
        <f>IFERROR(__xludf.DUMMYFUNCTION("""COMPUTED_VALUE"""),"101*****stu.nknush.kh.edu.tw")</f>
        <v>101*****stu.nknush.kh.edu.tw</v>
      </c>
      <c r="E2914" s="17" t="str">
        <f>IFERROR(__xludf.DUMMYFUNCTION("""COMPUTED_VALUE"""),"國立高雄師範大學附屬高級中學附設國中部")</f>
        <v>國立高雄師範大學附屬高級中學附設國中部</v>
      </c>
      <c r="F2914" s="14" t="str">
        <f>IFERROR(__xludf.DUMMYFUNCTION("""COMPUTED_VALUE"""),"八年級")</f>
        <v>八年級</v>
      </c>
      <c r="G2914" s="14" t="str">
        <f>IFERROR(__xludf.DUMMYFUNCTION("""COMPUTED_VALUE"""),"●小禮物")</f>
        <v>●小禮物</v>
      </c>
      <c r="H2914" s="8"/>
    </row>
    <row r="2915">
      <c r="A2915" s="18"/>
      <c r="B2915" s="14">
        <f>IFERROR(__xludf.DUMMYFUNCTION("""COMPUTED_VALUE"""),808936.0)</f>
        <v>808936</v>
      </c>
      <c r="C2915" s="14" t="str">
        <f>IFERROR(__xludf.DUMMYFUNCTION("""COMPUTED_VALUE"""),"林智怡")</f>
        <v>林智怡</v>
      </c>
      <c r="D2915" s="16" t="str">
        <f>IFERROR(__xludf.DUMMYFUNCTION("""COMPUTED_VALUE"""),"102*****stu.nknush.kh.edu.tw")</f>
        <v>102*****stu.nknush.kh.edu.tw</v>
      </c>
      <c r="E2915" s="17" t="str">
        <f>IFERROR(__xludf.DUMMYFUNCTION("""COMPUTED_VALUE"""),"國立高雄師範大學附屬高級中學附設國中部")</f>
        <v>國立高雄師範大學附屬高級中學附設國中部</v>
      </c>
      <c r="F2915" s="14" t="str">
        <f>IFERROR(__xludf.DUMMYFUNCTION("""COMPUTED_VALUE"""),"八年級")</f>
        <v>八年級</v>
      </c>
      <c r="G2915" s="14" t="str">
        <f>IFERROR(__xludf.DUMMYFUNCTION("""COMPUTED_VALUE"""),"獎狀")</f>
        <v>獎狀</v>
      </c>
      <c r="H2915" s="8"/>
    </row>
    <row r="2916">
      <c r="A2916" s="18"/>
      <c r="B2916" s="14">
        <f>IFERROR(__xludf.DUMMYFUNCTION("""COMPUTED_VALUE"""),808938.0)</f>
        <v>808938</v>
      </c>
      <c r="C2916" s="14" t="str">
        <f>IFERROR(__xludf.DUMMYFUNCTION("""COMPUTED_VALUE"""),"陳昱愷")</f>
        <v>陳昱愷</v>
      </c>
      <c r="D2916" s="16" t="str">
        <f>IFERROR(__xludf.DUMMYFUNCTION("""COMPUTED_VALUE"""),"101*****stu.nknush.kh.edu.tw")</f>
        <v>101*****stu.nknush.kh.edu.tw</v>
      </c>
      <c r="E2916" s="17" t="str">
        <f>IFERROR(__xludf.DUMMYFUNCTION("""COMPUTED_VALUE"""),"國立高雄師範大學附屬高級中學附設國中部")</f>
        <v>國立高雄師範大學附屬高級中學附設國中部</v>
      </c>
      <c r="F2916" s="14" t="str">
        <f>IFERROR(__xludf.DUMMYFUNCTION("""COMPUTED_VALUE"""),"八年級")</f>
        <v>八年級</v>
      </c>
      <c r="G2916" s="14" t="str">
        <f>IFERROR(__xludf.DUMMYFUNCTION("""COMPUTED_VALUE"""),"獎狀")</f>
        <v>獎狀</v>
      </c>
      <c r="H2916" s="8"/>
    </row>
    <row r="2917">
      <c r="A2917" s="18"/>
      <c r="B2917" s="14">
        <f>IFERROR(__xludf.DUMMYFUNCTION("""COMPUTED_VALUE"""),808898.0)</f>
        <v>808898</v>
      </c>
      <c r="C2917" s="14" t="str">
        <f>IFERROR(__xludf.DUMMYFUNCTION("""COMPUTED_VALUE"""),"黃宇廷")</f>
        <v>黃宇廷</v>
      </c>
      <c r="D2917" s="16" t="str">
        <f>IFERROR(__xludf.DUMMYFUNCTION("""COMPUTED_VALUE"""),"101*****stu.nknush.kh.edu.tw")</f>
        <v>101*****stu.nknush.kh.edu.tw</v>
      </c>
      <c r="E2917" s="17" t="str">
        <f>IFERROR(__xludf.DUMMYFUNCTION("""COMPUTED_VALUE"""),"國立高雄師範大學附屬高級中學附設國中部")</f>
        <v>國立高雄師範大學附屬高級中學附設國中部</v>
      </c>
      <c r="F2917" s="14" t="str">
        <f>IFERROR(__xludf.DUMMYFUNCTION("""COMPUTED_VALUE"""),"八年級")</f>
        <v>八年級</v>
      </c>
      <c r="G2917" s="14" t="str">
        <f>IFERROR(__xludf.DUMMYFUNCTION("""COMPUTED_VALUE"""),"獎狀")</f>
        <v>獎狀</v>
      </c>
      <c r="H2917" s="8"/>
    </row>
    <row r="2918">
      <c r="A2918" s="18"/>
      <c r="B2918" s="14">
        <f>IFERROR(__xludf.DUMMYFUNCTION("""COMPUTED_VALUE"""),806975.0)</f>
        <v>806975</v>
      </c>
      <c r="C2918" s="14" t="str">
        <f>IFERROR(__xludf.DUMMYFUNCTION("""COMPUTED_VALUE"""),"鄭亦宸")</f>
        <v>鄭亦宸</v>
      </c>
      <c r="D2918" s="16" t="str">
        <f>IFERROR(__xludf.DUMMYFUNCTION("""COMPUTED_VALUE"""),"102*****stu.nknush.kh.edu.tw")</f>
        <v>102*****stu.nknush.kh.edu.tw</v>
      </c>
      <c r="E2918" s="17" t="str">
        <f>IFERROR(__xludf.DUMMYFUNCTION("""COMPUTED_VALUE"""),"國立高雄師範大學附屬高級中學附設國中部")</f>
        <v>國立高雄師範大學附屬高級中學附設國中部</v>
      </c>
      <c r="F2918" s="14" t="str">
        <f>IFERROR(__xludf.DUMMYFUNCTION("""COMPUTED_VALUE"""),"八年級")</f>
        <v>八年級</v>
      </c>
      <c r="G2918" s="14" t="str">
        <f>IFERROR(__xludf.DUMMYFUNCTION("""COMPUTED_VALUE"""),"●小禮物")</f>
        <v>●小禮物</v>
      </c>
      <c r="H2918" s="8"/>
    </row>
    <row r="2919">
      <c r="A2919" s="18"/>
      <c r="B2919" s="14">
        <f>IFERROR(__xludf.DUMMYFUNCTION("""COMPUTED_VALUE"""),805671.0)</f>
        <v>805671</v>
      </c>
      <c r="C2919" s="14" t="str">
        <f>IFERROR(__xludf.DUMMYFUNCTION("""COMPUTED_VALUE"""),"黃韋承")</f>
        <v>黃韋承</v>
      </c>
      <c r="D2919" s="16" t="str">
        <f>IFERROR(__xludf.DUMMYFUNCTION("""COMPUTED_VALUE"""),"101*****stu.nknush.kh.edu.tw")</f>
        <v>101*****stu.nknush.kh.edu.tw</v>
      </c>
      <c r="E2919" s="17" t="str">
        <f>IFERROR(__xludf.DUMMYFUNCTION("""COMPUTED_VALUE"""),"國立高雄師範大學附屬高級中學附設國中部")</f>
        <v>國立高雄師範大學附屬高級中學附設國中部</v>
      </c>
      <c r="F2919" s="14" t="str">
        <f>IFERROR(__xludf.DUMMYFUNCTION("""COMPUTED_VALUE"""),"八年級")</f>
        <v>八年級</v>
      </c>
      <c r="G2919" s="14" t="str">
        <f>IFERROR(__xludf.DUMMYFUNCTION("""COMPUTED_VALUE"""),"●小禮物")</f>
        <v>●小禮物</v>
      </c>
      <c r="H2919" s="8"/>
    </row>
    <row r="2920">
      <c r="A2920" s="18"/>
      <c r="B2920" s="14">
        <f>IFERROR(__xludf.DUMMYFUNCTION("""COMPUTED_VALUE"""),805645.0)</f>
        <v>805645</v>
      </c>
      <c r="C2920" s="14" t="str">
        <f>IFERROR(__xludf.DUMMYFUNCTION("""COMPUTED_VALUE"""),"盧品妍")</f>
        <v>盧品妍</v>
      </c>
      <c r="D2920" s="16" t="str">
        <f>IFERROR(__xludf.DUMMYFUNCTION("""COMPUTED_VALUE"""),"102*****stu.nknush.kh.edu.tw")</f>
        <v>102*****stu.nknush.kh.edu.tw</v>
      </c>
      <c r="E2920" s="17" t="str">
        <f>IFERROR(__xludf.DUMMYFUNCTION("""COMPUTED_VALUE"""),"國立高雄師範大學附屬高級中學附設國中部")</f>
        <v>國立高雄師範大學附屬高級中學附設國中部</v>
      </c>
      <c r="F2920" s="14" t="str">
        <f>IFERROR(__xludf.DUMMYFUNCTION("""COMPUTED_VALUE"""),"八年級")</f>
        <v>八年級</v>
      </c>
      <c r="G2920" s="14" t="str">
        <f>IFERROR(__xludf.DUMMYFUNCTION("""COMPUTED_VALUE"""),"獎狀")</f>
        <v>獎狀</v>
      </c>
      <c r="H2920" s="8"/>
    </row>
    <row r="2921">
      <c r="A2921" s="18"/>
      <c r="B2921" s="14">
        <f>IFERROR(__xludf.DUMMYFUNCTION("""COMPUTED_VALUE"""),1007542.0)</f>
        <v>1007542</v>
      </c>
      <c r="C2921" s="14" t="str">
        <f>IFERROR(__xludf.DUMMYFUNCTION("""COMPUTED_VALUE"""),"簡士植")</f>
        <v>簡士植</v>
      </c>
      <c r="D2921" s="16" t="str">
        <f>IFERROR(__xludf.DUMMYFUNCTION("""COMPUTED_VALUE"""),"s10*****scjh.kh.edu.tw")</f>
        <v>s10*****scjh.kh.edu.tw</v>
      </c>
      <c r="E2921" s="17" t="str">
        <f>IFERROR(__xludf.DUMMYFUNCTION("""COMPUTED_VALUE"""),"高雄市立獅甲國民中學")</f>
        <v>高雄市立獅甲國民中學</v>
      </c>
      <c r="F2921" s="14" t="str">
        <f>IFERROR(__xludf.DUMMYFUNCTION("""COMPUTED_VALUE"""),"八年級")</f>
        <v>八年級</v>
      </c>
      <c r="G2921" s="14" t="str">
        <f>IFERROR(__xludf.DUMMYFUNCTION("""COMPUTED_VALUE"""),"獎狀")</f>
        <v>獎狀</v>
      </c>
      <c r="H2921" s="8"/>
    </row>
    <row r="2922">
      <c r="A2922" s="18"/>
      <c r="B2922" s="14">
        <f>IFERROR(__xludf.DUMMYFUNCTION("""COMPUTED_VALUE"""),1007539.0)</f>
        <v>1007539</v>
      </c>
      <c r="C2922" s="14" t="str">
        <f>IFERROR(__xludf.DUMMYFUNCTION("""COMPUTED_VALUE"""),"王心怡")</f>
        <v>王心怡</v>
      </c>
      <c r="D2922" s="16" t="str">
        <f>IFERROR(__xludf.DUMMYFUNCTION("""COMPUTED_VALUE"""),"s09*****scjh.kh.edu.tw")</f>
        <v>s09*****scjh.kh.edu.tw</v>
      </c>
      <c r="E2922" s="17" t="str">
        <f>IFERROR(__xludf.DUMMYFUNCTION("""COMPUTED_VALUE"""),"高雄市立獅甲國民中學")</f>
        <v>高雄市立獅甲國民中學</v>
      </c>
      <c r="F2922" s="14" t="str">
        <f>IFERROR(__xludf.DUMMYFUNCTION("""COMPUTED_VALUE"""),"九年級")</f>
        <v>九年級</v>
      </c>
      <c r="G2922" s="14" t="str">
        <f>IFERROR(__xludf.DUMMYFUNCTION("""COMPUTED_VALUE"""),"●小禮物")</f>
        <v>●小禮物</v>
      </c>
      <c r="H2922" s="8"/>
    </row>
    <row r="2923">
      <c r="A2923" s="18"/>
      <c r="B2923" s="14">
        <f>IFERROR(__xludf.DUMMYFUNCTION("""COMPUTED_VALUE"""),885043.0)</f>
        <v>885043</v>
      </c>
      <c r="C2923" s="14" t="str">
        <f>IFERROR(__xludf.DUMMYFUNCTION("""COMPUTED_VALUE"""),"伍敏蓁")</f>
        <v>伍敏蓁</v>
      </c>
      <c r="D2923" s="16" t="str">
        <f>IFERROR(__xludf.DUMMYFUNCTION("""COMPUTED_VALUE"""),"s03*****@mail.edu.tw")</f>
        <v>s03*****@mail.edu.tw</v>
      </c>
      <c r="E2923" s="17" t="str">
        <f>IFERROR(__xludf.DUMMYFUNCTION("""COMPUTED_VALUE"""),"高雄市立瑞祥高級中學附設國中部")</f>
        <v>高雄市立瑞祥高級中學附設國中部</v>
      </c>
      <c r="F2923" s="14" t="str">
        <f>IFERROR(__xludf.DUMMYFUNCTION("""COMPUTED_VALUE"""),"九年級")</f>
        <v>九年級</v>
      </c>
      <c r="G2923" s="14" t="str">
        <f>IFERROR(__xludf.DUMMYFUNCTION("""COMPUTED_VALUE"""),"獎狀")</f>
        <v>獎狀</v>
      </c>
      <c r="H2923" s="8"/>
    </row>
    <row r="2924">
      <c r="A2924" s="18"/>
      <c r="B2924" s="14">
        <f>IFERROR(__xludf.DUMMYFUNCTION("""COMPUTED_VALUE"""),944356.0)</f>
        <v>944356</v>
      </c>
      <c r="C2924" s="14" t="str">
        <f>IFERROR(__xludf.DUMMYFUNCTION("""COMPUTED_VALUE"""),"石睿宸")</f>
        <v>石睿宸</v>
      </c>
      <c r="D2924" s="16" t="str">
        <f>IFERROR(__xludf.DUMMYFUNCTION("""COMPUTED_VALUE"""),"sun*****@gmail.com")</f>
        <v>sun*****@gmail.com</v>
      </c>
      <c r="E2924" s="17" t="str">
        <f>IFERROR(__xludf.DUMMYFUNCTION("""COMPUTED_VALUE"""),"立志學校財團法人高雄市立志高級中學附設國中部")</f>
        <v>立志學校財團法人高雄市立志高級中學附設國中部</v>
      </c>
      <c r="F2924" s="14" t="str">
        <f>IFERROR(__xludf.DUMMYFUNCTION("""COMPUTED_VALUE"""),"八年級")</f>
        <v>八年級</v>
      </c>
      <c r="G2924" s="14" t="str">
        <f>IFERROR(__xludf.DUMMYFUNCTION("""COMPUTED_VALUE"""),"●小禮物")</f>
        <v>●小禮物</v>
      </c>
      <c r="H2924" s="8"/>
    </row>
    <row r="2925">
      <c r="A2925" s="18"/>
      <c r="B2925" s="14">
        <f>IFERROR(__xludf.DUMMYFUNCTION("""COMPUTED_VALUE"""),1152177.0)</f>
        <v>1152177</v>
      </c>
      <c r="C2925" s="14" t="str">
        <f>IFERROR(__xludf.DUMMYFUNCTION("""COMPUTED_VALUE"""),"李瑀葵")</f>
        <v>李瑀葵</v>
      </c>
      <c r="D2925" s="16" t="str">
        <f>IFERROR(__xludf.DUMMYFUNCTION("""COMPUTED_VALUE"""),"sup*****dalee.5252@gmail.com")</f>
        <v>sup*****dalee.5252@gmail.com</v>
      </c>
      <c r="E2925" s="17" t="str">
        <f>IFERROR(__xludf.DUMMYFUNCTION("""COMPUTED_VALUE"""),"立志學校財團法人高雄市立志高級中學附設國中部")</f>
        <v>立志學校財團法人高雄市立志高級中學附設國中部</v>
      </c>
      <c r="F2925" s="14" t="str">
        <f>IFERROR(__xludf.DUMMYFUNCTION("""COMPUTED_VALUE"""),"八年級")</f>
        <v>八年級</v>
      </c>
      <c r="G2925" s="14" t="str">
        <f>IFERROR(__xludf.DUMMYFUNCTION("""COMPUTED_VALUE"""),"●小禮物")</f>
        <v>●小禮物</v>
      </c>
      <c r="H2925" s="8"/>
    </row>
    <row r="2926">
      <c r="A2926" s="18"/>
      <c r="B2926" s="14">
        <f>IFERROR(__xludf.DUMMYFUNCTION("""COMPUTED_VALUE"""),970761.0)</f>
        <v>970761</v>
      </c>
      <c r="C2926" s="14" t="str">
        <f>IFERROR(__xludf.DUMMYFUNCTION("""COMPUTED_VALUE"""),"陳泓鑫")</f>
        <v>陳泓鑫</v>
      </c>
      <c r="D2926" s="16" t="str">
        <f>IFERROR(__xludf.DUMMYFUNCTION("""COMPUTED_VALUE"""),"a09*****u.lcvs.kh.edu.tw")</f>
        <v>a09*****u.lcvs.kh.edu.tw</v>
      </c>
      <c r="E2926" s="17" t="str">
        <f>IFERROR(__xludf.DUMMYFUNCTION("""COMPUTED_VALUE"""),"立志學校財團法人高雄市立志高級中學附設國中部")</f>
        <v>立志學校財團法人高雄市立志高級中學附設國中部</v>
      </c>
      <c r="F2926" s="14" t="str">
        <f>IFERROR(__xludf.DUMMYFUNCTION("""COMPUTED_VALUE"""),"八年級")</f>
        <v>八年級</v>
      </c>
      <c r="G2926" s="14" t="str">
        <f>IFERROR(__xludf.DUMMYFUNCTION("""COMPUTED_VALUE"""),"●小禮物")</f>
        <v>●小禮物</v>
      </c>
      <c r="H2926" s="8"/>
    </row>
    <row r="2927">
      <c r="A2927" s="18"/>
      <c r="B2927" s="14">
        <f>IFERROR(__xludf.DUMMYFUNCTION("""COMPUTED_VALUE"""),961080.0)</f>
        <v>961080</v>
      </c>
      <c r="C2927" s="14" t="str">
        <f>IFERROR(__xludf.DUMMYFUNCTION("""COMPUTED_VALUE"""),"舒后佐")</f>
        <v>舒后佐</v>
      </c>
      <c r="D2927" s="16" t="str">
        <f>IFERROR(__xludf.DUMMYFUNCTION("""COMPUTED_VALUE"""),"cri*****ting0113@gmail.com")</f>
        <v>cri*****ting0113@gmail.com</v>
      </c>
      <c r="E2927" s="17" t="str">
        <f>IFERROR(__xludf.DUMMYFUNCTION("""COMPUTED_VALUE"""),"立志學校財團法人高雄市立志高級中學附設國中部")</f>
        <v>立志學校財團法人高雄市立志高級中學附設國中部</v>
      </c>
      <c r="F2927" s="14" t="str">
        <f>IFERROR(__xludf.DUMMYFUNCTION("""COMPUTED_VALUE"""),"八年級")</f>
        <v>八年級</v>
      </c>
      <c r="G2927" s="14" t="str">
        <f>IFERROR(__xludf.DUMMYFUNCTION("""COMPUTED_VALUE"""),"●小禮物")</f>
        <v>●小禮物</v>
      </c>
      <c r="H2927" s="8"/>
    </row>
    <row r="2928">
      <c r="A2928" s="18"/>
      <c r="B2928" s="14">
        <f>IFERROR(__xludf.DUMMYFUNCTION("""COMPUTED_VALUE"""),944508.0)</f>
        <v>944508</v>
      </c>
      <c r="C2928" s="14" t="str">
        <f>IFERROR(__xludf.DUMMYFUNCTION("""COMPUTED_VALUE"""),"蔡旻妤")</f>
        <v>蔡旻妤</v>
      </c>
      <c r="D2928" s="16" t="str">
        <f>IFERROR(__xludf.DUMMYFUNCTION("""COMPUTED_VALUE"""),"a09*****u.lcvs.kh.edu.tw")</f>
        <v>a09*****u.lcvs.kh.edu.tw</v>
      </c>
      <c r="E2928" s="17" t="str">
        <f>IFERROR(__xludf.DUMMYFUNCTION("""COMPUTED_VALUE"""),"立志學校財團法人高雄市立志高級中學附設國中部")</f>
        <v>立志學校財團法人高雄市立志高級中學附設國中部</v>
      </c>
      <c r="F2928" s="14" t="str">
        <f>IFERROR(__xludf.DUMMYFUNCTION("""COMPUTED_VALUE"""),"八年級")</f>
        <v>八年級</v>
      </c>
      <c r="G2928" s="14" t="str">
        <f>IFERROR(__xludf.DUMMYFUNCTION("""COMPUTED_VALUE"""),"●小禮物")</f>
        <v>●小禮物</v>
      </c>
      <c r="H2928" s="8"/>
    </row>
    <row r="2929">
      <c r="A2929" s="18"/>
      <c r="B2929" s="14">
        <f>IFERROR(__xludf.DUMMYFUNCTION("""COMPUTED_VALUE"""),1036079.0)</f>
        <v>1036079</v>
      </c>
      <c r="C2929" s="14" t="str">
        <f>IFERROR(__xludf.DUMMYFUNCTION("""COMPUTED_VALUE"""),"薛琬嫻")</f>
        <v>薛琬嫻</v>
      </c>
      <c r="D2929" s="16" t="str">
        <f>IFERROR(__xludf.DUMMYFUNCTION("""COMPUTED_VALUE"""),"nik*****estop.tw")</f>
        <v>nik*****estop.tw</v>
      </c>
      <c r="E2929" s="17" t="str">
        <f>IFERROR(__xludf.DUMMYFUNCTION("""COMPUTED_VALUE"""),"立志學校財團法人高雄市立志高級中學附設國中部")</f>
        <v>立志學校財團法人高雄市立志高級中學附設國中部</v>
      </c>
      <c r="F2929" s="14" t="str">
        <f>IFERROR(__xludf.DUMMYFUNCTION("""COMPUTED_VALUE"""),"八年級")</f>
        <v>八年級</v>
      </c>
      <c r="G2929" s="14" t="str">
        <f>IFERROR(__xludf.DUMMYFUNCTION("""COMPUTED_VALUE"""),"●小禮物")</f>
        <v>●小禮物</v>
      </c>
      <c r="H2929" s="8"/>
    </row>
    <row r="2930">
      <c r="A2930" s="18"/>
      <c r="B2930" s="14">
        <f>IFERROR(__xludf.DUMMYFUNCTION("""COMPUTED_VALUE"""),961259.0)</f>
        <v>961259</v>
      </c>
      <c r="C2930" s="14" t="str">
        <f>IFERROR(__xludf.DUMMYFUNCTION("""COMPUTED_VALUE"""),"田禮瑄")</f>
        <v>田禮瑄</v>
      </c>
      <c r="D2930" s="16" t="str">
        <f>IFERROR(__xludf.DUMMYFUNCTION("""COMPUTED_VALUE"""),"lam*****mail.edu.tw")</f>
        <v>lam*****mail.edu.tw</v>
      </c>
      <c r="E2930" s="17" t="str">
        <f>IFERROR(__xludf.DUMMYFUNCTION("""COMPUTED_VALUE"""),"立志學校財團法人高雄市立志高級中學附設國中部")</f>
        <v>立志學校財團法人高雄市立志高級中學附設國中部</v>
      </c>
      <c r="F2930" s="14" t="str">
        <f>IFERROR(__xludf.DUMMYFUNCTION("""COMPUTED_VALUE"""),"八年級")</f>
        <v>八年級</v>
      </c>
      <c r="G2930" s="14" t="str">
        <f>IFERROR(__xludf.DUMMYFUNCTION("""COMPUTED_VALUE"""),"★禮券$200")</f>
        <v>★禮券$200</v>
      </c>
      <c r="H2930" s="8"/>
    </row>
    <row r="2931">
      <c r="A2931" s="18"/>
      <c r="B2931" s="14">
        <f>IFERROR(__xludf.DUMMYFUNCTION("""COMPUTED_VALUE"""),1032511.0)</f>
        <v>1032511</v>
      </c>
      <c r="C2931" s="14" t="str">
        <f>IFERROR(__xludf.DUMMYFUNCTION("""COMPUTED_VALUE"""),"宋怡賢")</f>
        <v>宋怡賢</v>
      </c>
      <c r="D2931" s="16" t="str">
        <f>IFERROR(__xludf.DUMMYFUNCTION("""COMPUTED_VALUE"""),"son*****an129@gmail.com")</f>
        <v>son*****an129@gmail.com</v>
      </c>
      <c r="E2931" s="17" t="str">
        <f>IFERROR(__xludf.DUMMYFUNCTION("""COMPUTED_VALUE"""),"立志學校財團法人高雄市立志高級中學附設國中部")</f>
        <v>立志學校財團法人高雄市立志高級中學附設國中部</v>
      </c>
      <c r="F2931" s="14" t="str">
        <f>IFERROR(__xludf.DUMMYFUNCTION("""COMPUTED_VALUE"""),"八年級")</f>
        <v>八年級</v>
      </c>
      <c r="G2931" s="14" t="str">
        <f>IFERROR(__xludf.DUMMYFUNCTION("""COMPUTED_VALUE"""),"獎狀")</f>
        <v>獎狀</v>
      </c>
      <c r="H2931" s="8"/>
    </row>
    <row r="2932">
      <c r="A2932" s="18"/>
      <c r="B2932" s="14">
        <f>IFERROR(__xludf.DUMMYFUNCTION("""COMPUTED_VALUE"""),1147452.0)</f>
        <v>1147452</v>
      </c>
      <c r="C2932" s="14" t="str">
        <f>IFERROR(__xludf.DUMMYFUNCTION("""COMPUTED_VALUE"""),"林品程")</f>
        <v>林品程</v>
      </c>
      <c r="D2932" s="16" t="str">
        <f>IFERROR(__xludf.DUMMYFUNCTION("""COMPUTED_VALUE"""),"lin*****228@gmail.com")</f>
        <v>lin*****228@gmail.com</v>
      </c>
      <c r="E2932" s="17" t="str">
        <f>IFERROR(__xludf.DUMMYFUNCTION("""COMPUTED_VALUE"""),"立志學校財團法人高雄市立志高級中學附設國中部")</f>
        <v>立志學校財團法人高雄市立志高級中學附設國中部</v>
      </c>
      <c r="F2932" s="14" t="str">
        <f>IFERROR(__xludf.DUMMYFUNCTION("""COMPUTED_VALUE"""),"八年級")</f>
        <v>八年級</v>
      </c>
      <c r="G2932" s="14" t="str">
        <f>IFERROR(__xludf.DUMMYFUNCTION("""COMPUTED_VALUE"""),"獎狀")</f>
        <v>獎狀</v>
      </c>
      <c r="H2932" s="8"/>
    </row>
    <row r="2933">
      <c r="A2933" s="18"/>
      <c r="B2933" s="14">
        <f>IFERROR(__xludf.DUMMYFUNCTION("""COMPUTED_VALUE"""),1032119.0)</f>
        <v>1032119</v>
      </c>
      <c r="C2933" s="14" t="str">
        <f>IFERROR(__xludf.DUMMYFUNCTION("""COMPUTED_VALUE"""),"陳加銘")</f>
        <v>陳加銘</v>
      </c>
      <c r="D2933" s="16" t="str">
        <f>IFERROR(__xludf.DUMMYFUNCTION("""COMPUTED_VALUE"""),"c69*****gmail.com")</f>
        <v>c69*****gmail.com</v>
      </c>
      <c r="E2933" s="17" t="str">
        <f>IFERROR(__xludf.DUMMYFUNCTION("""COMPUTED_VALUE"""),"立志學校財團法人高雄市立志高級中學附設國中部")</f>
        <v>立志學校財團法人高雄市立志高級中學附設國中部</v>
      </c>
      <c r="F2933" s="14" t="str">
        <f>IFERROR(__xludf.DUMMYFUNCTION("""COMPUTED_VALUE"""),"八年級")</f>
        <v>八年級</v>
      </c>
      <c r="G2933" s="14" t="str">
        <f>IFERROR(__xludf.DUMMYFUNCTION("""COMPUTED_VALUE"""),"獎狀")</f>
        <v>獎狀</v>
      </c>
      <c r="H2933" s="8"/>
    </row>
    <row r="2934">
      <c r="A2934" s="18"/>
      <c r="B2934" s="14">
        <f>IFERROR(__xludf.DUMMYFUNCTION("""COMPUTED_VALUE"""),1107751.0)</f>
        <v>1107751</v>
      </c>
      <c r="C2934" s="14" t="str">
        <f>IFERROR(__xludf.DUMMYFUNCTION("""COMPUTED_VALUE"""),"陳芃融")</f>
        <v>陳芃融</v>
      </c>
      <c r="D2934" s="16" t="str">
        <f>IFERROR(__xludf.DUMMYFUNCTION("""COMPUTED_VALUE"""),"a06*****u.lcvs.kh.edu.tw")</f>
        <v>a06*****u.lcvs.kh.edu.tw</v>
      </c>
      <c r="E2934" s="17" t="str">
        <f>IFERROR(__xludf.DUMMYFUNCTION("""COMPUTED_VALUE"""),"立志學校財團法人高雄市立志高級中學附設國中部")</f>
        <v>立志學校財團法人高雄市立志高級中學附設國中部</v>
      </c>
      <c r="F2934" s="14" t="str">
        <f>IFERROR(__xludf.DUMMYFUNCTION("""COMPUTED_VALUE"""),"八年級")</f>
        <v>八年級</v>
      </c>
      <c r="G2934" s="14" t="str">
        <f>IFERROR(__xludf.DUMMYFUNCTION("""COMPUTED_VALUE"""),"獎狀")</f>
        <v>獎狀</v>
      </c>
      <c r="H2934" s="8"/>
    </row>
    <row r="2935">
      <c r="A2935" s="18"/>
      <c r="B2935" s="14">
        <f>IFERROR(__xludf.DUMMYFUNCTION("""COMPUTED_VALUE"""),944439.0)</f>
        <v>944439</v>
      </c>
      <c r="C2935" s="14" t="str">
        <f>IFERROR(__xludf.DUMMYFUNCTION("""COMPUTED_VALUE"""),"陳柄榛")</f>
        <v>陳柄榛</v>
      </c>
      <c r="D2935" s="16" t="str">
        <f>IFERROR(__xludf.DUMMYFUNCTION("""COMPUTED_VALUE"""),"a10*****u.lcvs.kh.edu.tw")</f>
        <v>a10*****u.lcvs.kh.edu.tw</v>
      </c>
      <c r="E2935" s="17" t="str">
        <f>IFERROR(__xludf.DUMMYFUNCTION("""COMPUTED_VALUE"""),"立志學校財團法人高雄市立志高級中學附設國中部")</f>
        <v>立志學校財團法人高雄市立志高級中學附設國中部</v>
      </c>
      <c r="F2935" s="14" t="str">
        <f>IFERROR(__xludf.DUMMYFUNCTION("""COMPUTED_VALUE"""),"八年級")</f>
        <v>八年級</v>
      </c>
      <c r="G2935" s="14" t="str">
        <f>IFERROR(__xludf.DUMMYFUNCTION("""COMPUTED_VALUE"""),"獎狀")</f>
        <v>獎狀</v>
      </c>
      <c r="H2935" s="8"/>
    </row>
    <row r="2936">
      <c r="A2936" s="18"/>
      <c r="B2936" s="14">
        <f>IFERROR(__xludf.DUMMYFUNCTION("""COMPUTED_VALUE"""),1032003.0)</f>
        <v>1032003</v>
      </c>
      <c r="C2936" s="14" t="str">
        <f>IFERROR(__xludf.DUMMYFUNCTION("""COMPUTED_VALUE"""),"黃科竣")</f>
        <v>黃科竣</v>
      </c>
      <c r="D2936" s="16" t="str">
        <f>IFERROR(__xludf.DUMMYFUNCTION("""COMPUTED_VALUE"""),"der*****13@gmail.com")</f>
        <v>der*****13@gmail.com</v>
      </c>
      <c r="E2936" s="17" t="str">
        <f>IFERROR(__xludf.DUMMYFUNCTION("""COMPUTED_VALUE"""),"立志學校財團法人高雄市立志高級中學附設國中部")</f>
        <v>立志學校財團法人高雄市立志高級中學附設國中部</v>
      </c>
      <c r="F2936" s="14" t="str">
        <f>IFERROR(__xludf.DUMMYFUNCTION("""COMPUTED_VALUE"""),"八年級")</f>
        <v>八年級</v>
      </c>
      <c r="G2936" s="14" t="str">
        <f>IFERROR(__xludf.DUMMYFUNCTION("""COMPUTED_VALUE"""),"獎狀")</f>
        <v>獎狀</v>
      </c>
      <c r="H2936" s="8"/>
    </row>
    <row r="2937">
      <c r="A2937" s="18"/>
      <c r="B2937" s="14">
        <f>IFERROR(__xludf.DUMMYFUNCTION("""COMPUTED_VALUE"""),948233.0)</f>
        <v>948233</v>
      </c>
      <c r="C2937" s="14" t="str">
        <f>IFERROR(__xludf.DUMMYFUNCTION("""COMPUTED_VALUE"""),"黃翊茵")</f>
        <v>黃翊茵</v>
      </c>
      <c r="D2937" s="16" t="str">
        <f>IFERROR(__xludf.DUMMYFUNCTION("""COMPUTED_VALUE"""),"eil*****yy@gmail.com")</f>
        <v>eil*****yy@gmail.com</v>
      </c>
      <c r="E2937" s="17" t="str">
        <f>IFERROR(__xludf.DUMMYFUNCTION("""COMPUTED_VALUE"""),"立志學校財團法人高雄市立志高級中學附設國中部")</f>
        <v>立志學校財團法人高雄市立志高級中學附設國中部</v>
      </c>
      <c r="F2937" s="14" t="str">
        <f>IFERROR(__xludf.DUMMYFUNCTION("""COMPUTED_VALUE"""),"八年級")</f>
        <v>八年級</v>
      </c>
      <c r="G2937" s="14" t="str">
        <f>IFERROR(__xludf.DUMMYFUNCTION("""COMPUTED_VALUE"""),"獎狀")</f>
        <v>獎狀</v>
      </c>
      <c r="H2937" s="8"/>
    </row>
    <row r="2938">
      <c r="A2938" s="18"/>
      <c r="B2938" s="14">
        <f>IFERROR(__xludf.DUMMYFUNCTION("""COMPUTED_VALUE"""),944196.0)</f>
        <v>944196</v>
      </c>
      <c r="C2938" s="14" t="str">
        <f>IFERROR(__xludf.DUMMYFUNCTION("""COMPUTED_VALUE"""),"謝綵宸")</f>
        <v>謝綵宸</v>
      </c>
      <c r="D2938" s="16" t="str">
        <f>IFERROR(__xludf.DUMMYFUNCTION("""COMPUTED_VALUE"""),"a07*****58@gmail.com")</f>
        <v>a07*****58@gmail.com</v>
      </c>
      <c r="E2938" s="17" t="str">
        <f>IFERROR(__xludf.DUMMYFUNCTION("""COMPUTED_VALUE"""),"立志學校財團法人高雄市立志高級中學附設國中部")</f>
        <v>立志學校財團法人高雄市立志高級中學附設國中部</v>
      </c>
      <c r="F2938" s="14" t="str">
        <f>IFERROR(__xludf.DUMMYFUNCTION("""COMPUTED_VALUE"""),"八年級")</f>
        <v>八年級</v>
      </c>
      <c r="G2938" s="14" t="str">
        <f>IFERROR(__xludf.DUMMYFUNCTION("""COMPUTED_VALUE"""),"獎狀")</f>
        <v>獎狀</v>
      </c>
      <c r="H2938" s="8"/>
    </row>
    <row r="2939">
      <c r="A2939" s="18"/>
      <c r="B2939" s="14">
        <f>IFERROR(__xludf.DUMMYFUNCTION("""COMPUTED_VALUE"""),944309.0)</f>
        <v>944309</v>
      </c>
      <c r="C2939" s="14" t="str">
        <f>IFERROR(__xludf.DUMMYFUNCTION("""COMPUTED_VALUE"""),"蘇晴妤")</f>
        <v>蘇晴妤</v>
      </c>
      <c r="D2939" s="16" t="str">
        <f>IFERROR(__xludf.DUMMYFUNCTION("""COMPUTED_VALUE"""),"jjp*****18@mail.jjps.kh.edu.tw")</f>
        <v>jjp*****18@mail.jjps.kh.edu.tw</v>
      </c>
      <c r="E2939" s="17" t="str">
        <f>IFERROR(__xludf.DUMMYFUNCTION("""COMPUTED_VALUE"""),"立志學校財團法人高雄市立志高級中學附設國中部")</f>
        <v>立志學校財團法人高雄市立志高級中學附設國中部</v>
      </c>
      <c r="F2939" s="14" t="str">
        <f>IFERROR(__xludf.DUMMYFUNCTION("""COMPUTED_VALUE"""),"八年級")</f>
        <v>八年級</v>
      </c>
      <c r="G2939" s="14" t="str">
        <f>IFERROR(__xludf.DUMMYFUNCTION("""COMPUTED_VALUE"""),"獎狀")</f>
        <v>獎狀</v>
      </c>
      <c r="H2939" s="8"/>
    </row>
    <row r="2940">
      <c r="A2940" s="18"/>
      <c r="B2940" s="14">
        <f>IFERROR(__xludf.DUMMYFUNCTION("""COMPUTED_VALUE"""),937178.0)</f>
        <v>937178</v>
      </c>
      <c r="C2940" s="14" t="str">
        <f>IFERROR(__xludf.DUMMYFUNCTION("""COMPUTED_VALUE"""),"張愷洲")</f>
        <v>張愷洲</v>
      </c>
      <c r="D2940" s="16" t="str">
        <f>IFERROR(__xludf.DUMMYFUNCTION("""COMPUTED_VALUE"""),"kin*****chang@mail.edu.tw")</f>
        <v>kin*****chang@mail.edu.tw</v>
      </c>
      <c r="E2940" s="17" t="str">
        <f>IFERROR(__xludf.DUMMYFUNCTION("""COMPUTED_VALUE"""),"立志學校財團法人高雄市立志高級中學附設國中部")</f>
        <v>立志學校財團法人高雄市立志高級中學附設國中部</v>
      </c>
      <c r="F2940" s="14" t="str">
        <f>IFERROR(__xludf.DUMMYFUNCTION("""COMPUTED_VALUE"""),"九年級")</f>
        <v>九年級</v>
      </c>
      <c r="G2940" s="14" t="str">
        <f>IFERROR(__xludf.DUMMYFUNCTION("""COMPUTED_VALUE"""),"●小禮物")</f>
        <v>●小禮物</v>
      </c>
      <c r="H2940" s="8"/>
    </row>
    <row r="2941">
      <c r="A2941" s="18"/>
      <c r="B2941" s="14">
        <f>IFERROR(__xludf.DUMMYFUNCTION("""COMPUTED_VALUE"""),247328.0)</f>
        <v>247328</v>
      </c>
      <c r="C2941" s="14" t="str">
        <f>IFERROR(__xludf.DUMMYFUNCTION("""COMPUTED_VALUE"""),"韓開翔")</f>
        <v>韓開翔</v>
      </c>
      <c r="D2941" s="16" t="str">
        <f>IFERROR(__xludf.DUMMYFUNCTION("""COMPUTED_VALUE"""),"han*****u@gmail.com")</f>
        <v>han*****u@gmail.com</v>
      </c>
      <c r="E2941" s="17" t="str">
        <f>IFERROR(__xludf.DUMMYFUNCTION("""COMPUTED_VALUE"""),"高雄市立陽明國民中學")</f>
        <v>高雄市立陽明國民中學</v>
      </c>
      <c r="F2941" s="14" t="str">
        <f>IFERROR(__xludf.DUMMYFUNCTION("""COMPUTED_VALUE"""),"七年級")</f>
        <v>七年級</v>
      </c>
      <c r="G2941" s="14" t="str">
        <f>IFERROR(__xludf.DUMMYFUNCTION("""COMPUTED_VALUE"""),"●小禮物")</f>
        <v>●小禮物</v>
      </c>
      <c r="H2941" s="8"/>
    </row>
    <row r="2942">
      <c r="A2942" s="18"/>
      <c r="B2942" s="14">
        <f>IFERROR(__xludf.DUMMYFUNCTION("""COMPUTED_VALUE"""),593396.0)</f>
        <v>593396</v>
      </c>
      <c r="C2942" s="14" t="str">
        <f>IFERROR(__xludf.DUMMYFUNCTION("""COMPUTED_VALUE"""),"李玥緹")</f>
        <v>李玥緹</v>
      </c>
      <c r="D2942" s="16" t="str">
        <f>IFERROR(__xludf.DUMMYFUNCTION("""COMPUTED_VALUE"""),"s05*****@mail.edu.tw")</f>
        <v>s05*****@mail.edu.tw</v>
      </c>
      <c r="E2942" s="17" t="str">
        <f>IFERROR(__xludf.DUMMYFUNCTION("""COMPUTED_VALUE"""),"高雄市立陽明國民中學")</f>
        <v>高雄市立陽明國民中學</v>
      </c>
      <c r="F2942" s="14" t="str">
        <f>IFERROR(__xludf.DUMMYFUNCTION("""COMPUTED_VALUE"""),"七年級")</f>
        <v>七年級</v>
      </c>
      <c r="G2942" s="14" t="str">
        <f>IFERROR(__xludf.DUMMYFUNCTION("""COMPUTED_VALUE"""),"獎狀")</f>
        <v>獎狀</v>
      </c>
      <c r="H2942" s="8"/>
    </row>
    <row r="2943">
      <c r="A2943" s="18"/>
      <c r="B2943" s="14">
        <f>IFERROR(__xludf.DUMMYFUNCTION("""COMPUTED_VALUE"""),247324.0)</f>
        <v>247324</v>
      </c>
      <c r="C2943" s="14" t="str">
        <f>IFERROR(__xludf.DUMMYFUNCTION("""COMPUTED_VALUE"""),"韓開欣")</f>
        <v>韓開欣</v>
      </c>
      <c r="D2943" s="16" t="str">
        <f>IFERROR(__xludf.DUMMYFUNCTION("""COMPUTED_VALUE"""),"han*****in98@gmail.com")</f>
        <v>han*****in98@gmail.com</v>
      </c>
      <c r="E2943" s="17" t="str">
        <f>IFERROR(__xludf.DUMMYFUNCTION("""COMPUTED_VALUE"""),"高雄市立陽明國民中學")</f>
        <v>高雄市立陽明國民中學</v>
      </c>
      <c r="F2943" s="14" t="str">
        <f>IFERROR(__xludf.DUMMYFUNCTION("""COMPUTED_VALUE"""),"七年級")</f>
        <v>七年級</v>
      </c>
      <c r="G2943" s="14" t="str">
        <f>IFERROR(__xludf.DUMMYFUNCTION("""COMPUTED_VALUE"""),"獎狀")</f>
        <v>獎狀</v>
      </c>
      <c r="H2943" s="8"/>
    </row>
    <row r="2944">
      <c r="A2944" s="18"/>
      <c r="B2944" s="14">
        <f>IFERROR(__xludf.DUMMYFUNCTION("""COMPUTED_VALUE"""),371406.0)</f>
        <v>371406</v>
      </c>
      <c r="C2944" s="14" t="str">
        <f>IFERROR(__xludf.DUMMYFUNCTION("""COMPUTED_VALUE"""),"林宜辰")</f>
        <v>林宜辰</v>
      </c>
      <c r="D2944" s="16" t="str">
        <f>IFERROR(__xludf.DUMMYFUNCTION("""COMPUTED_VALUE"""),"s04*****.kh@mail.edu.tw")</f>
        <v>s04*****.kh@mail.edu.tw</v>
      </c>
      <c r="E2944" s="17" t="str">
        <f>IFERROR(__xludf.DUMMYFUNCTION("""COMPUTED_VALUE"""),"高雄市立陽明國民中學")</f>
        <v>高雄市立陽明國民中學</v>
      </c>
      <c r="F2944" s="14" t="str">
        <f>IFERROR(__xludf.DUMMYFUNCTION("""COMPUTED_VALUE"""),"八年級")</f>
        <v>八年級</v>
      </c>
      <c r="G2944" s="14" t="str">
        <f>IFERROR(__xludf.DUMMYFUNCTION("""COMPUTED_VALUE"""),"★禮券$200")</f>
        <v>★禮券$200</v>
      </c>
      <c r="H2944" s="8"/>
    </row>
    <row r="2945">
      <c r="A2945" s="18"/>
      <c r="B2945" s="14">
        <f>IFERROR(__xludf.DUMMYFUNCTION("""COMPUTED_VALUE"""),250888.0)</f>
        <v>250888</v>
      </c>
      <c r="C2945" s="14" t="str">
        <f>IFERROR(__xludf.DUMMYFUNCTION("""COMPUTED_VALUE"""),"李佳欣")</f>
        <v>李佳欣</v>
      </c>
      <c r="D2945" s="16" t="str">
        <f>IFERROR(__xludf.DUMMYFUNCTION("""COMPUTED_VALUE"""),"qgl*****ahoo.com.tw")</f>
        <v>qgl*****ahoo.com.tw</v>
      </c>
      <c r="E2945" s="17" t="str">
        <f>IFERROR(__xludf.DUMMYFUNCTION("""COMPUTED_VALUE"""),"高雄市立陽明國民中學")</f>
        <v>高雄市立陽明國民中學</v>
      </c>
      <c r="F2945" s="14" t="str">
        <f>IFERROR(__xludf.DUMMYFUNCTION("""COMPUTED_VALUE"""),"八年級")</f>
        <v>八年級</v>
      </c>
      <c r="G2945" s="14" t="str">
        <f>IFERROR(__xludf.DUMMYFUNCTION("""COMPUTED_VALUE"""),"獎狀")</f>
        <v>獎狀</v>
      </c>
      <c r="H2945" s="8"/>
    </row>
    <row r="2946">
      <c r="A2946" s="18"/>
      <c r="B2946" s="14">
        <f>IFERROR(__xludf.DUMMYFUNCTION("""COMPUTED_VALUE"""),861703.0)</f>
        <v>861703</v>
      </c>
      <c r="C2946" s="14" t="str">
        <f>IFERROR(__xludf.DUMMYFUNCTION("""COMPUTED_VALUE"""),"齊振睿")</f>
        <v>齊振睿</v>
      </c>
      <c r="D2946" s="16" t="str">
        <f>IFERROR(__xludf.DUMMYFUNCTION("""COMPUTED_VALUE"""),"cur*****0926@gmail.com")</f>
        <v>cur*****0926@gmail.com</v>
      </c>
      <c r="E2946" s="17" t="str">
        <f>IFERROR(__xludf.DUMMYFUNCTION("""COMPUTED_VALUE"""),"高雄市立陽明國民中學")</f>
        <v>高雄市立陽明國民中學</v>
      </c>
      <c r="F2946" s="14" t="str">
        <f>IFERROR(__xludf.DUMMYFUNCTION("""COMPUTED_VALUE"""),"八年級")</f>
        <v>八年級</v>
      </c>
      <c r="G2946" s="14" t="str">
        <f>IFERROR(__xludf.DUMMYFUNCTION("""COMPUTED_VALUE"""),"●小禮物")</f>
        <v>●小禮物</v>
      </c>
      <c r="H2946" s="8"/>
    </row>
    <row r="2947">
      <c r="A2947" s="18"/>
      <c r="B2947" s="14">
        <f>IFERROR(__xludf.DUMMYFUNCTION("""COMPUTED_VALUE"""),1219161.0)</f>
        <v>1219161</v>
      </c>
      <c r="C2947" s="14" t="str">
        <f>IFERROR(__xludf.DUMMYFUNCTION("""COMPUTED_VALUE"""),"楊穆承")</f>
        <v>楊穆承</v>
      </c>
      <c r="D2947" s="16" t="str">
        <f>IFERROR(__xludf.DUMMYFUNCTION("""COMPUTED_VALUE"""),"s03*****.kh@go.edu.tw")</f>
        <v>s03*****.kh@go.edu.tw</v>
      </c>
      <c r="E2947" s="17" t="str">
        <f>IFERROR(__xludf.DUMMYFUNCTION("""COMPUTED_VALUE"""),"高雄市立陽明國民中學")</f>
        <v>高雄市立陽明國民中學</v>
      </c>
      <c r="F2947" s="14" t="str">
        <f>IFERROR(__xludf.DUMMYFUNCTION("""COMPUTED_VALUE"""),"九年級")</f>
        <v>九年級</v>
      </c>
      <c r="G2947" s="14" t="str">
        <f>IFERROR(__xludf.DUMMYFUNCTION("""COMPUTED_VALUE"""),"●小禮物")</f>
        <v>●小禮物</v>
      </c>
      <c r="H2947" s="8"/>
    </row>
    <row r="2948">
      <c r="A2948" s="18"/>
      <c r="B2948" s="14">
        <f>IFERROR(__xludf.DUMMYFUNCTION("""COMPUTED_VALUE"""),1217174.0)</f>
        <v>1217174</v>
      </c>
      <c r="C2948" s="14" t="str">
        <f>IFERROR(__xludf.DUMMYFUNCTION("""COMPUTED_VALUE"""),"李恩來")</f>
        <v>李恩來</v>
      </c>
      <c r="D2948" s="16" t="str">
        <f>IFERROR(__xludf.DUMMYFUNCTION("""COMPUTED_VALUE"""),"s05*****@hpjh.kh.edu.tw")</f>
        <v>s05*****@hpjh.kh.edu.tw</v>
      </c>
      <c r="E2948" s="17" t="str">
        <f>IFERROR(__xludf.DUMMYFUNCTION("""COMPUTED_VALUE"""),"高雄市立後勁國民中學")</f>
        <v>高雄市立後勁國民中學</v>
      </c>
      <c r="F2948" s="14" t="str">
        <f>IFERROR(__xludf.DUMMYFUNCTION("""COMPUTED_VALUE"""),"七年級")</f>
        <v>七年級</v>
      </c>
      <c r="G2948" s="14" t="str">
        <f>IFERROR(__xludf.DUMMYFUNCTION("""COMPUTED_VALUE"""),"●小禮物")</f>
        <v>●小禮物</v>
      </c>
      <c r="H2948" s="8"/>
    </row>
    <row r="2949">
      <c r="A2949" s="18"/>
      <c r="B2949" s="14">
        <f>IFERROR(__xludf.DUMMYFUNCTION("""COMPUTED_VALUE"""),556708.0)</f>
        <v>556708</v>
      </c>
      <c r="C2949" s="14" t="str">
        <f>IFERROR(__xludf.DUMMYFUNCTION("""COMPUTED_VALUE"""),"陳筠蓁")</f>
        <v>陳筠蓁</v>
      </c>
      <c r="D2949" s="16" t="str">
        <f>IFERROR(__xludf.DUMMYFUNCTION("""COMPUTED_VALUE"""),"jan*****0217@gmail.com")</f>
        <v>jan*****0217@gmail.com</v>
      </c>
      <c r="E2949" s="17" t="str">
        <f>IFERROR(__xludf.DUMMYFUNCTION("""COMPUTED_VALUE"""),"國立中山大學附屬國光高級中學附設國中部")</f>
        <v>國立中山大學附屬國光高級中學附設國中部</v>
      </c>
      <c r="F2949" s="14" t="str">
        <f>IFERROR(__xludf.DUMMYFUNCTION("""COMPUTED_VALUE"""),"九年級")</f>
        <v>九年級</v>
      </c>
      <c r="G2949" s="14" t="str">
        <f>IFERROR(__xludf.DUMMYFUNCTION("""COMPUTED_VALUE"""),"★禮券$500")</f>
        <v>★禮券$500</v>
      </c>
      <c r="H2949" s="8"/>
    </row>
    <row r="2950">
      <c r="A2950" s="18"/>
      <c r="B2950" s="14">
        <f>IFERROR(__xludf.DUMMYFUNCTION("""COMPUTED_VALUE"""),1121517.0)</f>
        <v>1121517</v>
      </c>
      <c r="C2950" s="14" t="str">
        <f>IFERROR(__xludf.DUMMYFUNCTION("""COMPUTED_VALUE"""),"蕭君宇")</f>
        <v>蕭君宇</v>
      </c>
      <c r="D2950" s="16" t="str">
        <f>IFERROR(__xludf.DUMMYFUNCTION("""COMPUTED_VALUE"""),"101*****ntjh.kh.edu.tw")</f>
        <v>101*****ntjh.kh.edu.tw</v>
      </c>
      <c r="E2950" s="17" t="str">
        <f>IFERROR(__xludf.DUMMYFUNCTION("""COMPUTED_VALUE"""),"高雄市立楠梓國民中學")</f>
        <v>高雄市立楠梓國民中學</v>
      </c>
      <c r="F2950" s="14" t="str">
        <f>IFERROR(__xludf.DUMMYFUNCTION("""COMPUTED_VALUE"""),"八年級")</f>
        <v>八年級</v>
      </c>
      <c r="G2950" s="14" t="str">
        <f>IFERROR(__xludf.DUMMYFUNCTION("""COMPUTED_VALUE"""),"●小禮物")</f>
        <v>●小禮物</v>
      </c>
      <c r="H2950" s="8"/>
    </row>
    <row r="2951">
      <c r="A2951" s="18"/>
      <c r="B2951" s="14">
        <f>IFERROR(__xludf.DUMMYFUNCTION("""COMPUTED_VALUE"""),100629.0)</f>
        <v>100629</v>
      </c>
      <c r="C2951" s="14" t="str">
        <f>IFERROR(__xludf.DUMMYFUNCTION("""COMPUTED_VALUE"""),"蘇妍靜")</f>
        <v>蘇妍靜</v>
      </c>
      <c r="D2951" s="16" t="str">
        <f>IFERROR(__xludf.DUMMYFUNCTION("""COMPUTED_VALUE"""),"vic*****704@gmail.com")</f>
        <v>vic*****704@gmail.com</v>
      </c>
      <c r="E2951" s="17" t="str">
        <f>IFERROR(__xludf.DUMMYFUNCTION("""COMPUTED_VALUE"""),"高雄市立楠梓國民中學")</f>
        <v>高雄市立楠梓國民中學</v>
      </c>
      <c r="F2951" s="14" t="str">
        <f>IFERROR(__xludf.DUMMYFUNCTION("""COMPUTED_VALUE"""),"九年級")</f>
        <v>九年級</v>
      </c>
      <c r="G2951" s="14" t="str">
        <f>IFERROR(__xludf.DUMMYFUNCTION("""COMPUTED_VALUE"""),"●小禮物")</f>
        <v>●小禮物</v>
      </c>
      <c r="H2951" s="8"/>
    </row>
    <row r="2952">
      <c r="A2952" s="18"/>
      <c r="B2952" s="14">
        <f>IFERROR(__xludf.DUMMYFUNCTION("""COMPUTED_VALUE"""),1059241.0)</f>
        <v>1059241</v>
      </c>
      <c r="C2952" s="14" t="str">
        <f>IFERROR(__xludf.DUMMYFUNCTION("""COMPUTED_VALUE"""),"李婕安")</f>
        <v>李婕安</v>
      </c>
      <c r="D2952" s="16" t="str">
        <f>IFERROR(__xludf.DUMMYFUNCTION("""COMPUTED_VALUE"""),"102*****tpjh.kh.edu.tw")</f>
        <v>102*****tpjh.kh.edu.tw</v>
      </c>
      <c r="E2952" s="17" t="str">
        <f>IFERROR(__xludf.DUMMYFUNCTION("""COMPUTED_VALUE"""),"高雄市立翠屏國民中小學國中部")</f>
        <v>高雄市立翠屏國民中小學國中部</v>
      </c>
      <c r="F2952" s="14" t="str">
        <f>IFERROR(__xludf.DUMMYFUNCTION("""COMPUTED_VALUE"""),"七年級")</f>
        <v>七年級</v>
      </c>
      <c r="G2952" s="14" t="str">
        <f>IFERROR(__xludf.DUMMYFUNCTION("""COMPUTED_VALUE"""),"●小禮物")</f>
        <v>●小禮物</v>
      </c>
      <c r="H2952" s="8"/>
    </row>
    <row r="2953">
      <c r="A2953" s="18"/>
      <c r="B2953" s="14">
        <f>IFERROR(__xludf.DUMMYFUNCTION("""COMPUTED_VALUE"""),1193713.0)</f>
        <v>1193713</v>
      </c>
      <c r="C2953" s="14" t="str">
        <f>IFERROR(__xludf.DUMMYFUNCTION("""COMPUTED_VALUE"""),"陳澤緒")</f>
        <v>陳澤緒</v>
      </c>
      <c r="D2953" s="16" t="str">
        <f>IFERROR(__xludf.DUMMYFUNCTION("""COMPUTED_VALUE"""),"s04*****.kh@mail.edu.tw")</f>
        <v>s04*****.kh@mail.edu.tw</v>
      </c>
      <c r="E2953" s="17" t="str">
        <f>IFERROR(__xludf.DUMMYFUNCTION("""COMPUTED_VALUE"""),"高雄市立翠屏國民中小學國中部")</f>
        <v>高雄市立翠屏國民中小學國中部</v>
      </c>
      <c r="F2953" s="14" t="str">
        <f>IFERROR(__xludf.DUMMYFUNCTION("""COMPUTED_VALUE"""),"八年級")</f>
        <v>八年級</v>
      </c>
      <c r="G2953" s="14" t="str">
        <f>IFERROR(__xludf.DUMMYFUNCTION("""COMPUTED_VALUE"""),"★禮券$200")</f>
        <v>★禮券$200</v>
      </c>
      <c r="H2953" s="8"/>
    </row>
    <row r="2954">
      <c r="A2954" s="18"/>
      <c r="B2954" s="14">
        <f>IFERROR(__xludf.DUMMYFUNCTION("""COMPUTED_VALUE"""),1200643.0)</f>
        <v>1200643</v>
      </c>
      <c r="C2954" s="14" t="str">
        <f>IFERROR(__xludf.DUMMYFUNCTION("""COMPUTED_VALUE"""),"張宸豪")</f>
        <v>張宸豪</v>
      </c>
      <c r="D2954" s="16" t="str">
        <f>IFERROR(__xludf.DUMMYFUNCTION("""COMPUTED_VALUE"""),"s04*****.kh@mail.edu.tw")</f>
        <v>s04*****.kh@mail.edu.tw</v>
      </c>
      <c r="E2954" s="17" t="str">
        <f>IFERROR(__xludf.DUMMYFUNCTION("""COMPUTED_VALUE"""),"高雄市立翠屏國民中小學國中部")</f>
        <v>高雄市立翠屏國民中小學國中部</v>
      </c>
      <c r="F2954" s="14" t="str">
        <f>IFERROR(__xludf.DUMMYFUNCTION("""COMPUTED_VALUE"""),"八年級")</f>
        <v>八年級</v>
      </c>
      <c r="G2954" s="14" t="str">
        <f>IFERROR(__xludf.DUMMYFUNCTION("""COMPUTED_VALUE"""),"●小禮物")</f>
        <v>●小禮物</v>
      </c>
      <c r="H2954" s="8"/>
    </row>
    <row r="2955">
      <c r="A2955" s="18"/>
      <c r="B2955" s="14">
        <f>IFERROR(__xludf.DUMMYFUNCTION("""COMPUTED_VALUE"""),1059087.0)</f>
        <v>1059087</v>
      </c>
      <c r="C2955" s="14" t="str">
        <f>IFERROR(__xludf.DUMMYFUNCTION("""COMPUTED_VALUE"""),"李璨均")</f>
        <v>李璨均</v>
      </c>
      <c r="D2955" s="16" t="str">
        <f>IFERROR(__xludf.DUMMYFUNCTION("""COMPUTED_VALUE"""),"101*****tpjh.kh.edu.tw")</f>
        <v>101*****tpjh.kh.edu.tw</v>
      </c>
      <c r="E2955" s="17" t="str">
        <f>IFERROR(__xludf.DUMMYFUNCTION("""COMPUTED_VALUE"""),"高雄市立翠屏國民中小學國中部")</f>
        <v>高雄市立翠屏國民中小學國中部</v>
      </c>
      <c r="F2955" s="14" t="str">
        <f>IFERROR(__xludf.DUMMYFUNCTION("""COMPUTED_VALUE"""),"八年級")</f>
        <v>八年級</v>
      </c>
      <c r="G2955" s="14" t="str">
        <f>IFERROR(__xludf.DUMMYFUNCTION("""COMPUTED_VALUE"""),"●小禮物")</f>
        <v>●小禮物</v>
      </c>
      <c r="H2955" s="8"/>
    </row>
    <row r="2956">
      <c r="A2956" s="18"/>
      <c r="B2956" s="14">
        <f>IFERROR(__xludf.DUMMYFUNCTION("""COMPUTED_VALUE"""),1194442.0)</f>
        <v>1194442</v>
      </c>
      <c r="C2956" s="14" t="str">
        <f>IFERROR(__xludf.DUMMYFUNCTION("""COMPUTED_VALUE"""),"林品妡")</f>
        <v>林品妡</v>
      </c>
      <c r="D2956" s="16" t="str">
        <f>IFERROR(__xludf.DUMMYFUNCTION("""COMPUTED_VALUE"""),"s04*****.kh@mail.edu.tw")</f>
        <v>s04*****.kh@mail.edu.tw</v>
      </c>
      <c r="E2956" s="17" t="str">
        <f>IFERROR(__xludf.DUMMYFUNCTION("""COMPUTED_VALUE"""),"高雄市立翠屏國民中小學國中部")</f>
        <v>高雄市立翠屏國民中小學國中部</v>
      </c>
      <c r="F2956" s="14" t="str">
        <f>IFERROR(__xludf.DUMMYFUNCTION("""COMPUTED_VALUE"""),"八年級")</f>
        <v>八年級</v>
      </c>
      <c r="G2956" s="14" t="str">
        <f>IFERROR(__xludf.DUMMYFUNCTION("""COMPUTED_VALUE"""),"●小禮物")</f>
        <v>●小禮物</v>
      </c>
      <c r="H2956" s="8"/>
    </row>
    <row r="2957">
      <c r="A2957" s="18"/>
      <c r="B2957" s="14">
        <f>IFERROR(__xludf.DUMMYFUNCTION("""COMPUTED_VALUE"""),1193757.0)</f>
        <v>1193757</v>
      </c>
      <c r="C2957" s="14" t="str">
        <f>IFERROR(__xludf.DUMMYFUNCTION("""COMPUTED_VALUE"""),"王子寧")</f>
        <v>王子寧</v>
      </c>
      <c r="D2957" s="16" t="str">
        <f>IFERROR(__xludf.DUMMYFUNCTION("""COMPUTED_VALUE"""),"s04*****.kh@mail.edu.tw")</f>
        <v>s04*****.kh@mail.edu.tw</v>
      </c>
      <c r="E2957" s="17" t="str">
        <f>IFERROR(__xludf.DUMMYFUNCTION("""COMPUTED_VALUE"""),"高雄市立翠屏國民中小學國中部")</f>
        <v>高雄市立翠屏國民中小學國中部</v>
      </c>
      <c r="F2957" s="14" t="str">
        <f>IFERROR(__xludf.DUMMYFUNCTION("""COMPUTED_VALUE"""),"八年級")</f>
        <v>八年級</v>
      </c>
      <c r="G2957" s="14" t="str">
        <f>IFERROR(__xludf.DUMMYFUNCTION("""COMPUTED_VALUE"""),"獎狀")</f>
        <v>獎狀</v>
      </c>
      <c r="H2957" s="8"/>
    </row>
    <row r="2958">
      <c r="A2958" s="18"/>
      <c r="B2958" s="14">
        <f>IFERROR(__xludf.DUMMYFUNCTION("""COMPUTED_VALUE"""),1212223.0)</f>
        <v>1212223</v>
      </c>
      <c r="C2958" s="14" t="str">
        <f>IFERROR(__xludf.DUMMYFUNCTION("""COMPUTED_VALUE"""),"朱安東")</f>
        <v>朱安東</v>
      </c>
      <c r="D2958" s="16" t="str">
        <f>IFERROR(__xludf.DUMMYFUNCTION("""COMPUTED_VALUE"""),"101*****tpjh.kh.edu.tw")</f>
        <v>101*****tpjh.kh.edu.tw</v>
      </c>
      <c r="E2958" s="17" t="str">
        <f>IFERROR(__xludf.DUMMYFUNCTION("""COMPUTED_VALUE"""),"高雄市立翠屏國民中小學國中部")</f>
        <v>高雄市立翠屏國民中小學國中部</v>
      </c>
      <c r="F2958" s="14" t="str">
        <f>IFERROR(__xludf.DUMMYFUNCTION("""COMPUTED_VALUE"""),"八年級")</f>
        <v>八年級</v>
      </c>
      <c r="G2958" s="14" t="str">
        <f>IFERROR(__xludf.DUMMYFUNCTION("""COMPUTED_VALUE"""),"獎狀")</f>
        <v>獎狀</v>
      </c>
      <c r="H2958" s="8"/>
    </row>
    <row r="2959">
      <c r="A2959" s="18"/>
      <c r="B2959" s="14">
        <f>IFERROR(__xludf.DUMMYFUNCTION("""COMPUTED_VALUE"""),1193752.0)</f>
        <v>1193752</v>
      </c>
      <c r="C2959" s="14" t="str">
        <f>IFERROR(__xludf.DUMMYFUNCTION("""COMPUTED_VALUE"""),"李庭吟")</f>
        <v>李庭吟</v>
      </c>
      <c r="D2959" s="16" t="str">
        <f>IFERROR(__xludf.DUMMYFUNCTION("""COMPUTED_VALUE"""),"a97*****mail.edu.tw")</f>
        <v>a97*****mail.edu.tw</v>
      </c>
      <c r="E2959" s="17" t="str">
        <f>IFERROR(__xludf.DUMMYFUNCTION("""COMPUTED_VALUE"""),"高雄市立翠屏國民中小學國中部")</f>
        <v>高雄市立翠屏國民中小學國中部</v>
      </c>
      <c r="F2959" s="14" t="str">
        <f>IFERROR(__xludf.DUMMYFUNCTION("""COMPUTED_VALUE"""),"八年級")</f>
        <v>八年級</v>
      </c>
      <c r="G2959" s="14" t="str">
        <f>IFERROR(__xludf.DUMMYFUNCTION("""COMPUTED_VALUE"""),"獎狀")</f>
        <v>獎狀</v>
      </c>
      <c r="H2959" s="8"/>
    </row>
    <row r="2960">
      <c r="A2960" s="18"/>
      <c r="B2960" s="14">
        <f>IFERROR(__xludf.DUMMYFUNCTION("""COMPUTED_VALUE"""),1194258.0)</f>
        <v>1194258</v>
      </c>
      <c r="C2960" s="14" t="str">
        <f>IFERROR(__xludf.DUMMYFUNCTION("""COMPUTED_VALUE"""),"李德晉")</f>
        <v>李德晉</v>
      </c>
      <c r="D2960" s="16" t="str">
        <f>IFERROR(__xludf.DUMMYFUNCTION("""COMPUTED_VALUE"""),"s04*****.kh@mail.edu.tw")</f>
        <v>s04*****.kh@mail.edu.tw</v>
      </c>
      <c r="E2960" s="17" t="str">
        <f>IFERROR(__xludf.DUMMYFUNCTION("""COMPUTED_VALUE"""),"高雄市立翠屏國民中小學國中部")</f>
        <v>高雄市立翠屏國民中小學國中部</v>
      </c>
      <c r="F2960" s="14" t="str">
        <f>IFERROR(__xludf.DUMMYFUNCTION("""COMPUTED_VALUE"""),"八年級")</f>
        <v>八年級</v>
      </c>
      <c r="G2960" s="14" t="str">
        <f>IFERROR(__xludf.DUMMYFUNCTION("""COMPUTED_VALUE"""),"獎狀")</f>
        <v>獎狀</v>
      </c>
      <c r="H2960" s="8"/>
    </row>
    <row r="2961">
      <c r="A2961" s="18"/>
      <c r="B2961" s="14">
        <f>IFERROR(__xludf.DUMMYFUNCTION("""COMPUTED_VALUE"""),1193755.0)</f>
        <v>1193755</v>
      </c>
      <c r="C2961" s="14" t="str">
        <f>IFERROR(__xludf.DUMMYFUNCTION("""COMPUTED_VALUE"""),"林予喬")</f>
        <v>林予喬</v>
      </c>
      <c r="D2961" s="16" t="str">
        <f>IFERROR(__xludf.DUMMYFUNCTION("""COMPUTED_VALUE"""),"hte*****0624@mail.edu.tw")</f>
        <v>hte*****0624@mail.edu.tw</v>
      </c>
      <c r="E2961" s="17" t="str">
        <f>IFERROR(__xludf.DUMMYFUNCTION("""COMPUTED_VALUE"""),"高雄市立翠屏國民中小學國中部")</f>
        <v>高雄市立翠屏國民中小學國中部</v>
      </c>
      <c r="F2961" s="14" t="str">
        <f>IFERROR(__xludf.DUMMYFUNCTION("""COMPUTED_VALUE"""),"八年級")</f>
        <v>八年級</v>
      </c>
      <c r="G2961" s="14" t="str">
        <f>IFERROR(__xludf.DUMMYFUNCTION("""COMPUTED_VALUE"""),"獎狀")</f>
        <v>獎狀</v>
      </c>
      <c r="H2961" s="8"/>
    </row>
    <row r="2962">
      <c r="A2962" s="18"/>
      <c r="B2962" s="14">
        <f>IFERROR(__xludf.DUMMYFUNCTION("""COMPUTED_VALUE"""),1193775.0)</f>
        <v>1193775</v>
      </c>
      <c r="C2962" s="14" t="str">
        <f>IFERROR(__xludf.DUMMYFUNCTION("""COMPUTED_VALUE"""),"侯照宣")</f>
        <v>侯照宣</v>
      </c>
      <c r="D2962" s="16" t="str">
        <f>IFERROR(__xludf.DUMMYFUNCTION("""COMPUTED_VALUE"""),"s04*****@mail.edu.tw")</f>
        <v>s04*****@mail.edu.tw</v>
      </c>
      <c r="E2962" s="17" t="str">
        <f>IFERROR(__xludf.DUMMYFUNCTION("""COMPUTED_VALUE"""),"高雄市立翠屏國民中小學國中部")</f>
        <v>高雄市立翠屏國民中小學國中部</v>
      </c>
      <c r="F2962" s="14" t="str">
        <f>IFERROR(__xludf.DUMMYFUNCTION("""COMPUTED_VALUE"""),"八年級")</f>
        <v>八年級</v>
      </c>
      <c r="G2962" s="14" t="str">
        <f>IFERROR(__xludf.DUMMYFUNCTION("""COMPUTED_VALUE"""),"獎狀")</f>
        <v>獎狀</v>
      </c>
      <c r="H2962" s="8"/>
    </row>
    <row r="2963">
      <c r="A2963" s="18"/>
      <c r="B2963" s="14">
        <f>IFERROR(__xludf.DUMMYFUNCTION("""COMPUTED_VALUE"""),1193742.0)</f>
        <v>1193742</v>
      </c>
      <c r="C2963" s="14" t="str">
        <f>IFERROR(__xludf.DUMMYFUNCTION("""COMPUTED_VALUE"""),"莊智鈞")</f>
        <v>莊智鈞</v>
      </c>
      <c r="D2963" s="16" t="str">
        <f>IFERROR(__xludf.DUMMYFUNCTION("""COMPUTED_VALUE"""),"s04*****.kh@mail.edu.tw")</f>
        <v>s04*****.kh@mail.edu.tw</v>
      </c>
      <c r="E2963" s="17" t="str">
        <f>IFERROR(__xludf.DUMMYFUNCTION("""COMPUTED_VALUE"""),"高雄市立翠屏國民中小學國中部")</f>
        <v>高雄市立翠屏國民中小學國中部</v>
      </c>
      <c r="F2963" s="14" t="str">
        <f>IFERROR(__xludf.DUMMYFUNCTION("""COMPUTED_VALUE"""),"八年級")</f>
        <v>八年級</v>
      </c>
      <c r="G2963" s="14" t="str">
        <f>IFERROR(__xludf.DUMMYFUNCTION("""COMPUTED_VALUE"""),"獎狀")</f>
        <v>獎狀</v>
      </c>
      <c r="H2963" s="8"/>
    </row>
    <row r="2964">
      <c r="A2964" s="18"/>
      <c r="B2964" s="14">
        <f>IFERROR(__xludf.DUMMYFUNCTION("""COMPUTED_VALUE"""),1193786.0)</f>
        <v>1193786</v>
      </c>
      <c r="C2964" s="14" t="str">
        <f>IFERROR(__xludf.DUMMYFUNCTION("""COMPUTED_VALUE"""),"陳璿宇")</f>
        <v>陳璿宇</v>
      </c>
      <c r="D2964" s="16" t="str">
        <f>IFERROR(__xludf.DUMMYFUNCTION("""COMPUTED_VALUE"""),"s04*****@mail.edu.tw")</f>
        <v>s04*****@mail.edu.tw</v>
      </c>
      <c r="E2964" s="17" t="str">
        <f>IFERROR(__xludf.DUMMYFUNCTION("""COMPUTED_VALUE"""),"高雄市立翠屏國民中小學國中部")</f>
        <v>高雄市立翠屏國民中小學國中部</v>
      </c>
      <c r="F2964" s="14" t="str">
        <f>IFERROR(__xludf.DUMMYFUNCTION("""COMPUTED_VALUE"""),"八年級")</f>
        <v>八年級</v>
      </c>
      <c r="G2964" s="14" t="str">
        <f>IFERROR(__xludf.DUMMYFUNCTION("""COMPUTED_VALUE"""),"獎狀")</f>
        <v>獎狀</v>
      </c>
      <c r="H2964" s="8"/>
    </row>
    <row r="2965">
      <c r="A2965" s="18"/>
      <c r="B2965" s="14">
        <f>IFERROR(__xludf.DUMMYFUNCTION("""COMPUTED_VALUE"""),1204104.0)</f>
        <v>1204104</v>
      </c>
      <c r="C2965" s="14" t="str">
        <f>IFERROR(__xludf.DUMMYFUNCTION("""COMPUTED_VALUE"""),"盧韻晴")</f>
        <v>盧韻晴</v>
      </c>
      <c r="D2965" s="16" t="str">
        <f>IFERROR(__xludf.DUMMYFUNCTION("""COMPUTED_VALUE"""),"s04*****.kh@mail.edu.tw")</f>
        <v>s04*****.kh@mail.edu.tw</v>
      </c>
      <c r="E2965" s="17" t="str">
        <f>IFERROR(__xludf.DUMMYFUNCTION("""COMPUTED_VALUE"""),"高雄市立翠屏國民中小學國中部")</f>
        <v>高雄市立翠屏國民中小學國中部</v>
      </c>
      <c r="F2965" s="14" t="str">
        <f>IFERROR(__xludf.DUMMYFUNCTION("""COMPUTED_VALUE"""),"八年級")</f>
        <v>八年級</v>
      </c>
      <c r="G2965" s="14" t="str">
        <f>IFERROR(__xludf.DUMMYFUNCTION("""COMPUTED_VALUE"""),"獎狀")</f>
        <v>獎狀</v>
      </c>
      <c r="H2965" s="8"/>
    </row>
    <row r="2966">
      <c r="A2966" s="18"/>
      <c r="B2966" s="14">
        <f>IFERROR(__xludf.DUMMYFUNCTION("""COMPUTED_VALUE"""),1193973.0)</f>
        <v>1193973</v>
      </c>
      <c r="C2966" s="14" t="str">
        <f>IFERROR(__xludf.DUMMYFUNCTION("""COMPUTED_VALUE"""),"李姿穎")</f>
        <v>李姿穎</v>
      </c>
      <c r="D2966" s="16" t="str">
        <f>IFERROR(__xludf.DUMMYFUNCTION("""COMPUTED_VALUE"""),"s04*****.kh@mail.edu.tw")</f>
        <v>s04*****.kh@mail.edu.tw</v>
      </c>
      <c r="E2966" s="17" t="str">
        <f>IFERROR(__xludf.DUMMYFUNCTION("""COMPUTED_VALUE"""),"高雄市立翠屏國民中小學國中部")</f>
        <v>高雄市立翠屏國民中小學國中部</v>
      </c>
      <c r="F2966" s="14" t="str">
        <f>IFERROR(__xludf.DUMMYFUNCTION("""COMPUTED_VALUE"""),"八年級")</f>
        <v>八年級</v>
      </c>
      <c r="G2966" s="14" t="str">
        <f>IFERROR(__xludf.DUMMYFUNCTION("""COMPUTED_VALUE"""),"●小禮物")</f>
        <v>●小禮物</v>
      </c>
      <c r="H2966" s="8"/>
    </row>
    <row r="2967">
      <c r="A2967" s="18"/>
      <c r="B2967" s="14">
        <f>IFERROR(__xludf.DUMMYFUNCTION("""COMPUTED_VALUE"""),1194285.0)</f>
        <v>1194285</v>
      </c>
      <c r="C2967" s="14" t="str">
        <f>IFERROR(__xludf.DUMMYFUNCTION("""COMPUTED_VALUE"""),"李家瑄")</f>
        <v>李家瑄</v>
      </c>
      <c r="D2967" s="16" t="str">
        <f>IFERROR(__xludf.DUMMYFUNCTION("""COMPUTED_VALUE"""),"102*****tpjh.kh.edu.tw")</f>
        <v>102*****tpjh.kh.edu.tw</v>
      </c>
      <c r="E2967" s="17" t="str">
        <f>IFERROR(__xludf.DUMMYFUNCTION("""COMPUTED_VALUE"""),"高雄市立翠屏國民中小學國中部")</f>
        <v>高雄市立翠屏國民中小學國中部</v>
      </c>
      <c r="F2967" s="14" t="str">
        <f>IFERROR(__xludf.DUMMYFUNCTION("""COMPUTED_VALUE"""),"八年級")</f>
        <v>八年級</v>
      </c>
      <c r="G2967" s="14" t="str">
        <f>IFERROR(__xludf.DUMMYFUNCTION("""COMPUTED_VALUE"""),"●小禮物")</f>
        <v>●小禮物</v>
      </c>
      <c r="H2967" s="8"/>
    </row>
    <row r="2968">
      <c r="A2968" s="18"/>
      <c r="B2968" s="14">
        <f>IFERROR(__xludf.DUMMYFUNCTION("""COMPUTED_VALUE"""),1058985.0)</f>
        <v>1058985</v>
      </c>
      <c r="C2968" s="14" t="str">
        <f>IFERROR(__xludf.DUMMYFUNCTION("""COMPUTED_VALUE"""),"林芷言")</f>
        <v>林芷言</v>
      </c>
      <c r="D2968" s="16" t="str">
        <f>IFERROR(__xludf.DUMMYFUNCTION("""COMPUTED_VALUE"""),"s04*****.kh@mail.edu.tw")</f>
        <v>s04*****.kh@mail.edu.tw</v>
      </c>
      <c r="E2968" s="17" t="str">
        <f>IFERROR(__xludf.DUMMYFUNCTION("""COMPUTED_VALUE"""),"高雄市立翠屏國民中小學國中部")</f>
        <v>高雄市立翠屏國民中小學國中部</v>
      </c>
      <c r="F2968" s="14" t="str">
        <f>IFERROR(__xludf.DUMMYFUNCTION("""COMPUTED_VALUE"""),"八年級")</f>
        <v>八年級</v>
      </c>
      <c r="G2968" s="14" t="str">
        <f>IFERROR(__xludf.DUMMYFUNCTION("""COMPUTED_VALUE"""),"●小禮物")</f>
        <v>●小禮物</v>
      </c>
      <c r="H2968" s="8"/>
    </row>
    <row r="2969">
      <c r="A2969" s="18"/>
      <c r="B2969" s="14">
        <f>IFERROR(__xludf.DUMMYFUNCTION("""COMPUTED_VALUE"""),1213677.0)</f>
        <v>1213677</v>
      </c>
      <c r="C2969" s="14" t="str">
        <f>IFERROR(__xludf.DUMMYFUNCTION("""COMPUTED_VALUE"""),"張詠棋")</f>
        <v>張詠棋</v>
      </c>
      <c r="D2969" s="16" t="str">
        <f>IFERROR(__xludf.DUMMYFUNCTION("""COMPUTED_VALUE"""),"jam*****618@gmail.com")</f>
        <v>jam*****618@gmail.com</v>
      </c>
      <c r="E2969" s="17" t="str">
        <f>IFERROR(__xludf.DUMMYFUNCTION("""COMPUTED_VALUE"""),"高雄市立翠屏國民中小學國中部")</f>
        <v>高雄市立翠屏國民中小學國中部</v>
      </c>
      <c r="F2969" s="14" t="str">
        <f>IFERROR(__xludf.DUMMYFUNCTION("""COMPUTED_VALUE"""),"八年級")</f>
        <v>八年級</v>
      </c>
      <c r="G2969" s="14" t="str">
        <f>IFERROR(__xludf.DUMMYFUNCTION("""COMPUTED_VALUE"""),"●小禮物")</f>
        <v>●小禮物</v>
      </c>
      <c r="H2969" s="8"/>
    </row>
    <row r="2970">
      <c r="A2970" s="18"/>
      <c r="B2970" s="14">
        <f>IFERROR(__xludf.DUMMYFUNCTION("""COMPUTED_VALUE"""),1067263.0)</f>
        <v>1067263</v>
      </c>
      <c r="C2970" s="14" t="str">
        <f>IFERROR(__xludf.DUMMYFUNCTION("""COMPUTED_VALUE"""),"黃以詩")</f>
        <v>黃以詩</v>
      </c>
      <c r="D2970" s="16" t="str">
        <f>IFERROR(__xludf.DUMMYFUNCTION("""COMPUTED_VALUE"""),"102*****tpjh.kh.edu.tw")</f>
        <v>102*****tpjh.kh.edu.tw</v>
      </c>
      <c r="E2970" s="17" t="str">
        <f>IFERROR(__xludf.DUMMYFUNCTION("""COMPUTED_VALUE"""),"高雄市立翠屏國民中小學國中部")</f>
        <v>高雄市立翠屏國民中小學國中部</v>
      </c>
      <c r="F2970" s="14" t="str">
        <f>IFERROR(__xludf.DUMMYFUNCTION("""COMPUTED_VALUE"""),"八年級")</f>
        <v>八年級</v>
      </c>
      <c r="G2970" s="14" t="str">
        <f>IFERROR(__xludf.DUMMYFUNCTION("""COMPUTED_VALUE"""),"●小禮物")</f>
        <v>●小禮物</v>
      </c>
      <c r="H2970" s="8"/>
    </row>
    <row r="2971">
      <c r="A2971" s="18"/>
      <c r="B2971" s="14">
        <f>IFERROR(__xludf.DUMMYFUNCTION("""COMPUTED_VALUE"""),1059047.0)</f>
        <v>1059047</v>
      </c>
      <c r="C2971" s="14" t="str">
        <f>IFERROR(__xludf.DUMMYFUNCTION("""COMPUTED_VALUE"""),"楊君怡")</f>
        <v>楊君怡</v>
      </c>
      <c r="D2971" s="16" t="str">
        <f>IFERROR(__xludf.DUMMYFUNCTION("""COMPUTED_VALUE"""),"102*****tpjh.kh.edu.tw")</f>
        <v>102*****tpjh.kh.edu.tw</v>
      </c>
      <c r="E2971" s="17" t="str">
        <f>IFERROR(__xludf.DUMMYFUNCTION("""COMPUTED_VALUE"""),"高雄市立翠屏國民中小學國中部")</f>
        <v>高雄市立翠屏國民中小學國中部</v>
      </c>
      <c r="F2971" s="14" t="str">
        <f>IFERROR(__xludf.DUMMYFUNCTION("""COMPUTED_VALUE"""),"八年級")</f>
        <v>八年級</v>
      </c>
      <c r="G2971" s="14" t="str">
        <f>IFERROR(__xludf.DUMMYFUNCTION("""COMPUTED_VALUE"""),"●小禮物")</f>
        <v>●小禮物</v>
      </c>
      <c r="H2971" s="8"/>
    </row>
    <row r="2972">
      <c r="A2972" s="18"/>
      <c r="B2972" s="14">
        <f>IFERROR(__xludf.DUMMYFUNCTION("""COMPUTED_VALUE"""),1059044.0)</f>
        <v>1059044</v>
      </c>
      <c r="C2972" s="14" t="str">
        <f>IFERROR(__xludf.DUMMYFUNCTION("""COMPUTED_VALUE"""),"邱慧愛")</f>
        <v>邱慧愛</v>
      </c>
      <c r="D2972" s="16" t="str">
        <f>IFERROR(__xludf.DUMMYFUNCTION("""COMPUTED_VALUE"""),"102*****tpjh.kh.edu.tw")</f>
        <v>102*****tpjh.kh.edu.tw</v>
      </c>
      <c r="E2972" s="17" t="str">
        <f>IFERROR(__xludf.DUMMYFUNCTION("""COMPUTED_VALUE"""),"高雄市立翠屏國民中小學國中部")</f>
        <v>高雄市立翠屏國民中小學國中部</v>
      </c>
      <c r="F2972" s="14" t="str">
        <f>IFERROR(__xludf.DUMMYFUNCTION("""COMPUTED_VALUE"""),"八年級")</f>
        <v>八年級</v>
      </c>
      <c r="G2972" s="14" t="str">
        <f>IFERROR(__xludf.DUMMYFUNCTION("""COMPUTED_VALUE"""),"獎狀")</f>
        <v>獎狀</v>
      </c>
      <c r="H2972" s="8"/>
    </row>
    <row r="2973">
      <c r="A2973" s="18"/>
      <c r="B2973" s="14">
        <f>IFERROR(__xludf.DUMMYFUNCTION("""COMPUTED_VALUE"""),1193974.0)</f>
        <v>1193974</v>
      </c>
      <c r="C2973" s="14" t="str">
        <f>IFERROR(__xludf.DUMMYFUNCTION("""COMPUTED_VALUE"""),"柯欣妍")</f>
        <v>柯欣妍</v>
      </c>
      <c r="D2973" s="16" t="str">
        <f>IFERROR(__xludf.DUMMYFUNCTION("""COMPUTED_VALUE"""),"s04*****.kh@mail.edu.tw")</f>
        <v>s04*****.kh@mail.edu.tw</v>
      </c>
      <c r="E2973" s="17" t="str">
        <f>IFERROR(__xludf.DUMMYFUNCTION("""COMPUTED_VALUE"""),"高雄市立翠屏國民中小學國中部")</f>
        <v>高雄市立翠屏國民中小學國中部</v>
      </c>
      <c r="F2973" s="14" t="str">
        <f>IFERROR(__xludf.DUMMYFUNCTION("""COMPUTED_VALUE"""),"八年級")</f>
        <v>八年級</v>
      </c>
      <c r="G2973" s="14" t="str">
        <f>IFERROR(__xludf.DUMMYFUNCTION("""COMPUTED_VALUE"""),"獎狀")</f>
        <v>獎狀</v>
      </c>
      <c r="H2973" s="8"/>
    </row>
    <row r="2974">
      <c r="A2974" s="18"/>
      <c r="B2974" s="14">
        <f>IFERROR(__xludf.DUMMYFUNCTION("""COMPUTED_VALUE"""),1059036.0)</f>
        <v>1059036</v>
      </c>
      <c r="C2974" s="14" t="str">
        <f>IFERROR(__xludf.DUMMYFUNCTION("""COMPUTED_VALUE"""),"胡念貞")</f>
        <v>胡念貞</v>
      </c>
      <c r="D2974" s="16" t="str">
        <f>IFERROR(__xludf.DUMMYFUNCTION("""COMPUTED_VALUE"""),"102*****tpjh.kh.edu.tw")</f>
        <v>102*****tpjh.kh.edu.tw</v>
      </c>
      <c r="E2974" s="17" t="str">
        <f>IFERROR(__xludf.DUMMYFUNCTION("""COMPUTED_VALUE"""),"高雄市立翠屏國民中小學國中部")</f>
        <v>高雄市立翠屏國民中小學國中部</v>
      </c>
      <c r="F2974" s="14" t="str">
        <f>IFERROR(__xludf.DUMMYFUNCTION("""COMPUTED_VALUE"""),"八年級")</f>
        <v>八年級</v>
      </c>
      <c r="G2974" s="14" t="str">
        <f>IFERROR(__xludf.DUMMYFUNCTION("""COMPUTED_VALUE"""),"獎狀")</f>
        <v>獎狀</v>
      </c>
      <c r="H2974" s="8"/>
    </row>
    <row r="2975">
      <c r="A2975" s="18"/>
      <c r="B2975" s="14">
        <f>IFERROR(__xludf.DUMMYFUNCTION("""COMPUTED_VALUE"""),1193981.0)</f>
        <v>1193981</v>
      </c>
      <c r="C2975" s="14" t="str">
        <f>IFERROR(__xludf.DUMMYFUNCTION("""COMPUTED_VALUE"""),"陳瓊玉")</f>
        <v>陳瓊玉</v>
      </c>
      <c r="D2975" s="16" t="str">
        <f>IFERROR(__xludf.DUMMYFUNCTION("""COMPUTED_VALUE"""),"s04*****.kh@mail.edu.tw")</f>
        <v>s04*****.kh@mail.edu.tw</v>
      </c>
      <c r="E2975" s="17" t="str">
        <f>IFERROR(__xludf.DUMMYFUNCTION("""COMPUTED_VALUE"""),"高雄市立翠屏國民中小學國中部")</f>
        <v>高雄市立翠屏國民中小學國中部</v>
      </c>
      <c r="F2975" s="14" t="str">
        <f>IFERROR(__xludf.DUMMYFUNCTION("""COMPUTED_VALUE"""),"八年級")</f>
        <v>八年級</v>
      </c>
      <c r="G2975" s="14" t="str">
        <f>IFERROR(__xludf.DUMMYFUNCTION("""COMPUTED_VALUE"""),"獎狀")</f>
        <v>獎狀</v>
      </c>
      <c r="H2975" s="8"/>
    </row>
    <row r="2976">
      <c r="A2976" s="18"/>
      <c r="B2976" s="14">
        <f>IFERROR(__xludf.DUMMYFUNCTION("""COMPUTED_VALUE"""),1059082.0)</f>
        <v>1059082</v>
      </c>
      <c r="C2976" s="14" t="str">
        <f>IFERROR(__xludf.DUMMYFUNCTION("""COMPUTED_VALUE"""),"黃國溏")</f>
        <v>黃國溏</v>
      </c>
      <c r="D2976" s="16" t="str">
        <f>IFERROR(__xludf.DUMMYFUNCTION("""COMPUTED_VALUE"""),"101*****tpjh.kh.edu.tw")</f>
        <v>101*****tpjh.kh.edu.tw</v>
      </c>
      <c r="E2976" s="17" t="str">
        <f>IFERROR(__xludf.DUMMYFUNCTION("""COMPUTED_VALUE"""),"高雄市立翠屏國民中小學國中部")</f>
        <v>高雄市立翠屏國民中小學國中部</v>
      </c>
      <c r="F2976" s="14" t="str">
        <f>IFERROR(__xludf.DUMMYFUNCTION("""COMPUTED_VALUE"""),"八年級")</f>
        <v>八年級</v>
      </c>
      <c r="G2976" s="14" t="str">
        <f>IFERROR(__xludf.DUMMYFUNCTION("""COMPUTED_VALUE"""),"獎狀")</f>
        <v>獎狀</v>
      </c>
      <c r="H2976" s="8"/>
    </row>
    <row r="2977">
      <c r="A2977" s="18"/>
      <c r="B2977" s="14">
        <f>IFERROR(__xludf.DUMMYFUNCTION("""COMPUTED_VALUE"""),1067466.0)</f>
        <v>1067466</v>
      </c>
      <c r="C2977" s="14" t="str">
        <f>IFERROR(__xludf.DUMMYFUNCTION("""COMPUTED_VALUE"""),"謝侑廷")</f>
        <v>謝侑廷</v>
      </c>
      <c r="D2977" s="16" t="str">
        <f>IFERROR(__xludf.DUMMYFUNCTION("""COMPUTED_VALUE"""),"s04*****.kh@mail.edu.tw")</f>
        <v>s04*****.kh@mail.edu.tw</v>
      </c>
      <c r="E2977" s="17" t="str">
        <f>IFERROR(__xludf.DUMMYFUNCTION("""COMPUTED_VALUE"""),"高雄市立翠屏國民中小學國中部")</f>
        <v>高雄市立翠屏國民中小學國中部</v>
      </c>
      <c r="F2977" s="14" t="str">
        <f>IFERROR(__xludf.DUMMYFUNCTION("""COMPUTED_VALUE"""),"八年級")</f>
        <v>八年級</v>
      </c>
      <c r="G2977" s="14" t="str">
        <f>IFERROR(__xludf.DUMMYFUNCTION("""COMPUTED_VALUE"""),"獎狀")</f>
        <v>獎狀</v>
      </c>
      <c r="H2977" s="8"/>
    </row>
    <row r="2978">
      <c r="A2978" s="18"/>
      <c r="B2978" s="14">
        <f>IFERROR(__xludf.DUMMYFUNCTION("""COMPUTED_VALUE"""),246415.0)</f>
        <v>246415</v>
      </c>
      <c r="C2978" s="14" t="str">
        <f>IFERROR(__xludf.DUMMYFUNCTION("""COMPUTED_VALUE"""),"傅筱晴")</f>
        <v>傅筱晴</v>
      </c>
      <c r="D2978" s="16" t="str">
        <f>IFERROR(__xludf.DUMMYFUNCTION("""COMPUTED_VALUE"""),"lil*****345li@gmail.com")</f>
        <v>lil*****345li@gmail.com</v>
      </c>
      <c r="E2978" s="17" t="str">
        <f>IFERROR(__xludf.DUMMYFUNCTION("""COMPUTED_VALUE"""),"高雄市立國昌國民中學")</f>
        <v>高雄市立國昌國民中學</v>
      </c>
      <c r="F2978" s="14" t="str">
        <f>IFERROR(__xludf.DUMMYFUNCTION("""COMPUTED_VALUE"""),"七年級")</f>
        <v>七年級</v>
      </c>
      <c r="G2978" s="14" t="str">
        <f>IFERROR(__xludf.DUMMYFUNCTION("""COMPUTED_VALUE"""),"★禮券$200")</f>
        <v>★禮券$200</v>
      </c>
      <c r="H2978" s="8"/>
    </row>
    <row r="2979">
      <c r="A2979" s="18"/>
      <c r="B2979" s="14">
        <f>IFERROR(__xludf.DUMMYFUNCTION("""COMPUTED_VALUE"""),308311.0)</f>
        <v>308311</v>
      </c>
      <c r="C2979" s="14" t="str">
        <f>IFERROR(__xludf.DUMMYFUNCTION("""COMPUTED_VALUE"""),"黃宥翔")</f>
        <v>黃宥翔</v>
      </c>
      <c r="D2979" s="16" t="str">
        <f>IFERROR(__xludf.DUMMYFUNCTION("""COMPUTED_VALUE"""),"she*****me@yahoo.com.tw")</f>
        <v>she*****me@yahoo.com.tw</v>
      </c>
      <c r="E2979" s="17" t="str">
        <f>IFERROR(__xludf.DUMMYFUNCTION("""COMPUTED_VALUE"""),"高雄市立右昌國民中學")</f>
        <v>高雄市立右昌國民中學</v>
      </c>
      <c r="F2979" s="14" t="str">
        <f>IFERROR(__xludf.DUMMYFUNCTION("""COMPUTED_VALUE"""),"七年級")</f>
        <v>七年級</v>
      </c>
      <c r="G2979" s="14" t="str">
        <f>IFERROR(__xludf.DUMMYFUNCTION("""COMPUTED_VALUE"""),"獎狀")</f>
        <v>獎狀</v>
      </c>
      <c r="H2979" s="8"/>
    </row>
    <row r="2980">
      <c r="A2980" s="18"/>
      <c r="B2980" s="14">
        <f>IFERROR(__xludf.DUMMYFUNCTION("""COMPUTED_VALUE"""),1099668.0)</f>
        <v>1099668</v>
      </c>
      <c r="C2980" s="14" t="str">
        <f>IFERROR(__xludf.DUMMYFUNCTION("""COMPUTED_VALUE"""),"李婕琳")</f>
        <v>李婕琳</v>
      </c>
      <c r="D2980" s="16" t="str">
        <f>IFERROR(__xludf.DUMMYFUNCTION("""COMPUTED_VALUE"""),"s10*****@csjh.kh.edu.tw")</f>
        <v>s10*****@csjh.kh.edu.tw</v>
      </c>
      <c r="E2980" s="17" t="str">
        <f>IFERROR(__xludf.DUMMYFUNCTION("""COMPUTED_VALUE"""),"高雄市立中山國民中學")</f>
        <v>高雄市立中山國民中學</v>
      </c>
      <c r="F2980" s="14" t="str">
        <f>IFERROR(__xludf.DUMMYFUNCTION("""COMPUTED_VALUE"""),"八年級")</f>
        <v>八年級</v>
      </c>
      <c r="G2980" s="14" t="str">
        <f>IFERROR(__xludf.DUMMYFUNCTION("""COMPUTED_VALUE"""),"獎狀")</f>
        <v>獎狀</v>
      </c>
      <c r="H2980" s="8"/>
    </row>
    <row r="2981">
      <c r="A2981" s="18"/>
      <c r="B2981" s="14">
        <f>IFERROR(__xludf.DUMMYFUNCTION("""COMPUTED_VALUE"""),1189657.0)</f>
        <v>1189657</v>
      </c>
      <c r="C2981" s="14" t="str">
        <f>IFERROR(__xludf.DUMMYFUNCTION("""COMPUTED_VALUE"""),"劉芃妘")</f>
        <v>劉芃妘</v>
      </c>
      <c r="D2981" s="16" t="str">
        <f>IFERROR(__xludf.DUMMYFUNCTION("""COMPUTED_VALUE"""),"s04*****.kh@go.edu.tw")</f>
        <v>s04*****.kh@go.edu.tw</v>
      </c>
      <c r="E2981" s="17" t="str">
        <f>IFERROR(__xludf.DUMMYFUNCTION("""COMPUTED_VALUE"""),"高雄市立龍華國民中學")</f>
        <v>高雄市立龍華國民中學</v>
      </c>
      <c r="F2981" s="14" t="str">
        <f>IFERROR(__xludf.DUMMYFUNCTION("""COMPUTED_VALUE"""),"八年級")</f>
        <v>八年級</v>
      </c>
      <c r="G2981" s="14" t="str">
        <f>IFERROR(__xludf.DUMMYFUNCTION("""COMPUTED_VALUE"""),"●小禮物")</f>
        <v>●小禮物</v>
      </c>
      <c r="H2981" s="8"/>
    </row>
    <row r="2982">
      <c r="A2982" s="18"/>
      <c r="B2982" s="14">
        <f>IFERROR(__xludf.DUMMYFUNCTION("""COMPUTED_VALUE"""),161049.0)</f>
        <v>161049</v>
      </c>
      <c r="C2982" s="14" t="str">
        <f>IFERROR(__xludf.DUMMYFUNCTION("""COMPUTED_VALUE"""),"蘇苡瑈")</f>
        <v>蘇苡瑈</v>
      </c>
      <c r="D2982" s="16" t="str">
        <f>IFERROR(__xludf.DUMMYFUNCTION("""COMPUTED_VALUE"""),"lis*****08@gmail.com")</f>
        <v>lis*****08@gmail.com</v>
      </c>
      <c r="E2982" s="17" t="str">
        <f>IFERROR(__xludf.DUMMYFUNCTION("""COMPUTED_VALUE"""),"高雄市立福山國民中學")</f>
        <v>高雄市立福山國民中學</v>
      </c>
      <c r="F2982" s="14" t="str">
        <f>IFERROR(__xludf.DUMMYFUNCTION("""COMPUTED_VALUE"""),"八年級")</f>
        <v>八年級</v>
      </c>
      <c r="G2982" s="14" t="str">
        <f>IFERROR(__xludf.DUMMYFUNCTION("""COMPUTED_VALUE"""),"獎狀")</f>
        <v>獎狀</v>
      </c>
      <c r="H2982" s="8"/>
    </row>
    <row r="2983">
      <c r="A2983" s="18"/>
      <c r="B2983" s="14">
        <f>IFERROR(__xludf.DUMMYFUNCTION("""COMPUTED_VALUE"""),1110884.0)</f>
        <v>1110884</v>
      </c>
      <c r="C2983" s="14" t="str">
        <f>IFERROR(__xludf.DUMMYFUNCTION("""COMPUTED_VALUE"""),"陳泳銘")</f>
        <v>陳泳銘</v>
      </c>
      <c r="D2983" s="16" t="str">
        <f>IFERROR(__xludf.DUMMYFUNCTION("""COMPUTED_VALUE"""),"min*****31@gmail.com")</f>
        <v>min*****31@gmail.com</v>
      </c>
      <c r="E2983" s="17" t="str">
        <f>IFERROR(__xludf.DUMMYFUNCTION("""COMPUTED_VALUE"""),"高雄市立大社國民中學")</f>
        <v>高雄市立大社國民中學</v>
      </c>
      <c r="F2983" s="14" t="str">
        <f>IFERROR(__xludf.DUMMYFUNCTION("""COMPUTED_VALUE"""),"九年級")</f>
        <v>九年級</v>
      </c>
      <c r="G2983" s="14" t="str">
        <f>IFERROR(__xludf.DUMMYFUNCTION("""COMPUTED_VALUE"""),"獎狀")</f>
        <v>獎狀</v>
      </c>
      <c r="H2983" s="8"/>
    </row>
    <row r="2984">
      <c r="A2984" s="18"/>
      <c r="B2984" s="14">
        <f>IFERROR(__xludf.DUMMYFUNCTION("""COMPUTED_VALUE"""),977065.0)</f>
        <v>977065</v>
      </c>
      <c r="C2984" s="14" t="str">
        <f>IFERROR(__xludf.DUMMYFUNCTION("""COMPUTED_VALUE"""),"曾芮喬")</f>
        <v>曾芮喬</v>
      </c>
      <c r="D2984" s="16" t="str">
        <f>IFERROR(__xludf.DUMMYFUNCTION("""COMPUTED_VALUE"""),"cur*****0@gmail.com")</f>
        <v>cur*****0@gmail.com</v>
      </c>
      <c r="E2984" s="17" t="str">
        <f>IFERROR(__xludf.DUMMYFUNCTION("""COMPUTED_VALUE"""),"高雄市立岡山國民中學")</f>
        <v>高雄市立岡山國民中學</v>
      </c>
      <c r="F2984" s="14" t="str">
        <f>IFERROR(__xludf.DUMMYFUNCTION("""COMPUTED_VALUE"""),"七年級")</f>
        <v>七年級</v>
      </c>
      <c r="G2984" s="14" t="str">
        <f>IFERROR(__xludf.DUMMYFUNCTION("""COMPUTED_VALUE"""),"獎狀")</f>
        <v>獎狀</v>
      </c>
      <c r="H2984" s="8"/>
    </row>
    <row r="2985">
      <c r="A2985" s="18"/>
      <c r="B2985" s="14">
        <f>IFERROR(__xludf.DUMMYFUNCTION("""COMPUTED_VALUE"""),833393.0)</f>
        <v>833393</v>
      </c>
      <c r="C2985" s="14" t="str">
        <f>IFERROR(__xludf.DUMMYFUNCTION("""COMPUTED_VALUE"""),"梁沛淇")</f>
        <v>梁沛淇</v>
      </c>
      <c r="D2985" s="16" t="str">
        <f>IFERROR(__xludf.DUMMYFUNCTION("""COMPUTED_VALUE"""),"s05*****.kh@mail.edu.tw")</f>
        <v>s05*****.kh@mail.edu.tw</v>
      </c>
      <c r="E2985" s="17" t="str">
        <f>IFERROR(__xludf.DUMMYFUNCTION("""COMPUTED_VALUE"""),"高雄市立阿蓮國民中學")</f>
        <v>高雄市立阿蓮國民中學</v>
      </c>
      <c r="F2985" s="14" t="str">
        <f>IFERROR(__xludf.DUMMYFUNCTION("""COMPUTED_VALUE"""),"七年級")</f>
        <v>七年級</v>
      </c>
      <c r="G2985" s="14" t="str">
        <f>IFERROR(__xludf.DUMMYFUNCTION("""COMPUTED_VALUE"""),"●小禮物")</f>
        <v>●小禮物</v>
      </c>
      <c r="H2985" s="8"/>
    </row>
    <row r="2986">
      <c r="A2986" s="18"/>
      <c r="B2986" s="14">
        <f>IFERROR(__xludf.DUMMYFUNCTION("""COMPUTED_VALUE"""),766727.0)</f>
        <v>766727</v>
      </c>
      <c r="C2986" s="14" t="str">
        <f>IFERROR(__xludf.DUMMYFUNCTION("""COMPUTED_VALUE"""),"郭育秀")</f>
        <v>郭育秀</v>
      </c>
      <c r="D2986" s="16" t="str">
        <f>IFERROR(__xludf.DUMMYFUNCTION("""COMPUTED_VALUE"""),"ali*****731@mail.edu.tw")</f>
        <v>ali*****731@mail.edu.tw</v>
      </c>
      <c r="E2986" s="17" t="str">
        <f>IFERROR(__xludf.DUMMYFUNCTION("""COMPUTED_VALUE"""),"高雄市立阿蓮國民中學")</f>
        <v>高雄市立阿蓮國民中學</v>
      </c>
      <c r="F2986" s="14" t="str">
        <f>IFERROR(__xludf.DUMMYFUNCTION("""COMPUTED_VALUE"""),"七年級")</f>
        <v>七年級</v>
      </c>
      <c r="G2986" s="14" t="str">
        <f>IFERROR(__xludf.DUMMYFUNCTION("""COMPUTED_VALUE"""),"●小禮物")</f>
        <v>●小禮物</v>
      </c>
      <c r="H2986" s="8"/>
    </row>
    <row r="2987">
      <c r="A2987" s="18"/>
      <c r="B2987" s="14">
        <f>IFERROR(__xludf.DUMMYFUNCTION("""COMPUTED_VALUE"""),855525.0)</f>
        <v>855525</v>
      </c>
      <c r="C2987" s="14" t="str">
        <f>IFERROR(__xludf.DUMMYFUNCTION("""COMPUTED_VALUE"""),"盧品橙")</f>
        <v>盧品橙</v>
      </c>
      <c r="D2987" s="16" t="str">
        <f>IFERROR(__xludf.DUMMYFUNCTION("""COMPUTED_VALUE"""),"s04*****@mail.edu.tw")</f>
        <v>s04*****@mail.edu.tw</v>
      </c>
      <c r="E2987" s="17" t="str">
        <f>IFERROR(__xludf.DUMMYFUNCTION("""COMPUTED_VALUE"""),"高雄市立阿蓮國民中學")</f>
        <v>高雄市立阿蓮國民中學</v>
      </c>
      <c r="F2987" s="14" t="str">
        <f>IFERROR(__xludf.DUMMYFUNCTION("""COMPUTED_VALUE"""),"八年級")</f>
        <v>八年級</v>
      </c>
      <c r="G2987" s="14" t="str">
        <f>IFERROR(__xludf.DUMMYFUNCTION("""COMPUTED_VALUE"""),"●小禮物")</f>
        <v>●小禮物</v>
      </c>
      <c r="H2987" s="8"/>
    </row>
    <row r="2988">
      <c r="A2988" s="18"/>
      <c r="B2988" s="14">
        <f>IFERROR(__xludf.DUMMYFUNCTION("""COMPUTED_VALUE"""),859585.0)</f>
        <v>859585</v>
      </c>
      <c r="C2988" s="14" t="str">
        <f>IFERROR(__xludf.DUMMYFUNCTION("""COMPUTED_VALUE"""),"楊詠晴")</f>
        <v>楊詠晴</v>
      </c>
      <c r="D2988" s="16" t="str">
        <f>IFERROR(__xludf.DUMMYFUNCTION("""COMPUTED_VALUE"""),"s04*****.kh@mail.edu.tw")</f>
        <v>s04*****.kh@mail.edu.tw</v>
      </c>
      <c r="E2988" s="17" t="str">
        <f>IFERROR(__xludf.DUMMYFUNCTION("""COMPUTED_VALUE"""),"高雄市立阿蓮國民中學")</f>
        <v>高雄市立阿蓮國民中學</v>
      </c>
      <c r="F2988" s="14" t="str">
        <f>IFERROR(__xludf.DUMMYFUNCTION("""COMPUTED_VALUE"""),"八年級")</f>
        <v>八年級</v>
      </c>
      <c r="G2988" s="14" t="str">
        <f>IFERROR(__xludf.DUMMYFUNCTION("""COMPUTED_VALUE"""),"獎狀")</f>
        <v>獎狀</v>
      </c>
      <c r="H2988" s="8"/>
    </row>
    <row r="2989">
      <c r="A2989" s="18"/>
      <c r="B2989" s="14">
        <f>IFERROR(__xludf.DUMMYFUNCTION("""COMPUTED_VALUE"""),874710.0)</f>
        <v>874710</v>
      </c>
      <c r="C2989" s="14" t="str">
        <f>IFERROR(__xludf.DUMMYFUNCTION("""COMPUTED_VALUE"""),"吳顗喆")</f>
        <v>吳顗喆</v>
      </c>
      <c r="D2989" s="16" t="str">
        <f>IFERROR(__xludf.DUMMYFUNCTION("""COMPUTED_VALUE"""),"s04*****@mail.edu.tw")</f>
        <v>s04*****@mail.edu.tw</v>
      </c>
      <c r="E2989" s="17" t="str">
        <f>IFERROR(__xludf.DUMMYFUNCTION("""COMPUTED_VALUE"""),"高雄市立田寮國民中學")</f>
        <v>高雄市立田寮國民中學</v>
      </c>
      <c r="F2989" s="14" t="str">
        <f>IFERROR(__xludf.DUMMYFUNCTION("""COMPUTED_VALUE"""),"八年級")</f>
        <v>八年級</v>
      </c>
      <c r="G2989" s="14" t="str">
        <f>IFERROR(__xludf.DUMMYFUNCTION("""COMPUTED_VALUE"""),"●小禮物")</f>
        <v>●小禮物</v>
      </c>
      <c r="H2989" s="8"/>
    </row>
    <row r="2990">
      <c r="A2990" s="18"/>
      <c r="B2990" s="14">
        <f>IFERROR(__xludf.DUMMYFUNCTION("""COMPUTED_VALUE"""),540256.0)</f>
        <v>540256</v>
      </c>
      <c r="C2990" s="14" t="str">
        <f>IFERROR(__xludf.DUMMYFUNCTION("""COMPUTED_VALUE"""),"蔡昀叡")</f>
        <v>蔡昀叡</v>
      </c>
      <c r="D2990" s="16" t="str">
        <f>IFERROR(__xludf.DUMMYFUNCTION("""COMPUTED_VALUE"""),"kl0*****5@apps.klm.kh.edu.tw")</f>
        <v>kl0*****5@apps.klm.kh.edu.tw</v>
      </c>
      <c r="E2990" s="17" t="str">
        <f>IFERROR(__xludf.DUMMYFUNCTION("""COMPUTED_VALUE"""),"高雄市立蚵寮國民中學")</f>
        <v>高雄市立蚵寮國民中學</v>
      </c>
      <c r="F2990" s="14" t="str">
        <f>IFERROR(__xludf.DUMMYFUNCTION("""COMPUTED_VALUE"""),"九年級")</f>
        <v>九年級</v>
      </c>
      <c r="G2990" s="14" t="str">
        <f>IFERROR(__xludf.DUMMYFUNCTION("""COMPUTED_VALUE"""),"獎狀")</f>
        <v>獎狀</v>
      </c>
      <c r="H2990" s="8"/>
    </row>
    <row r="2991">
      <c r="A2991" s="18"/>
      <c r="B2991" s="14">
        <f>IFERROR(__xludf.DUMMYFUNCTION("""COMPUTED_VALUE"""),150833.0)</f>
        <v>150833</v>
      </c>
      <c r="C2991" s="14" t="str">
        <f>IFERROR(__xludf.DUMMYFUNCTION("""COMPUTED_VALUE"""),"王彥霖")</f>
        <v>王彥霖</v>
      </c>
      <c r="D2991" s="16" t="str">
        <f>IFERROR(__xludf.DUMMYFUNCTION("""COMPUTED_VALUE"""),"cm3*****ahoo.com.tw")</f>
        <v>cm3*****ahoo.com.tw</v>
      </c>
      <c r="E2991" s="17" t="str">
        <f>IFERROR(__xludf.DUMMYFUNCTION("""COMPUTED_VALUE"""),"中正國防幹部預備學校 國中部")</f>
        <v>中正國防幹部預備學校 國中部</v>
      </c>
      <c r="F2991" s="14" t="str">
        <f>IFERROR(__xludf.DUMMYFUNCTION("""COMPUTED_VALUE"""),"九年級")</f>
        <v>九年級</v>
      </c>
      <c r="G2991" s="14" t="str">
        <f>IFERROR(__xludf.DUMMYFUNCTION("""COMPUTED_VALUE"""),"●小禮物")</f>
        <v>●小禮物</v>
      </c>
      <c r="H2991" s="8"/>
    </row>
    <row r="2992">
      <c r="A2992" s="18"/>
      <c r="B2992" s="14">
        <f>IFERROR(__xludf.DUMMYFUNCTION("""COMPUTED_VALUE"""),263113.0)</f>
        <v>263113</v>
      </c>
      <c r="C2992" s="14" t="str">
        <f>IFERROR(__xludf.DUMMYFUNCTION("""COMPUTED_VALUE"""),"蔡允唯")</f>
        <v>蔡允唯</v>
      </c>
      <c r="D2992" s="16" t="str">
        <f>IFERROR(__xludf.DUMMYFUNCTION("""COMPUTED_VALUE"""),"s05*****.52307@mail.edu.tw")</f>
        <v>s05*****.52307@mail.edu.tw</v>
      </c>
      <c r="E2992" s="17" t="str">
        <f>IFERROR(__xludf.DUMMYFUNCTION("""COMPUTED_VALUE"""),"高雄市立福誠高級中學附設國中部")</f>
        <v>高雄市立福誠高級中學附設國中部</v>
      </c>
      <c r="F2992" s="14" t="str">
        <f>IFERROR(__xludf.DUMMYFUNCTION("""COMPUTED_VALUE"""),"七年級")</f>
        <v>七年級</v>
      </c>
      <c r="G2992" s="14" t="str">
        <f>IFERROR(__xludf.DUMMYFUNCTION("""COMPUTED_VALUE"""),"●小禮物")</f>
        <v>●小禮物</v>
      </c>
      <c r="H2992" s="8"/>
    </row>
    <row r="2993">
      <c r="A2993" s="18"/>
      <c r="B2993" s="14">
        <f>IFERROR(__xludf.DUMMYFUNCTION("""COMPUTED_VALUE"""),1048120.0)</f>
        <v>1048120</v>
      </c>
      <c r="C2993" s="14" t="str">
        <f>IFERROR(__xludf.DUMMYFUNCTION("""COMPUTED_VALUE"""),"蔡宜璇")</f>
        <v>蔡宜璇</v>
      </c>
      <c r="D2993" s="16" t="str">
        <f>IFERROR(__xludf.DUMMYFUNCTION("""COMPUTED_VALUE"""),"ddv*****gmail.com")</f>
        <v>ddv*****gmail.com</v>
      </c>
      <c r="E2993" s="17" t="str">
        <f>IFERROR(__xludf.DUMMYFUNCTION("""COMPUTED_VALUE"""),"高雄市私立正義高級中學附設國中部")</f>
        <v>高雄市私立正義高級中學附設國中部</v>
      </c>
      <c r="F2993" s="14" t="str">
        <f>IFERROR(__xludf.DUMMYFUNCTION("""COMPUTED_VALUE"""),"八年級")</f>
        <v>八年級</v>
      </c>
      <c r="G2993" s="14" t="str">
        <f>IFERROR(__xludf.DUMMYFUNCTION("""COMPUTED_VALUE"""),"●小禮物")</f>
        <v>●小禮物</v>
      </c>
      <c r="H2993" s="8"/>
    </row>
    <row r="2994">
      <c r="A2994" s="18"/>
      <c r="B2994" s="14">
        <f>IFERROR(__xludf.DUMMYFUNCTION("""COMPUTED_VALUE"""),970044.0)</f>
        <v>970044</v>
      </c>
      <c r="C2994" s="14" t="str">
        <f>IFERROR(__xludf.DUMMYFUNCTION("""COMPUTED_VALUE"""),"謝月純")</f>
        <v>謝月純</v>
      </c>
      <c r="D2994" s="16" t="str">
        <f>IFERROR(__xludf.DUMMYFUNCTION("""COMPUTED_VALUE"""),"a09*****281@gmail.com")</f>
        <v>a09*****281@gmail.com</v>
      </c>
      <c r="E2994" s="17" t="str">
        <f>IFERROR(__xludf.DUMMYFUNCTION("""COMPUTED_VALUE"""),"高雄市私立正義高級中學附設國中部")</f>
        <v>高雄市私立正義高級中學附設國中部</v>
      </c>
      <c r="F2994" s="14" t="str">
        <f>IFERROR(__xludf.DUMMYFUNCTION("""COMPUTED_VALUE"""),"八年級")</f>
        <v>八年級</v>
      </c>
      <c r="G2994" s="14" t="str">
        <f>IFERROR(__xludf.DUMMYFUNCTION("""COMPUTED_VALUE"""),"●小禮物")</f>
        <v>●小禮物</v>
      </c>
      <c r="H2994" s="8"/>
    </row>
    <row r="2995">
      <c r="A2995" s="18"/>
      <c r="B2995" s="14">
        <f>IFERROR(__xludf.DUMMYFUNCTION("""COMPUTED_VALUE"""),1028859.0)</f>
        <v>1028859</v>
      </c>
      <c r="C2995" s="14" t="str">
        <f>IFERROR(__xludf.DUMMYFUNCTION("""COMPUTED_VALUE"""),"蘇阡瑜")</f>
        <v>蘇阡瑜</v>
      </c>
      <c r="D2995" s="16" t="str">
        <f>IFERROR(__xludf.DUMMYFUNCTION("""COMPUTED_VALUE"""),"102*****cysh.khc.edu.tw")</f>
        <v>102*****cysh.khc.edu.tw</v>
      </c>
      <c r="E2995" s="17" t="str">
        <f>IFERROR(__xludf.DUMMYFUNCTION("""COMPUTED_VALUE"""),"高雄市私立正義高級中學附設國中部")</f>
        <v>高雄市私立正義高級中學附設國中部</v>
      </c>
      <c r="F2995" s="14" t="str">
        <f>IFERROR(__xludf.DUMMYFUNCTION("""COMPUTED_VALUE"""),"八年級")</f>
        <v>八年級</v>
      </c>
      <c r="G2995" s="14" t="str">
        <f>IFERROR(__xludf.DUMMYFUNCTION("""COMPUTED_VALUE"""),"●小禮物")</f>
        <v>●小禮物</v>
      </c>
      <c r="H2995" s="8"/>
    </row>
    <row r="2996">
      <c r="A2996" s="18"/>
      <c r="B2996" s="14">
        <f>IFERROR(__xludf.DUMMYFUNCTION("""COMPUTED_VALUE"""),1061722.0)</f>
        <v>1061722</v>
      </c>
      <c r="C2996" s="14" t="str">
        <f>IFERROR(__xludf.DUMMYFUNCTION("""COMPUTED_VALUE"""),"黃雯暄")</f>
        <v>黃雯暄</v>
      </c>
      <c r="D2996" s="16" t="str">
        <f>IFERROR(__xludf.DUMMYFUNCTION("""COMPUTED_VALUE"""),"102*****cysh.khc.edu.tw")</f>
        <v>102*****cysh.khc.edu.tw</v>
      </c>
      <c r="E2996" s="17" t="str">
        <f>IFERROR(__xludf.DUMMYFUNCTION("""COMPUTED_VALUE"""),"高雄市私立正義高級中學附設國中部")</f>
        <v>高雄市私立正義高級中學附設國中部</v>
      </c>
      <c r="F2996" s="14" t="str">
        <f>IFERROR(__xludf.DUMMYFUNCTION("""COMPUTED_VALUE"""),"八年級")</f>
        <v>八年級</v>
      </c>
      <c r="G2996" s="14" t="str">
        <f>IFERROR(__xludf.DUMMYFUNCTION("""COMPUTED_VALUE"""),"獎狀")</f>
        <v>獎狀</v>
      </c>
      <c r="H2996" s="8"/>
    </row>
    <row r="2997">
      <c r="A2997" s="18"/>
      <c r="B2997" s="14">
        <f>IFERROR(__xludf.DUMMYFUNCTION("""COMPUTED_VALUE"""),229933.0)</f>
        <v>229933</v>
      </c>
      <c r="C2997" s="14" t="str">
        <f>IFERROR(__xludf.DUMMYFUNCTION("""COMPUTED_VALUE"""),"蕭承哲")</f>
        <v>蕭承哲</v>
      </c>
      <c r="D2997" s="16" t="str">
        <f>IFERROR(__xludf.DUMMYFUNCTION("""COMPUTED_VALUE"""),"s05*****@mail.edu.tw")</f>
        <v>s05*****@mail.edu.tw</v>
      </c>
      <c r="E2997" s="17" t="str">
        <f>IFERROR(__xludf.DUMMYFUNCTION("""COMPUTED_VALUE"""),"高雄市立鳳甲國民中學")</f>
        <v>高雄市立鳳甲國民中學</v>
      </c>
      <c r="F2997" s="14" t="str">
        <f>IFERROR(__xludf.DUMMYFUNCTION("""COMPUTED_VALUE"""),"七年級")</f>
        <v>七年級</v>
      </c>
      <c r="G2997" s="14" t="str">
        <f>IFERROR(__xludf.DUMMYFUNCTION("""COMPUTED_VALUE"""),"獎狀")</f>
        <v>獎狀</v>
      </c>
      <c r="H2997" s="8"/>
    </row>
    <row r="2998">
      <c r="A2998" s="18"/>
      <c r="B2998" s="14">
        <f>IFERROR(__xludf.DUMMYFUNCTION("""COMPUTED_VALUE"""),1073627.0)</f>
        <v>1073627</v>
      </c>
      <c r="C2998" s="14" t="str">
        <f>IFERROR(__xludf.DUMMYFUNCTION("""COMPUTED_VALUE"""),"李佳欣")</f>
        <v>李佳欣</v>
      </c>
      <c r="D2998" s="16" t="str">
        <f>IFERROR(__xludf.DUMMYFUNCTION("""COMPUTED_VALUE"""),"102*****fjm.kh.edu.tw")</f>
        <v>102*****fjm.kh.edu.tw</v>
      </c>
      <c r="E2998" s="17" t="str">
        <f>IFERROR(__xludf.DUMMYFUNCTION("""COMPUTED_VALUE"""),"高雄市立鳳甲國民中學")</f>
        <v>高雄市立鳳甲國民中學</v>
      </c>
      <c r="F2998" s="14" t="str">
        <f>IFERROR(__xludf.DUMMYFUNCTION("""COMPUTED_VALUE"""),"八年級")</f>
        <v>八年級</v>
      </c>
      <c r="G2998" s="14" t="str">
        <f>IFERROR(__xludf.DUMMYFUNCTION("""COMPUTED_VALUE"""),"●小禮物")</f>
        <v>●小禮物</v>
      </c>
      <c r="H2998" s="8"/>
    </row>
    <row r="2999">
      <c r="A2999" s="18"/>
      <c r="B2999" s="14">
        <f>IFERROR(__xludf.DUMMYFUNCTION("""COMPUTED_VALUE"""),1084493.0)</f>
        <v>1084493</v>
      </c>
      <c r="C2999" s="14" t="str">
        <f>IFERROR(__xludf.DUMMYFUNCTION("""COMPUTED_VALUE"""),"陳岱微")</f>
        <v>陳岱微</v>
      </c>
      <c r="D2999" s="16" t="str">
        <f>IFERROR(__xludf.DUMMYFUNCTION("""COMPUTED_VALUE"""),"102*****fjm.kh.edu.tw")</f>
        <v>102*****fjm.kh.edu.tw</v>
      </c>
      <c r="E2999" s="17" t="str">
        <f>IFERROR(__xludf.DUMMYFUNCTION("""COMPUTED_VALUE"""),"高雄市立鳳甲國民中學")</f>
        <v>高雄市立鳳甲國民中學</v>
      </c>
      <c r="F2999" s="14" t="str">
        <f>IFERROR(__xludf.DUMMYFUNCTION("""COMPUTED_VALUE"""),"八年級")</f>
        <v>八年級</v>
      </c>
      <c r="G2999" s="14" t="str">
        <f>IFERROR(__xludf.DUMMYFUNCTION("""COMPUTED_VALUE"""),"獎狀")</f>
        <v>獎狀</v>
      </c>
      <c r="H2999" s="8"/>
    </row>
    <row r="3000">
      <c r="A3000" s="18"/>
      <c r="B3000" s="14">
        <f>IFERROR(__xludf.DUMMYFUNCTION("""COMPUTED_VALUE"""),94404.0)</f>
        <v>94404</v>
      </c>
      <c r="C3000" s="14" t="str">
        <f>IFERROR(__xludf.DUMMYFUNCTION("""COMPUTED_VALUE"""),"林宥廷")</f>
        <v>林宥廷</v>
      </c>
      <c r="D3000" s="16" t="str">
        <f>IFERROR(__xludf.DUMMYFUNCTION("""COMPUTED_VALUE"""),"mit*****gmail.com")</f>
        <v>mit*****gmail.com</v>
      </c>
      <c r="E3000" s="17" t="str">
        <f>IFERROR(__xludf.DUMMYFUNCTION("""COMPUTED_VALUE"""),"高雄市立鳳西國民中學")</f>
        <v>高雄市立鳳西國民中學</v>
      </c>
      <c r="F3000" s="14" t="str">
        <f>IFERROR(__xludf.DUMMYFUNCTION("""COMPUTED_VALUE"""),"八年級")</f>
        <v>八年級</v>
      </c>
      <c r="G3000" s="14" t="str">
        <f>IFERROR(__xludf.DUMMYFUNCTION("""COMPUTED_VALUE"""),"●小禮物")</f>
        <v>●小禮物</v>
      </c>
      <c r="H3000" s="8"/>
    </row>
    <row r="3001">
      <c r="A3001" s="18"/>
      <c r="B3001" s="14">
        <f>IFERROR(__xludf.DUMMYFUNCTION("""COMPUTED_VALUE"""),363877.0)</f>
        <v>363877</v>
      </c>
      <c r="C3001" s="14" t="str">
        <f>IFERROR(__xludf.DUMMYFUNCTION("""COMPUTED_VALUE"""),"吳定蓁")</f>
        <v>吳定蓁</v>
      </c>
      <c r="D3001" s="16" t="str">
        <f>IFERROR(__xludf.DUMMYFUNCTION("""COMPUTED_VALUE"""),"s04*****.kh@mail.edu.tw")</f>
        <v>s04*****.kh@mail.edu.tw</v>
      </c>
      <c r="E3001" s="17" t="str">
        <f>IFERROR(__xludf.DUMMYFUNCTION("""COMPUTED_VALUE"""),"高雄市立中芸國民中學")</f>
        <v>高雄市立中芸國民中學</v>
      </c>
      <c r="F3001" s="14" t="str">
        <f>IFERROR(__xludf.DUMMYFUNCTION("""COMPUTED_VALUE"""),"八年級")</f>
        <v>八年級</v>
      </c>
      <c r="G3001" s="14" t="str">
        <f>IFERROR(__xludf.DUMMYFUNCTION("""COMPUTED_VALUE"""),"●小禮物")</f>
        <v>●小禮物</v>
      </c>
      <c r="H3001" s="8"/>
    </row>
    <row r="3002">
      <c r="A3002" s="18"/>
      <c r="B3002" s="14">
        <f>IFERROR(__xludf.DUMMYFUNCTION("""COMPUTED_VALUE"""),810671.0)</f>
        <v>810671</v>
      </c>
      <c r="C3002" s="14" t="str">
        <f>IFERROR(__xludf.DUMMYFUNCTION("""COMPUTED_VALUE"""),"李惠雯")</f>
        <v>李惠雯</v>
      </c>
      <c r="D3002" s="16" t="str">
        <f>IFERROR(__xludf.DUMMYFUNCTION("""COMPUTED_VALUE"""),"s10*****@dz.kh.edu.tw")</f>
        <v>s10*****@dz.kh.edu.tw</v>
      </c>
      <c r="E3002" s="17" t="str">
        <f>IFERROR(__xludf.DUMMYFUNCTION("""COMPUTED_VALUE"""),"高雄市立大洲國民中學")</f>
        <v>高雄市立大洲國民中學</v>
      </c>
      <c r="F3002" s="14" t="str">
        <f>IFERROR(__xludf.DUMMYFUNCTION("""COMPUTED_VALUE"""),"八年級")</f>
        <v>八年級</v>
      </c>
      <c r="G3002" s="14" t="str">
        <f>IFERROR(__xludf.DUMMYFUNCTION("""COMPUTED_VALUE"""),"●小禮物")</f>
        <v>●小禮物</v>
      </c>
      <c r="H3002" s="8"/>
    </row>
    <row r="3003">
      <c r="A3003" s="18"/>
      <c r="B3003" s="14">
        <f>IFERROR(__xludf.DUMMYFUNCTION("""COMPUTED_VALUE"""),857569.0)</f>
        <v>857569</v>
      </c>
      <c r="C3003" s="14" t="str">
        <f>IFERROR(__xludf.DUMMYFUNCTION("""COMPUTED_VALUE"""),"吳宗儒")</f>
        <v>吳宗儒</v>
      </c>
      <c r="D3003" s="16" t="str">
        <f>IFERROR(__xludf.DUMMYFUNCTION("""COMPUTED_VALUE"""),"s10*****@dz.kh.edu.tw")</f>
        <v>s10*****@dz.kh.edu.tw</v>
      </c>
      <c r="E3003" s="17" t="str">
        <f>IFERROR(__xludf.DUMMYFUNCTION("""COMPUTED_VALUE"""),"高雄市立大洲國民中學")</f>
        <v>高雄市立大洲國民中學</v>
      </c>
      <c r="F3003" s="14" t="str">
        <f>IFERROR(__xludf.DUMMYFUNCTION("""COMPUTED_VALUE"""),"八年級")</f>
        <v>八年級</v>
      </c>
      <c r="G3003" s="14" t="str">
        <f>IFERROR(__xludf.DUMMYFUNCTION("""COMPUTED_VALUE"""),"獎狀")</f>
        <v>獎狀</v>
      </c>
      <c r="H3003" s="8"/>
    </row>
    <row r="3004">
      <c r="A3004" s="18"/>
      <c r="B3004" s="14">
        <f>IFERROR(__xludf.DUMMYFUNCTION("""COMPUTED_VALUE"""),810682.0)</f>
        <v>810682</v>
      </c>
      <c r="C3004" s="14" t="str">
        <f>IFERROR(__xludf.DUMMYFUNCTION("""COMPUTED_VALUE"""),"陳鴻聖")</f>
        <v>陳鴻聖</v>
      </c>
      <c r="D3004" s="16" t="str">
        <f>IFERROR(__xludf.DUMMYFUNCTION("""COMPUTED_VALUE"""),"s10*****@dz.kh.edu.tw")</f>
        <v>s10*****@dz.kh.edu.tw</v>
      </c>
      <c r="E3004" s="17" t="str">
        <f>IFERROR(__xludf.DUMMYFUNCTION("""COMPUTED_VALUE"""),"高雄市立大洲國民中學")</f>
        <v>高雄市立大洲國民中學</v>
      </c>
      <c r="F3004" s="14" t="str">
        <f>IFERROR(__xludf.DUMMYFUNCTION("""COMPUTED_VALUE"""),"八年級")</f>
        <v>八年級</v>
      </c>
      <c r="G3004" s="14" t="str">
        <f>IFERROR(__xludf.DUMMYFUNCTION("""COMPUTED_VALUE"""),"獎狀")</f>
        <v>獎狀</v>
      </c>
      <c r="H3004" s="8"/>
    </row>
    <row r="3005">
      <c r="A3005" s="18"/>
      <c r="B3005" s="14">
        <f>IFERROR(__xludf.DUMMYFUNCTION("""COMPUTED_VALUE"""),535533.0)</f>
        <v>535533</v>
      </c>
      <c r="C3005" s="14" t="str">
        <f>IFERROR(__xludf.DUMMYFUNCTION("""COMPUTED_VALUE"""),"呂威竣")</f>
        <v>呂威竣</v>
      </c>
      <c r="D3005" s="16" t="str">
        <f>IFERROR(__xludf.DUMMYFUNCTION("""COMPUTED_VALUE"""),"s09*****@dz.kh.edu.tw")</f>
        <v>s09*****@dz.kh.edu.tw</v>
      </c>
      <c r="E3005" s="17" t="str">
        <f>IFERROR(__xludf.DUMMYFUNCTION("""COMPUTED_VALUE"""),"高雄市立大洲國民中學")</f>
        <v>高雄市立大洲國民中學</v>
      </c>
      <c r="F3005" s="14" t="str">
        <f>IFERROR(__xludf.DUMMYFUNCTION("""COMPUTED_VALUE"""),"九年級")</f>
        <v>九年級</v>
      </c>
      <c r="G3005" s="14" t="str">
        <f>IFERROR(__xludf.DUMMYFUNCTION("""COMPUTED_VALUE"""),"★禮券$200")</f>
        <v>★禮券$200</v>
      </c>
      <c r="H3005" s="8"/>
    </row>
    <row r="3006">
      <c r="A3006" s="18"/>
      <c r="B3006" s="14">
        <f>IFERROR(__xludf.DUMMYFUNCTION("""COMPUTED_VALUE"""),535541.0)</f>
        <v>535541</v>
      </c>
      <c r="C3006" s="14" t="str">
        <f>IFERROR(__xludf.DUMMYFUNCTION("""COMPUTED_VALUE"""),"黃中呈")</f>
        <v>黃中呈</v>
      </c>
      <c r="D3006" s="16" t="str">
        <f>IFERROR(__xludf.DUMMYFUNCTION("""COMPUTED_VALUE"""),"s09*****@dz.kh.edu.tw")</f>
        <v>s09*****@dz.kh.edu.tw</v>
      </c>
      <c r="E3006" s="17" t="str">
        <f>IFERROR(__xludf.DUMMYFUNCTION("""COMPUTED_VALUE"""),"高雄市立大洲國民中學")</f>
        <v>高雄市立大洲國民中學</v>
      </c>
      <c r="F3006" s="14" t="str">
        <f>IFERROR(__xludf.DUMMYFUNCTION("""COMPUTED_VALUE"""),"九年級")</f>
        <v>九年級</v>
      </c>
      <c r="G3006" s="14" t="str">
        <f>IFERROR(__xludf.DUMMYFUNCTION("""COMPUTED_VALUE"""),"★禮券$200")</f>
        <v>★禮券$200</v>
      </c>
      <c r="H3006" s="8"/>
    </row>
    <row r="3007">
      <c r="A3007" s="18"/>
      <c r="B3007" s="14">
        <f>IFERROR(__xludf.DUMMYFUNCTION("""COMPUTED_VALUE"""),125094.0)</f>
        <v>125094</v>
      </c>
      <c r="C3007" s="14" t="str">
        <f>IFERROR(__xludf.DUMMYFUNCTION("""COMPUTED_VALUE"""),"黃湘晴")</f>
        <v>黃湘晴</v>
      </c>
      <c r="D3007" s="16" t="str">
        <f>IFERROR(__xludf.DUMMYFUNCTION("""COMPUTED_VALUE"""),"nch*****yahoo.com.tw")</f>
        <v>nch*****yahoo.com.tw</v>
      </c>
      <c r="E3007" s="17" t="str">
        <f>IFERROR(__xludf.DUMMYFUNCTION("""COMPUTED_VALUE"""),"高雄市立南隆國民中學")</f>
        <v>高雄市立南隆國民中學</v>
      </c>
      <c r="F3007" s="14" t="str">
        <f>IFERROR(__xludf.DUMMYFUNCTION("""COMPUTED_VALUE"""),"八年級")</f>
        <v>八年級</v>
      </c>
      <c r="G3007" s="14" t="str">
        <f>IFERROR(__xludf.DUMMYFUNCTION("""COMPUTED_VALUE"""),"獎狀")</f>
        <v>獎狀</v>
      </c>
      <c r="H3007" s="8"/>
    </row>
    <row r="3008">
      <c r="A3008" s="18"/>
      <c r="B3008" s="14">
        <f>IFERROR(__xludf.DUMMYFUNCTION("""COMPUTED_VALUE"""),890386.0)</f>
        <v>890386</v>
      </c>
      <c r="C3008" s="14" t="str">
        <f>IFERROR(__xludf.DUMMYFUNCTION("""COMPUTED_VALUE"""),"孫誠")</f>
        <v>孫誠</v>
      </c>
      <c r="D3008" s="16" t="str">
        <f>IFERROR(__xludf.DUMMYFUNCTION("""COMPUTED_VALUE"""),"101*****sm.kh.edu.tw")</f>
        <v>101*****sm.kh.edu.tw</v>
      </c>
      <c r="E3008" s="17" t="str">
        <f>IFERROR(__xludf.DUMMYFUNCTION("""COMPUTED_VALUE"""),"高雄市立那瑪夏國民中學")</f>
        <v>高雄市立那瑪夏國民中學</v>
      </c>
      <c r="F3008" s="14" t="str">
        <f>IFERROR(__xludf.DUMMYFUNCTION("""COMPUTED_VALUE"""),"八年級")</f>
        <v>八年級</v>
      </c>
      <c r="G3008" s="14" t="str">
        <f>IFERROR(__xludf.DUMMYFUNCTION("""COMPUTED_VALUE"""),"●小禮物")</f>
        <v>●小禮物</v>
      </c>
      <c r="H3008" s="8"/>
    </row>
    <row r="3009">
      <c r="A3009" s="18"/>
      <c r="B3009" s="14">
        <f>IFERROR(__xludf.DUMMYFUNCTION("""COMPUTED_VALUE"""),890381.0)</f>
        <v>890381</v>
      </c>
      <c r="C3009" s="14" t="str">
        <f>IFERROR(__xludf.DUMMYFUNCTION("""COMPUTED_VALUE"""),"謝庭葳")</f>
        <v>謝庭葳</v>
      </c>
      <c r="D3009" s="16" t="str">
        <f>IFERROR(__xludf.DUMMYFUNCTION("""COMPUTED_VALUE"""),"102*****sm.kh.edu.tw")</f>
        <v>102*****sm.kh.edu.tw</v>
      </c>
      <c r="E3009" s="17" t="str">
        <f>IFERROR(__xludf.DUMMYFUNCTION("""COMPUTED_VALUE"""),"高雄市立那瑪夏國民中學")</f>
        <v>高雄市立那瑪夏國民中學</v>
      </c>
      <c r="F3009" s="14" t="str">
        <f>IFERROR(__xludf.DUMMYFUNCTION("""COMPUTED_VALUE"""),"八年級")</f>
        <v>八年級</v>
      </c>
      <c r="G3009" s="14" t="str">
        <f>IFERROR(__xludf.DUMMYFUNCTION("""COMPUTED_VALUE"""),"●小禮物")</f>
        <v>●小禮物</v>
      </c>
      <c r="H3009" s="8"/>
    </row>
    <row r="3010">
      <c r="A3010" s="18"/>
      <c r="B3010" s="14">
        <f>IFERROR(__xludf.DUMMYFUNCTION("""COMPUTED_VALUE"""),890376.0)</f>
        <v>890376</v>
      </c>
      <c r="C3010" s="14" t="str">
        <f>IFERROR(__xludf.DUMMYFUNCTION("""COMPUTED_VALUE"""),"周瑞恩")</f>
        <v>周瑞恩</v>
      </c>
      <c r="D3010" s="16" t="str">
        <f>IFERROR(__xludf.DUMMYFUNCTION("""COMPUTED_VALUE"""),"102*****sm.kh.edu.tw")</f>
        <v>102*****sm.kh.edu.tw</v>
      </c>
      <c r="E3010" s="17" t="str">
        <f>IFERROR(__xludf.DUMMYFUNCTION("""COMPUTED_VALUE"""),"高雄市立那瑪夏國民中學")</f>
        <v>高雄市立那瑪夏國民中學</v>
      </c>
      <c r="F3010" s="14" t="str">
        <f>IFERROR(__xludf.DUMMYFUNCTION("""COMPUTED_VALUE"""),"八年級")</f>
        <v>八年級</v>
      </c>
      <c r="G3010" s="14" t="str">
        <f>IFERROR(__xludf.DUMMYFUNCTION("""COMPUTED_VALUE"""),"獎狀")</f>
        <v>獎狀</v>
      </c>
      <c r="H3010" s="8"/>
    </row>
    <row r="3011">
      <c r="A3011" s="18"/>
      <c r="B3011" s="14">
        <f>IFERROR(__xludf.DUMMYFUNCTION("""COMPUTED_VALUE"""),890369.0)</f>
        <v>890369</v>
      </c>
      <c r="C3011" s="14" t="str">
        <f>IFERROR(__xludf.DUMMYFUNCTION("""COMPUTED_VALUE"""),"林姵辰")</f>
        <v>林姵辰</v>
      </c>
      <c r="D3011" s="16" t="str">
        <f>IFERROR(__xludf.DUMMYFUNCTION("""COMPUTED_VALUE"""),"102*****sm.kh.edu.tw")</f>
        <v>102*****sm.kh.edu.tw</v>
      </c>
      <c r="E3011" s="17" t="str">
        <f>IFERROR(__xludf.DUMMYFUNCTION("""COMPUTED_VALUE"""),"高雄市立那瑪夏國民中學")</f>
        <v>高雄市立那瑪夏國民中學</v>
      </c>
      <c r="F3011" s="14" t="str">
        <f>IFERROR(__xludf.DUMMYFUNCTION("""COMPUTED_VALUE"""),"八年級")</f>
        <v>八年級</v>
      </c>
      <c r="G3011" s="14" t="str">
        <f>IFERROR(__xludf.DUMMYFUNCTION("""COMPUTED_VALUE"""),"獎狀")</f>
        <v>獎狀</v>
      </c>
      <c r="H3011" s="8"/>
    </row>
    <row r="3012">
      <c r="A3012" s="18"/>
      <c r="B3012" s="14">
        <f>IFERROR(__xludf.DUMMYFUNCTION("""COMPUTED_VALUE"""),894769.0)</f>
        <v>894769</v>
      </c>
      <c r="C3012" s="14" t="str">
        <f>IFERROR(__xludf.DUMMYFUNCTION("""COMPUTED_VALUE"""),"林潔欣")</f>
        <v>林潔欣</v>
      </c>
      <c r="D3012" s="16" t="str">
        <f>IFERROR(__xludf.DUMMYFUNCTION("""COMPUTED_VALUE"""),"102*****sm.kh.edu.tw")</f>
        <v>102*****sm.kh.edu.tw</v>
      </c>
      <c r="E3012" s="17" t="str">
        <f>IFERROR(__xludf.DUMMYFUNCTION("""COMPUTED_VALUE"""),"高雄市立那瑪夏國民中學")</f>
        <v>高雄市立那瑪夏國民中學</v>
      </c>
      <c r="F3012" s="14" t="str">
        <f>IFERROR(__xludf.DUMMYFUNCTION("""COMPUTED_VALUE"""),"八年級")</f>
        <v>八年級</v>
      </c>
      <c r="G3012" s="14" t="str">
        <f>IFERROR(__xludf.DUMMYFUNCTION("""COMPUTED_VALUE"""),"獎狀")</f>
        <v>獎狀</v>
      </c>
      <c r="H3012" s="8"/>
    </row>
    <row r="3013">
      <c r="A3013" s="18"/>
      <c r="B3013" s="14">
        <f>IFERROR(__xludf.DUMMYFUNCTION("""COMPUTED_VALUE"""),219296.0)</f>
        <v>219296</v>
      </c>
      <c r="C3013" s="14" t="str">
        <f>IFERROR(__xludf.DUMMYFUNCTION("""COMPUTED_VALUE"""),"洪翊宸")</f>
        <v>洪翊宸</v>
      </c>
      <c r="D3013" s="16" t="str">
        <f>IFERROR(__xludf.DUMMYFUNCTION("""COMPUTED_VALUE"""),"hyc*****1@mail.edu.tw")</f>
        <v>hyc*****1@mail.edu.tw</v>
      </c>
      <c r="E3013" s="17" t="str">
        <f>IFERROR(__xludf.DUMMYFUNCTION("""COMPUTED_VALUE"""),"澎湖縣立馬公國民中學")</f>
        <v>澎湖縣立馬公國民中學</v>
      </c>
      <c r="F3013" s="14" t="str">
        <f>IFERROR(__xludf.DUMMYFUNCTION("""COMPUTED_VALUE"""),"七年級")</f>
        <v>七年級</v>
      </c>
      <c r="G3013" s="14" t="str">
        <f>IFERROR(__xludf.DUMMYFUNCTION("""COMPUTED_VALUE"""),"獎狀")</f>
        <v>獎狀</v>
      </c>
      <c r="H3013" s="8"/>
    </row>
    <row r="3014">
      <c r="A3014" s="18"/>
      <c r="B3014" s="14">
        <f>IFERROR(__xludf.DUMMYFUNCTION("""COMPUTED_VALUE"""),540340.0)</f>
        <v>540340</v>
      </c>
      <c r="C3014" s="14" t="str">
        <f>IFERROR(__xludf.DUMMYFUNCTION("""COMPUTED_VALUE"""),"陳柏叡")</f>
        <v>陳柏叡</v>
      </c>
      <c r="D3014" s="16" t="str">
        <f>IFERROR(__xludf.DUMMYFUNCTION("""COMPUTED_VALUE"""),"edw*****en9811@gmail.com")</f>
        <v>edw*****en9811@gmail.com</v>
      </c>
      <c r="E3014" s="17" t="str">
        <f>IFERROR(__xludf.DUMMYFUNCTION("""COMPUTED_VALUE"""),"澎湖縣立馬公國民中學")</f>
        <v>澎湖縣立馬公國民中學</v>
      </c>
      <c r="F3014" s="14" t="str">
        <f>IFERROR(__xludf.DUMMYFUNCTION("""COMPUTED_VALUE"""),"七年級")</f>
        <v>七年級</v>
      </c>
      <c r="G3014" s="14" t="str">
        <f>IFERROR(__xludf.DUMMYFUNCTION("""COMPUTED_VALUE"""),"獎狀")</f>
        <v>獎狀</v>
      </c>
      <c r="H3014" s="8"/>
    </row>
    <row r="3015">
      <c r="A3015" s="18"/>
      <c r="B3015" s="14">
        <f>IFERROR(__xludf.DUMMYFUNCTION("""COMPUTED_VALUE"""),910278.0)</f>
        <v>910278</v>
      </c>
      <c r="C3015" s="14" t="str">
        <f>IFERROR(__xludf.DUMMYFUNCTION("""COMPUTED_VALUE"""),"許語桔")</f>
        <v>許語桔</v>
      </c>
      <c r="D3015" s="16" t="str">
        <f>IFERROR(__xludf.DUMMYFUNCTION("""COMPUTED_VALUE"""),"105*****mail.phc.edu.tw")</f>
        <v>105*****mail.phc.edu.tw</v>
      </c>
      <c r="E3015" s="17" t="str">
        <f>IFERROR(__xludf.DUMMYFUNCTION("""COMPUTED_VALUE"""),"澎湖縣立馬公國民中學")</f>
        <v>澎湖縣立馬公國民中學</v>
      </c>
      <c r="F3015" s="14" t="str">
        <f>IFERROR(__xludf.DUMMYFUNCTION("""COMPUTED_VALUE"""),"七年級")</f>
        <v>七年級</v>
      </c>
      <c r="G3015" s="14" t="str">
        <f>IFERROR(__xludf.DUMMYFUNCTION("""COMPUTED_VALUE"""),"★禮券$500")</f>
        <v>★禮券$500</v>
      </c>
      <c r="H3015" s="8"/>
    </row>
    <row r="3016">
      <c r="A3016" s="18"/>
      <c r="B3016" s="14">
        <f>IFERROR(__xludf.DUMMYFUNCTION("""COMPUTED_VALUE"""),460767.0)</f>
        <v>460767</v>
      </c>
      <c r="C3016" s="14" t="str">
        <f>IFERROR(__xludf.DUMMYFUNCTION("""COMPUTED_VALUE"""),"周子貽")</f>
        <v>周子貽</v>
      </c>
      <c r="D3016" s="16" t="str">
        <f>IFERROR(__xludf.DUMMYFUNCTION("""COMPUTED_VALUE"""),"104*****mail.phc.edu.tw")</f>
        <v>104*****mail.phc.edu.tw</v>
      </c>
      <c r="E3016" s="17" t="str">
        <f>IFERROR(__xludf.DUMMYFUNCTION("""COMPUTED_VALUE"""),"澎湖縣立馬公國民中學")</f>
        <v>澎湖縣立馬公國民中學</v>
      </c>
      <c r="F3016" s="14" t="str">
        <f>IFERROR(__xludf.DUMMYFUNCTION("""COMPUTED_VALUE"""),"八年級")</f>
        <v>八年級</v>
      </c>
      <c r="G3016" s="14" t="str">
        <f>IFERROR(__xludf.DUMMYFUNCTION("""COMPUTED_VALUE"""),"●小禮物")</f>
        <v>●小禮物</v>
      </c>
      <c r="H3016" s="8"/>
    </row>
    <row r="3017">
      <c r="A3017" s="18"/>
      <c r="B3017" s="14">
        <f>IFERROR(__xludf.DUMMYFUNCTION("""COMPUTED_VALUE"""),35165.0)</f>
        <v>35165</v>
      </c>
      <c r="C3017" s="14" t="str">
        <f>IFERROR(__xludf.DUMMYFUNCTION("""COMPUTED_VALUE"""),"洪子媗")</f>
        <v>洪子媗</v>
      </c>
      <c r="D3017" s="16" t="str">
        <f>IFERROR(__xludf.DUMMYFUNCTION("""COMPUTED_VALUE"""),"nin*****0@hotmail.com")</f>
        <v>nin*****0@hotmail.com</v>
      </c>
      <c r="E3017" s="17" t="str">
        <f>IFERROR(__xludf.DUMMYFUNCTION("""COMPUTED_VALUE"""),"澎湖縣立馬公國民中學")</f>
        <v>澎湖縣立馬公國民中學</v>
      </c>
      <c r="F3017" s="14" t="str">
        <f>IFERROR(__xludf.DUMMYFUNCTION("""COMPUTED_VALUE"""),"八年級")</f>
        <v>八年級</v>
      </c>
      <c r="G3017" s="14" t="str">
        <f>IFERROR(__xludf.DUMMYFUNCTION("""COMPUTED_VALUE"""),"獎狀")</f>
        <v>獎狀</v>
      </c>
      <c r="H3017" s="8"/>
    </row>
    <row r="3018">
      <c r="A3018" s="18"/>
      <c r="B3018" s="14">
        <f>IFERROR(__xludf.DUMMYFUNCTION("""COMPUTED_VALUE"""),223467.0)</f>
        <v>223467</v>
      </c>
      <c r="C3018" s="14" t="str">
        <f>IFERROR(__xludf.DUMMYFUNCTION("""COMPUTED_VALUE"""),"羅文辰")</f>
        <v>羅文辰</v>
      </c>
      <c r="D3018" s="16" t="str">
        <f>IFERROR(__xludf.DUMMYFUNCTION("""COMPUTED_VALUE"""),"103*****mail.phc.edu.tw")</f>
        <v>103*****mail.phc.edu.tw</v>
      </c>
      <c r="E3018" s="17" t="str">
        <f>IFERROR(__xludf.DUMMYFUNCTION("""COMPUTED_VALUE"""),"澎湖縣立馬公國民中學")</f>
        <v>澎湖縣立馬公國民中學</v>
      </c>
      <c r="F3018" s="14" t="str">
        <f>IFERROR(__xludf.DUMMYFUNCTION("""COMPUTED_VALUE"""),"九年級")</f>
        <v>九年級</v>
      </c>
      <c r="G3018" s="14" t="str">
        <f>IFERROR(__xludf.DUMMYFUNCTION("""COMPUTED_VALUE"""),"●小禮物")</f>
        <v>●小禮物</v>
      </c>
      <c r="H3018" s="8"/>
    </row>
    <row r="3019">
      <c r="A3019" s="18"/>
      <c r="B3019" s="14">
        <f>IFERROR(__xludf.DUMMYFUNCTION("""COMPUTED_VALUE"""),121247.0)</f>
        <v>121247</v>
      </c>
      <c r="C3019" s="14" t="str">
        <f>IFERROR(__xludf.DUMMYFUNCTION("""COMPUTED_VALUE"""),"林宜蓁")</f>
        <v>林宜蓁</v>
      </c>
      <c r="D3019" s="16" t="str">
        <f>IFERROR(__xludf.DUMMYFUNCTION("""COMPUTED_VALUE"""),"103*****mail.phc.edu.tw")</f>
        <v>103*****mail.phc.edu.tw</v>
      </c>
      <c r="E3019" s="17" t="str">
        <f>IFERROR(__xludf.DUMMYFUNCTION("""COMPUTED_VALUE"""),"澎湖縣立馬公國民中學")</f>
        <v>澎湖縣立馬公國民中學</v>
      </c>
      <c r="F3019" s="14" t="str">
        <f>IFERROR(__xludf.DUMMYFUNCTION("""COMPUTED_VALUE"""),"九年級")</f>
        <v>九年級</v>
      </c>
      <c r="G3019" s="14" t="str">
        <f>IFERROR(__xludf.DUMMYFUNCTION("""COMPUTED_VALUE"""),"●小禮物")</f>
        <v>●小禮物</v>
      </c>
      <c r="H3019" s="8"/>
    </row>
    <row r="3020">
      <c r="A3020" s="18"/>
      <c r="B3020" s="14">
        <f>IFERROR(__xludf.DUMMYFUNCTION("""COMPUTED_VALUE"""),1189651.0)</f>
        <v>1189651</v>
      </c>
      <c r="C3020" s="14" t="str">
        <f>IFERROR(__xludf.DUMMYFUNCTION("""COMPUTED_VALUE"""),"陳羿菡")</f>
        <v>陳羿菡</v>
      </c>
      <c r="D3020" s="16" t="str">
        <f>IFERROR(__xludf.DUMMYFUNCTION("""COMPUTED_VALUE"""),"yc4*****7@gmail.com")</f>
        <v>yc4*****7@gmail.com</v>
      </c>
      <c r="E3020" s="17" t="str">
        <f>IFERROR(__xludf.DUMMYFUNCTION("""COMPUTED_VALUE"""),"澎湖縣立湖西國民中學")</f>
        <v>澎湖縣立湖西國民中學</v>
      </c>
      <c r="F3020" s="14" t="str">
        <f>IFERROR(__xludf.DUMMYFUNCTION("""COMPUTED_VALUE"""),"七年級")</f>
        <v>七年級</v>
      </c>
      <c r="G3020" s="14" t="str">
        <f>IFERROR(__xludf.DUMMYFUNCTION("""COMPUTED_VALUE"""),"獎狀")</f>
        <v>獎狀</v>
      </c>
      <c r="H3020" s="8"/>
    </row>
    <row r="3021">
      <c r="A3021" s="18"/>
      <c r="B3021" s="14">
        <f>IFERROR(__xludf.DUMMYFUNCTION("""COMPUTED_VALUE"""),1198509.0)</f>
        <v>1198509</v>
      </c>
      <c r="C3021" s="14" t="str">
        <f>IFERROR(__xludf.DUMMYFUNCTION("""COMPUTED_VALUE"""),"翁柏恩")</f>
        <v>翁柏恩</v>
      </c>
      <c r="D3021" s="16" t="str">
        <f>IFERROR(__xludf.DUMMYFUNCTION("""COMPUTED_VALUE"""),"phc*****86@mail.edu.tw")</f>
        <v>phc*****86@mail.edu.tw</v>
      </c>
      <c r="E3021" s="17" t="str">
        <f>IFERROR(__xludf.DUMMYFUNCTION("""COMPUTED_VALUE"""),"澎湖縣立湖西國民中學")</f>
        <v>澎湖縣立湖西國民中學</v>
      </c>
      <c r="F3021" s="14" t="str">
        <f>IFERROR(__xludf.DUMMYFUNCTION("""COMPUTED_VALUE"""),"七年級")</f>
        <v>七年級</v>
      </c>
      <c r="G3021" s="14" t="str">
        <f>IFERROR(__xludf.DUMMYFUNCTION("""COMPUTED_VALUE"""),"獎狀")</f>
        <v>獎狀</v>
      </c>
      <c r="H3021" s="8"/>
    </row>
    <row r="3022">
      <c r="A3022" s="18"/>
      <c r="B3022" s="14">
        <f>IFERROR(__xludf.DUMMYFUNCTION("""COMPUTED_VALUE"""),962976.0)</f>
        <v>962976</v>
      </c>
      <c r="C3022" s="14" t="str">
        <f>IFERROR(__xludf.DUMMYFUNCTION("""COMPUTED_VALUE"""),"陳秉凱")</f>
        <v>陳秉凱</v>
      </c>
      <c r="D3022" s="16" t="str">
        <f>IFERROR(__xludf.DUMMYFUNCTION("""COMPUTED_VALUE"""),"kb3*****m@mail.edu.tw")</f>
        <v>kb3*****m@mail.edu.tw</v>
      </c>
      <c r="E3022" s="17" t="str">
        <f>IFERROR(__xludf.DUMMYFUNCTION("""COMPUTED_VALUE"""),"金門縣立金城國民中學")</f>
        <v>金門縣立金城國民中學</v>
      </c>
      <c r="F3022" s="14" t="str">
        <f>IFERROR(__xludf.DUMMYFUNCTION("""COMPUTED_VALUE"""),"七年級")</f>
        <v>七年級</v>
      </c>
      <c r="G3022" s="14" t="str">
        <f>IFERROR(__xludf.DUMMYFUNCTION("""COMPUTED_VALUE"""),"●小禮物")</f>
        <v>●小禮物</v>
      </c>
      <c r="H3022" s="8"/>
    </row>
    <row r="3023">
      <c r="A3023" s="18"/>
      <c r="B3023" s="14">
        <f>IFERROR(__xludf.DUMMYFUNCTION("""COMPUTED_VALUE"""),565076.0)</f>
        <v>565076</v>
      </c>
      <c r="C3023" s="14" t="str">
        <f>IFERROR(__xludf.DUMMYFUNCTION("""COMPUTED_VALUE"""),"黃雨雯")</f>
        <v>黃雨雯</v>
      </c>
      <c r="D3023" s="16" t="str">
        <f>IFERROR(__xludf.DUMMYFUNCTION("""COMPUTED_VALUE"""),"6an*****oughnut@gmail.com")</f>
        <v>6an*****oughnut@gmail.com</v>
      </c>
      <c r="E3023" s="17" t="str">
        <f>IFERROR(__xludf.DUMMYFUNCTION("""COMPUTED_VALUE"""),"金門縣立金城國民中學")</f>
        <v>金門縣立金城國民中學</v>
      </c>
      <c r="F3023" s="14" t="str">
        <f>IFERROR(__xludf.DUMMYFUNCTION("""COMPUTED_VALUE"""),"八年級")</f>
        <v>八年級</v>
      </c>
      <c r="G3023" s="14" t="str">
        <f>IFERROR(__xludf.DUMMYFUNCTION("""COMPUTED_VALUE"""),"獎狀")</f>
        <v>獎狀</v>
      </c>
      <c r="H3023" s="8"/>
    </row>
    <row r="3024">
      <c r="A3024" s="18"/>
      <c r="B3024" s="14">
        <f>IFERROR(__xludf.DUMMYFUNCTION("""COMPUTED_VALUE"""),169716.0)</f>
        <v>169716</v>
      </c>
      <c r="C3024" s="14" t="str">
        <f>IFERROR(__xludf.DUMMYFUNCTION("""COMPUTED_VALUE"""),"陳盈榛")</f>
        <v>陳盈榛</v>
      </c>
      <c r="D3024" s="16" t="str">
        <f>IFERROR(__xludf.DUMMYFUNCTION("""COMPUTED_VALUE"""),"jin*****0903@gmail.com")</f>
        <v>jin*****0903@gmail.com</v>
      </c>
      <c r="E3024" s="17" t="str">
        <f>IFERROR(__xludf.DUMMYFUNCTION("""COMPUTED_VALUE"""),"屏東縣立明正國民中學")</f>
        <v>屏東縣立明正國民中學</v>
      </c>
      <c r="F3024" s="14" t="str">
        <f>IFERROR(__xludf.DUMMYFUNCTION("""COMPUTED_VALUE"""),"七年級")</f>
        <v>七年級</v>
      </c>
      <c r="G3024" s="14" t="str">
        <f>IFERROR(__xludf.DUMMYFUNCTION("""COMPUTED_VALUE"""),"●小禮物")</f>
        <v>●小禮物</v>
      </c>
      <c r="H3024" s="8"/>
    </row>
    <row r="3025">
      <c r="A3025" s="18"/>
      <c r="B3025" s="14">
        <f>IFERROR(__xludf.DUMMYFUNCTION("""COMPUTED_VALUE"""),866962.0)</f>
        <v>866962</v>
      </c>
      <c r="C3025" s="14" t="str">
        <f>IFERROR(__xludf.DUMMYFUNCTION("""COMPUTED_VALUE"""),"洪勝楷")</f>
        <v>洪勝楷</v>
      </c>
      <c r="D3025" s="16" t="str">
        <f>IFERROR(__xludf.DUMMYFUNCTION("""COMPUTED_VALUE"""),"sug*****523@go.edu.tw")</f>
        <v>sug*****523@go.edu.tw</v>
      </c>
      <c r="E3025" s="17" t="str">
        <f>IFERROR(__xludf.DUMMYFUNCTION("""COMPUTED_VALUE"""),"屏東縣立中正國民中學")</f>
        <v>屏東縣立中正國民中學</v>
      </c>
      <c r="F3025" s="14" t="str">
        <f>IFERROR(__xludf.DUMMYFUNCTION("""COMPUTED_VALUE"""),"七年級")</f>
        <v>七年級</v>
      </c>
      <c r="G3025" s="14" t="str">
        <f>IFERROR(__xludf.DUMMYFUNCTION("""COMPUTED_VALUE"""),"●小禮物")</f>
        <v>●小禮物</v>
      </c>
      <c r="H3025" s="8"/>
    </row>
    <row r="3026">
      <c r="A3026" s="18"/>
      <c r="B3026" s="14">
        <f>IFERROR(__xludf.DUMMYFUNCTION("""COMPUTED_VALUE"""),253629.0)</f>
        <v>253629</v>
      </c>
      <c r="C3026" s="14" t="str">
        <f>IFERROR(__xludf.DUMMYFUNCTION("""COMPUTED_VALUE"""),"劉芸喬")</f>
        <v>劉芸喬</v>
      </c>
      <c r="D3026" s="16" t="str">
        <f>IFERROR(__xludf.DUMMYFUNCTION("""COMPUTED_VALUE"""),"new*****22@gmail.com")</f>
        <v>new*****22@gmail.com</v>
      </c>
      <c r="E3026" s="17" t="str">
        <f>IFERROR(__xludf.DUMMYFUNCTION("""COMPUTED_VALUE"""),"屏東縣立高泰國民中學")</f>
        <v>屏東縣立高泰國民中學</v>
      </c>
      <c r="F3026" s="14" t="str">
        <f>IFERROR(__xludf.DUMMYFUNCTION("""COMPUTED_VALUE"""),"八年級")</f>
        <v>八年級</v>
      </c>
      <c r="G3026" s="14" t="str">
        <f>IFERROR(__xludf.DUMMYFUNCTION("""COMPUTED_VALUE"""),"●小禮物")</f>
        <v>●小禮物</v>
      </c>
      <c r="H3026" s="8"/>
    </row>
    <row r="3027">
      <c r="A3027" s="18"/>
      <c r="B3027" s="14">
        <f>IFERROR(__xludf.DUMMYFUNCTION("""COMPUTED_VALUE"""),323160.0)</f>
        <v>323160</v>
      </c>
      <c r="C3027" s="14" t="str">
        <f>IFERROR(__xludf.DUMMYFUNCTION("""COMPUTED_VALUE"""),"葉佳欣")</f>
        <v>葉佳欣</v>
      </c>
      <c r="D3027" s="16" t="str">
        <f>IFERROR(__xludf.DUMMYFUNCTION("""COMPUTED_VALUE"""),"cin*****917@mail.edu.tw")</f>
        <v>cin*****917@mail.edu.tw</v>
      </c>
      <c r="E3027" s="17" t="str">
        <f>IFERROR(__xludf.DUMMYFUNCTION("""COMPUTED_VALUE"""),"屏東縣立大路關國民中小學國中部")</f>
        <v>屏東縣立大路關國民中小學國中部</v>
      </c>
      <c r="F3027" s="14" t="str">
        <f>IFERROR(__xludf.DUMMYFUNCTION("""COMPUTED_VALUE"""),"九年級")</f>
        <v>九年級</v>
      </c>
      <c r="G3027" s="14" t="str">
        <f>IFERROR(__xludf.DUMMYFUNCTION("""COMPUTED_VALUE"""),"獎狀")</f>
        <v>獎狀</v>
      </c>
      <c r="H3027" s="8"/>
    </row>
    <row r="3028">
      <c r="A3028" s="18"/>
      <c r="B3028" s="14">
        <f>IFERROR(__xludf.DUMMYFUNCTION("""COMPUTED_VALUE"""),294540.0)</f>
        <v>294540</v>
      </c>
      <c r="C3028" s="14" t="str">
        <f>IFERROR(__xludf.DUMMYFUNCTION("""COMPUTED_VALUE"""),"葉冠宏")</f>
        <v>葉冠宏</v>
      </c>
      <c r="D3028" s="16" t="str">
        <f>IFERROR(__xludf.DUMMYFUNCTION("""COMPUTED_VALUE"""),"yq3*****04@mail.edu.tw")</f>
        <v>yq3*****04@mail.edu.tw</v>
      </c>
      <c r="E3028" s="17" t="str">
        <f>IFERROR(__xludf.DUMMYFUNCTION("""COMPUTED_VALUE"""),"屏東縣立大路關國民中小學國中部")</f>
        <v>屏東縣立大路關國民中小學國中部</v>
      </c>
      <c r="F3028" s="14" t="str">
        <f>IFERROR(__xludf.DUMMYFUNCTION("""COMPUTED_VALUE"""),"九年級")</f>
        <v>九年級</v>
      </c>
      <c r="G3028" s="14" t="str">
        <f>IFERROR(__xludf.DUMMYFUNCTION("""COMPUTED_VALUE"""),"獎狀")</f>
        <v>獎狀</v>
      </c>
      <c r="H3028" s="8"/>
    </row>
    <row r="3029">
      <c r="A3029" s="18"/>
      <c r="B3029" s="14">
        <f>IFERROR(__xludf.DUMMYFUNCTION("""COMPUTED_VALUE"""),323132.0)</f>
        <v>323132</v>
      </c>
      <c r="C3029" s="14" t="str">
        <f>IFERROR(__xludf.DUMMYFUNCTION("""COMPUTED_VALUE"""),"鍾昀真")</f>
        <v>鍾昀真</v>
      </c>
      <c r="D3029" s="16" t="str">
        <f>IFERROR(__xludf.DUMMYFUNCTION("""COMPUTED_VALUE"""),"ptk*****5@mail.edu.tw")</f>
        <v>ptk*****5@mail.edu.tw</v>
      </c>
      <c r="E3029" s="17" t="str">
        <f>IFERROR(__xludf.DUMMYFUNCTION("""COMPUTED_VALUE"""),"屏東縣立大路關國民中小學國中部")</f>
        <v>屏東縣立大路關國民中小學國中部</v>
      </c>
      <c r="F3029" s="14" t="str">
        <f>IFERROR(__xludf.DUMMYFUNCTION("""COMPUTED_VALUE"""),"九年級")</f>
        <v>九年級</v>
      </c>
      <c r="G3029" s="14" t="str">
        <f>IFERROR(__xludf.DUMMYFUNCTION("""COMPUTED_VALUE"""),"獎狀")</f>
        <v>獎狀</v>
      </c>
      <c r="H3029" s="8"/>
    </row>
    <row r="3030">
      <c r="A3030" s="18"/>
      <c r="B3030" s="14">
        <f>IFERROR(__xludf.DUMMYFUNCTION("""COMPUTED_VALUE"""),215082.0)</f>
        <v>215082</v>
      </c>
      <c r="C3030" s="14" t="str">
        <f>IFERROR(__xludf.DUMMYFUNCTION("""COMPUTED_VALUE"""),"蔡汯霖")</f>
        <v>蔡汯霖</v>
      </c>
      <c r="D3030" s="16" t="str">
        <f>IFERROR(__xludf.DUMMYFUNCTION("""COMPUTED_VALUE"""),"ann*****0@gmail.com")</f>
        <v>ann*****0@gmail.com</v>
      </c>
      <c r="E3030" s="17" t="str">
        <f>IFERROR(__xludf.DUMMYFUNCTION("""COMPUTED_VALUE"""),"屏東縣立萬丹國民中學")</f>
        <v>屏東縣立萬丹國民中學</v>
      </c>
      <c r="F3030" s="14" t="str">
        <f>IFERROR(__xludf.DUMMYFUNCTION("""COMPUTED_VALUE"""),"七年級")</f>
        <v>七年級</v>
      </c>
      <c r="G3030" s="14" t="str">
        <f>IFERROR(__xludf.DUMMYFUNCTION("""COMPUTED_VALUE"""),"獎狀")</f>
        <v>獎狀</v>
      </c>
      <c r="H3030" s="8"/>
    </row>
    <row r="3031">
      <c r="A3031" s="18"/>
      <c r="B3031" s="14">
        <f>IFERROR(__xludf.DUMMYFUNCTION("""COMPUTED_VALUE"""),1045129.0)</f>
        <v>1045129</v>
      </c>
      <c r="C3031" s="14" t="str">
        <f>IFERROR(__xludf.DUMMYFUNCTION("""COMPUTED_VALUE"""),"林雯玲")</f>
        <v>林雯玲</v>
      </c>
      <c r="D3031" s="16" t="str">
        <f>IFERROR(__xludf.DUMMYFUNCTION("""COMPUTED_VALUE"""),"st1*****3@wtjh.ptc.edu.tw")</f>
        <v>st1*****3@wtjh.ptc.edu.tw</v>
      </c>
      <c r="E3031" s="17" t="str">
        <f>IFERROR(__xludf.DUMMYFUNCTION("""COMPUTED_VALUE"""),"屏東縣立萬丹國民中學")</f>
        <v>屏東縣立萬丹國民中學</v>
      </c>
      <c r="F3031" s="14" t="str">
        <f>IFERROR(__xludf.DUMMYFUNCTION("""COMPUTED_VALUE"""),"九年級")</f>
        <v>九年級</v>
      </c>
      <c r="G3031" s="14" t="str">
        <f>IFERROR(__xludf.DUMMYFUNCTION("""COMPUTED_VALUE"""),"●小禮物")</f>
        <v>●小禮物</v>
      </c>
      <c r="H3031" s="8"/>
    </row>
    <row r="3032">
      <c r="A3032" s="18"/>
      <c r="B3032" s="14">
        <f>IFERROR(__xludf.DUMMYFUNCTION("""COMPUTED_VALUE"""),1045131.0)</f>
        <v>1045131</v>
      </c>
      <c r="C3032" s="14" t="str">
        <f>IFERROR(__xludf.DUMMYFUNCTION("""COMPUTED_VALUE"""),"林雨潔")</f>
        <v>林雨潔</v>
      </c>
      <c r="D3032" s="16" t="str">
        <f>IFERROR(__xludf.DUMMYFUNCTION("""COMPUTED_VALUE"""),"st1*****8@wtjh.ptc.edu.tw")</f>
        <v>st1*****8@wtjh.ptc.edu.tw</v>
      </c>
      <c r="E3032" s="17" t="str">
        <f>IFERROR(__xludf.DUMMYFUNCTION("""COMPUTED_VALUE"""),"屏東縣立萬丹國民中學")</f>
        <v>屏東縣立萬丹國民中學</v>
      </c>
      <c r="F3032" s="14" t="str">
        <f>IFERROR(__xludf.DUMMYFUNCTION("""COMPUTED_VALUE"""),"九年級")</f>
        <v>九年級</v>
      </c>
      <c r="G3032" s="14" t="str">
        <f>IFERROR(__xludf.DUMMYFUNCTION("""COMPUTED_VALUE"""),"獎狀")</f>
        <v>獎狀</v>
      </c>
      <c r="H3032" s="8"/>
    </row>
    <row r="3033">
      <c r="A3033" s="18"/>
      <c r="B3033" s="14">
        <f>IFERROR(__xludf.DUMMYFUNCTION("""COMPUTED_VALUE"""),1044231.0)</f>
        <v>1044231</v>
      </c>
      <c r="C3033" s="14" t="str">
        <f>IFERROR(__xludf.DUMMYFUNCTION("""COMPUTED_VALUE"""),"張家榮")</f>
        <v>張家榮</v>
      </c>
      <c r="D3033" s="16" t="str">
        <f>IFERROR(__xludf.DUMMYFUNCTION("""COMPUTED_VALUE"""),"st1*****6@wtjh.ptc.edu.tw")</f>
        <v>st1*****6@wtjh.ptc.edu.tw</v>
      </c>
      <c r="E3033" s="17" t="str">
        <f>IFERROR(__xludf.DUMMYFUNCTION("""COMPUTED_VALUE"""),"屏東縣立萬丹國民中學")</f>
        <v>屏東縣立萬丹國民中學</v>
      </c>
      <c r="F3033" s="14" t="str">
        <f>IFERROR(__xludf.DUMMYFUNCTION("""COMPUTED_VALUE"""),"九年級")</f>
        <v>九年級</v>
      </c>
      <c r="G3033" s="14" t="str">
        <f>IFERROR(__xludf.DUMMYFUNCTION("""COMPUTED_VALUE"""),"獎狀")</f>
        <v>獎狀</v>
      </c>
      <c r="H3033" s="8"/>
    </row>
    <row r="3034">
      <c r="A3034" s="18"/>
      <c r="B3034" s="14">
        <f>IFERROR(__xludf.DUMMYFUNCTION("""COMPUTED_VALUE"""),1179000.0)</f>
        <v>1179000</v>
      </c>
      <c r="C3034" s="14" t="str">
        <f>IFERROR(__xludf.DUMMYFUNCTION("""COMPUTED_VALUE"""),"施珮蓁")</f>
        <v>施珮蓁</v>
      </c>
      <c r="D3034" s="16" t="str">
        <f>IFERROR(__xludf.DUMMYFUNCTION("""COMPUTED_VALUE"""),"st1*****6@wtjh.ptc.edu.tw")</f>
        <v>st1*****6@wtjh.ptc.edu.tw</v>
      </c>
      <c r="E3034" s="17" t="str">
        <f>IFERROR(__xludf.DUMMYFUNCTION("""COMPUTED_VALUE"""),"屏東縣立萬丹國民中學")</f>
        <v>屏東縣立萬丹國民中學</v>
      </c>
      <c r="F3034" s="14" t="str">
        <f>IFERROR(__xludf.DUMMYFUNCTION("""COMPUTED_VALUE"""),"九年級")</f>
        <v>九年級</v>
      </c>
      <c r="G3034" s="14" t="str">
        <f>IFERROR(__xludf.DUMMYFUNCTION("""COMPUTED_VALUE"""),"●小禮物")</f>
        <v>●小禮物</v>
      </c>
      <c r="H3034" s="8"/>
    </row>
    <row r="3035">
      <c r="A3035" s="18"/>
      <c r="B3035" s="14">
        <f>IFERROR(__xludf.DUMMYFUNCTION("""COMPUTED_VALUE"""),1179013.0)</f>
        <v>1179013</v>
      </c>
      <c r="C3035" s="14" t="str">
        <f>IFERROR(__xludf.DUMMYFUNCTION("""COMPUTED_VALUE"""),"彭宥瑄")</f>
        <v>彭宥瑄</v>
      </c>
      <c r="D3035" s="16" t="str">
        <f>IFERROR(__xludf.DUMMYFUNCTION("""COMPUTED_VALUE"""),"st1*****7@wtjh.ptc.edu.tw")</f>
        <v>st1*****7@wtjh.ptc.edu.tw</v>
      </c>
      <c r="E3035" s="17" t="str">
        <f>IFERROR(__xludf.DUMMYFUNCTION("""COMPUTED_VALUE"""),"屏東縣立萬丹國民中學")</f>
        <v>屏東縣立萬丹國民中學</v>
      </c>
      <c r="F3035" s="14" t="str">
        <f>IFERROR(__xludf.DUMMYFUNCTION("""COMPUTED_VALUE"""),"九年級")</f>
        <v>九年級</v>
      </c>
      <c r="G3035" s="14" t="str">
        <f>IFERROR(__xludf.DUMMYFUNCTION("""COMPUTED_VALUE"""),"●小禮物")</f>
        <v>●小禮物</v>
      </c>
      <c r="H3035" s="8"/>
    </row>
    <row r="3036">
      <c r="A3036" s="18"/>
      <c r="B3036" s="14">
        <f>IFERROR(__xludf.DUMMYFUNCTION("""COMPUTED_VALUE"""),1178991.0)</f>
        <v>1178991</v>
      </c>
      <c r="C3036" s="14" t="str">
        <f>IFERROR(__xludf.DUMMYFUNCTION("""COMPUTED_VALUE"""),"黃鈺涵")</f>
        <v>黃鈺涵</v>
      </c>
      <c r="D3036" s="16" t="str">
        <f>IFERROR(__xludf.DUMMYFUNCTION("""COMPUTED_VALUE"""),"st1*****8@wtjh.ptc.edu.tw")</f>
        <v>st1*****8@wtjh.ptc.edu.tw</v>
      </c>
      <c r="E3036" s="17" t="str">
        <f>IFERROR(__xludf.DUMMYFUNCTION("""COMPUTED_VALUE"""),"屏東縣立萬丹國民中學")</f>
        <v>屏東縣立萬丹國民中學</v>
      </c>
      <c r="F3036" s="14" t="str">
        <f>IFERROR(__xludf.DUMMYFUNCTION("""COMPUTED_VALUE"""),"九年級")</f>
        <v>九年級</v>
      </c>
      <c r="G3036" s="14" t="str">
        <f>IFERROR(__xludf.DUMMYFUNCTION("""COMPUTED_VALUE"""),"獎狀")</f>
        <v>獎狀</v>
      </c>
      <c r="H3036" s="8"/>
    </row>
    <row r="3037">
      <c r="A3037" s="18"/>
      <c r="B3037" s="14">
        <f>IFERROR(__xludf.DUMMYFUNCTION("""COMPUTED_VALUE"""),1178999.0)</f>
        <v>1178999</v>
      </c>
      <c r="C3037" s="14" t="str">
        <f>IFERROR(__xludf.DUMMYFUNCTION("""COMPUTED_VALUE"""),"謝宜珊")</f>
        <v>謝宜珊</v>
      </c>
      <c r="D3037" s="16" t="str">
        <f>IFERROR(__xludf.DUMMYFUNCTION("""COMPUTED_VALUE"""),"st1*****9@wtjh.ptc.edu.tw")</f>
        <v>st1*****9@wtjh.ptc.edu.tw</v>
      </c>
      <c r="E3037" s="17" t="str">
        <f>IFERROR(__xludf.DUMMYFUNCTION("""COMPUTED_VALUE"""),"屏東縣立萬丹國民中學")</f>
        <v>屏東縣立萬丹國民中學</v>
      </c>
      <c r="F3037" s="14" t="str">
        <f>IFERROR(__xludf.DUMMYFUNCTION("""COMPUTED_VALUE"""),"九年級")</f>
        <v>九年級</v>
      </c>
      <c r="G3037" s="14" t="str">
        <f>IFERROR(__xludf.DUMMYFUNCTION("""COMPUTED_VALUE"""),"獎狀")</f>
        <v>獎狀</v>
      </c>
      <c r="H3037" s="8"/>
    </row>
    <row r="3038">
      <c r="A3038" s="18"/>
      <c r="B3038" s="14">
        <f>IFERROR(__xludf.DUMMYFUNCTION("""COMPUTED_VALUE"""),1176672.0)</f>
        <v>1176672</v>
      </c>
      <c r="C3038" s="14" t="str">
        <f>IFERROR(__xludf.DUMMYFUNCTION("""COMPUTED_VALUE"""),"汪承浩")</f>
        <v>汪承浩</v>
      </c>
      <c r="D3038" s="16" t="str">
        <f>IFERROR(__xludf.DUMMYFUNCTION("""COMPUTED_VALUE"""),"st1*****4@wtjh.ptc.edu.tw")</f>
        <v>st1*****4@wtjh.ptc.edu.tw</v>
      </c>
      <c r="E3038" s="17" t="str">
        <f>IFERROR(__xludf.DUMMYFUNCTION("""COMPUTED_VALUE"""),"屏東縣立萬丹國民中學")</f>
        <v>屏東縣立萬丹國民中學</v>
      </c>
      <c r="F3038" s="14" t="str">
        <f>IFERROR(__xludf.DUMMYFUNCTION("""COMPUTED_VALUE"""),"九年級")</f>
        <v>九年級</v>
      </c>
      <c r="G3038" s="14" t="str">
        <f>IFERROR(__xludf.DUMMYFUNCTION("""COMPUTED_VALUE"""),"●小禮物")</f>
        <v>●小禮物</v>
      </c>
      <c r="H3038" s="8"/>
    </row>
    <row r="3039">
      <c r="A3039" s="18"/>
      <c r="B3039" s="14">
        <f>IFERROR(__xludf.DUMMYFUNCTION("""COMPUTED_VALUE"""),1176679.0)</f>
        <v>1176679</v>
      </c>
      <c r="C3039" s="14" t="str">
        <f>IFERROR(__xludf.DUMMYFUNCTION("""COMPUTED_VALUE"""),"蕭佑漢")</f>
        <v>蕭佑漢</v>
      </c>
      <c r="D3039" s="16" t="str">
        <f>IFERROR(__xludf.DUMMYFUNCTION("""COMPUTED_VALUE"""),"st1*****5@wtjh.ptc.edu.tw")</f>
        <v>st1*****5@wtjh.ptc.edu.tw</v>
      </c>
      <c r="E3039" s="17" t="str">
        <f>IFERROR(__xludf.DUMMYFUNCTION("""COMPUTED_VALUE"""),"屏東縣立萬丹國民中學")</f>
        <v>屏東縣立萬丹國民中學</v>
      </c>
      <c r="F3039" s="14" t="str">
        <f>IFERROR(__xludf.DUMMYFUNCTION("""COMPUTED_VALUE"""),"九年級")</f>
        <v>九年級</v>
      </c>
      <c r="G3039" s="14" t="str">
        <f>IFERROR(__xludf.DUMMYFUNCTION("""COMPUTED_VALUE"""),"●小禮物")</f>
        <v>●小禮物</v>
      </c>
      <c r="H3039" s="8"/>
    </row>
    <row r="3040">
      <c r="A3040" s="18"/>
      <c r="B3040" s="14">
        <f>IFERROR(__xludf.DUMMYFUNCTION("""COMPUTED_VALUE"""),1176080.0)</f>
        <v>1176080</v>
      </c>
      <c r="C3040" s="14" t="str">
        <f>IFERROR(__xludf.DUMMYFUNCTION("""COMPUTED_VALUE"""),"陳湘綺")</f>
        <v>陳湘綺</v>
      </c>
      <c r="D3040" s="16" t="str">
        <f>IFERROR(__xludf.DUMMYFUNCTION("""COMPUTED_VALUE"""),"st1*****6@wtjh.ptc.edu.tw")</f>
        <v>st1*****6@wtjh.ptc.edu.tw</v>
      </c>
      <c r="E3040" s="17" t="str">
        <f>IFERROR(__xludf.DUMMYFUNCTION("""COMPUTED_VALUE"""),"屏東縣立萬丹國民中學")</f>
        <v>屏東縣立萬丹國民中學</v>
      </c>
      <c r="F3040" s="14" t="str">
        <f>IFERROR(__xludf.DUMMYFUNCTION("""COMPUTED_VALUE"""),"九年級")</f>
        <v>九年級</v>
      </c>
      <c r="G3040" s="14" t="str">
        <f>IFERROR(__xludf.DUMMYFUNCTION("""COMPUTED_VALUE"""),"★禮券$500")</f>
        <v>★禮券$500</v>
      </c>
      <c r="H3040" s="8"/>
    </row>
    <row r="3041">
      <c r="A3041" s="18"/>
      <c r="B3041" s="14">
        <f>IFERROR(__xludf.DUMMYFUNCTION("""COMPUTED_VALUE"""),1178472.0)</f>
        <v>1178472</v>
      </c>
      <c r="C3041" s="14" t="str">
        <f>IFERROR(__xludf.DUMMYFUNCTION("""COMPUTED_VALUE"""),"李怡葶")</f>
        <v>李怡葶</v>
      </c>
      <c r="D3041" s="16" t="str">
        <f>IFERROR(__xludf.DUMMYFUNCTION("""COMPUTED_VALUE"""),"st1*****0@wtjh.ptc.edu.tw")</f>
        <v>st1*****0@wtjh.ptc.edu.tw</v>
      </c>
      <c r="E3041" s="17" t="str">
        <f>IFERROR(__xludf.DUMMYFUNCTION("""COMPUTED_VALUE"""),"屏東縣立萬丹國民中學")</f>
        <v>屏東縣立萬丹國民中學</v>
      </c>
      <c r="F3041" s="14" t="str">
        <f>IFERROR(__xludf.DUMMYFUNCTION("""COMPUTED_VALUE"""),"九年級")</f>
        <v>九年級</v>
      </c>
      <c r="G3041" s="14" t="str">
        <f>IFERROR(__xludf.DUMMYFUNCTION("""COMPUTED_VALUE"""),"獎狀")</f>
        <v>獎狀</v>
      </c>
      <c r="H3041" s="8"/>
    </row>
    <row r="3042">
      <c r="A3042" s="18"/>
      <c r="B3042" s="14">
        <f>IFERROR(__xludf.DUMMYFUNCTION("""COMPUTED_VALUE"""),1178273.0)</f>
        <v>1178273</v>
      </c>
      <c r="C3042" s="14" t="str">
        <f>IFERROR(__xludf.DUMMYFUNCTION("""COMPUTED_VALUE"""),"蔡宜諠")</f>
        <v>蔡宜諠</v>
      </c>
      <c r="D3042" s="16" t="str">
        <f>IFERROR(__xludf.DUMMYFUNCTION("""COMPUTED_VALUE"""),"st1*****2@wtjh.ptc.edu.tw")</f>
        <v>st1*****2@wtjh.ptc.edu.tw</v>
      </c>
      <c r="E3042" s="17" t="str">
        <f>IFERROR(__xludf.DUMMYFUNCTION("""COMPUTED_VALUE"""),"屏東縣立萬丹國民中學")</f>
        <v>屏東縣立萬丹國民中學</v>
      </c>
      <c r="F3042" s="14" t="str">
        <f>IFERROR(__xludf.DUMMYFUNCTION("""COMPUTED_VALUE"""),"九年級")</f>
        <v>九年級</v>
      </c>
      <c r="G3042" s="14" t="str">
        <f>IFERROR(__xludf.DUMMYFUNCTION("""COMPUTED_VALUE"""),"獎狀")</f>
        <v>獎狀</v>
      </c>
      <c r="H3042" s="8"/>
    </row>
    <row r="3043">
      <c r="A3043" s="18"/>
      <c r="B3043" s="14">
        <f>IFERROR(__xludf.DUMMYFUNCTION("""COMPUTED_VALUE"""),1178726.0)</f>
        <v>1178726</v>
      </c>
      <c r="C3043" s="14" t="str">
        <f>IFERROR(__xludf.DUMMYFUNCTION("""COMPUTED_VALUE"""),"江冠毅")</f>
        <v>江冠毅</v>
      </c>
      <c r="D3043" s="16" t="str">
        <f>IFERROR(__xludf.DUMMYFUNCTION("""COMPUTED_VALUE"""),"st1*****4@wtjh.ptc.edu.tw")</f>
        <v>st1*****4@wtjh.ptc.edu.tw</v>
      </c>
      <c r="E3043" s="17" t="str">
        <f>IFERROR(__xludf.DUMMYFUNCTION("""COMPUTED_VALUE"""),"屏東縣立萬丹國民中學")</f>
        <v>屏東縣立萬丹國民中學</v>
      </c>
      <c r="F3043" s="14" t="str">
        <f>IFERROR(__xludf.DUMMYFUNCTION("""COMPUTED_VALUE"""),"九年級")</f>
        <v>九年級</v>
      </c>
      <c r="G3043" s="14" t="str">
        <f>IFERROR(__xludf.DUMMYFUNCTION("""COMPUTED_VALUE"""),"●小禮物")</f>
        <v>●小禮物</v>
      </c>
      <c r="H3043" s="8"/>
    </row>
    <row r="3044">
      <c r="A3044" s="18"/>
      <c r="B3044" s="14">
        <f>IFERROR(__xludf.DUMMYFUNCTION("""COMPUTED_VALUE"""),1178722.0)</f>
        <v>1178722</v>
      </c>
      <c r="C3044" s="14" t="str">
        <f>IFERROR(__xludf.DUMMYFUNCTION("""COMPUTED_VALUE"""),"施偉杰")</f>
        <v>施偉杰</v>
      </c>
      <c r="D3044" s="16" t="str">
        <f>IFERROR(__xludf.DUMMYFUNCTION("""COMPUTED_VALUE"""),"st1*****8@wtjh.ptc.edu.tw")</f>
        <v>st1*****8@wtjh.ptc.edu.tw</v>
      </c>
      <c r="E3044" s="17" t="str">
        <f>IFERROR(__xludf.DUMMYFUNCTION("""COMPUTED_VALUE"""),"屏東縣立萬丹國民中學")</f>
        <v>屏東縣立萬丹國民中學</v>
      </c>
      <c r="F3044" s="14" t="str">
        <f>IFERROR(__xludf.DUMMYFUNCTION("""COMPUTED_VALUE"""),"九年級")</f>
        <v>九年級</v>
      </c>
      <c r="G3044" s="14" t="str">
        <f>IFERROR(__xludf.DUMMYFUNCTION("""COMPUTED_VALUE"""),"獎狀")</f>
        <v>獎狀</v>
      </c>
      <c r="H3044" s="8"/>
    </row>
    <row r="3045">
      <c r="A3045" s="18"/>
      <c r="B3045" s="14">
        <f>IFERROR(__xludf.DUMMYFUNCTION("""COMPUTED_VALUE"""),1108830.0)</f>
        <v>1108830</v>
      </c>
      <c r="C3045" s="14" t="str">
        <f>IFERROR(__xludf.DUMMYFUNCTION("""COMPUTED_VALUE"""),"郭芳妍")</f>
        <v>郭芳妍</v>
      </c>
      <c r="D3045" s="16" t="str">
        <f>IFERROR(__xludf.DUMMYFUNCTION("""COMPUTED_VALUE"""),"s11*****@learn.nzjh.ptc.edu.tw")</f>
        <v>s11*****@learn.nzjh.ptc.edu.tw</v>
      </c>
      <c r="E3045" s="17" t="str">
        <f>IFERROR(__xludf.DUMMYFUNCTION("""COMPUTED_VALUE"""),"屏東縣私立南榮國民中學")</f>
        <v>屏東縣私立南榮國民中學</v>
      </c>
      <c r="F3045" s="14" t="str">
        <f>IFERROR(__xludf.DUMMYFUNCTION("""COMPUTED_VALUE"""),"八年級")</f>
        <v>八年級</v>
      </c>
      <c r="G3045" s="14" t="str">
        <f>IFERROR(__xludf.DUMMYFUNCTION("""COMPUTED_VALUE"""),"●小禮物")</f>
        <v>●小禮物</v>
      </c>
      <c r="H3045" s="8"/>
    </row>
    <row r="3046">
      <c r="A3046" s="18"/>
      <c r="B3046" s="14">
        <f>IFERROR(__xludf.DUMMYFUNCTION("""COMPUTED_VALUE"""),1111026.0)</f>
        <v>1111026</v>
      </c>
      <c r="C3046" s="14" t="str">
        <f>IFERROR(__xludf.DUMMYFUNCTION("""COMPUTED_VALUE"""),"林俞任")</f>
        <v>林俞任</v>
      </c>
      <c r="D3046" s="16" t="str">
        <f>IFERROR(__xludf.DUMMYFUNCTION("""COMPUTED_VALUE"""),"yu5*****0@gmail.com")</f>
        <v>yu5*****0@gmail.com</v>
      </c>
      <c r="E3046" s="17" t="str">
        <f>IFERROR(__xludf.DUMMYFUNCTION("""COMPUTED_VALUE"""),"屏東縣立東港高級中學附設國中部")</f>
        <v>屏東縣立東港高級中學附設國中部</v>
      </c>
      <c r="F3046" s="14" t="str">
        <f>IFERROR(__xludf.DUMMYFUNCTION("""COMPUTED_VALUE"""),"八年級")</f>
        <v>八年級</v>
      </c>
      <c r="G3046" s="14" t="str">
        <f>IFERROR(__xludf.DUMMYFUNCTION("""COMPUTED_VALUE"""),"獎狀")</f>
        <v>獎狀</v>
      </c>
      <c r="H3046" s="8"/>
    </row>
    <row r="3047">
      <c r="A3047" s="18"/>
      <c r="B3047" s="14">
        <f>IFERROR(__xludf.DUMMYFUNCTION("""COMPUTED_VALUE"""),1202780.0)</f>
        <v>1202780</v>
      </c>
      <c r="C3047" s="14" t="str">
        <f>IFERROR(__xludf.DUMMYFUNCTION("""COMPUTED_VALUE"""),"林姿穎")</f>
        <v>林姿穎</v>
      </c>
      <c r="D3047" s="16" t="str">
        <f>IFERROR(__xludf.DUMMYFUNCTION("""COMPUTED_VALUE"""),"nt0*****tu.ttct.edu.tw")</f>
        <v>nt0*****tu.ttct.edu.tw</v>
      </c>
      <c r="E3047" s="17" t="str">
        <f>IFERROR(__xludf.DUMMYFUNCTION("""COMPUTED_VALUE"""),"臺東縣立東海國民中學")</f>
        <v>臺東縣立東海國民中學</v>
      </c>
      <c r="F3047" s="14" t="str">
        <f>IFERROR(__xludf.DUMMYFUNCTION("""COMPUTED_VALUE"""),"九年級")</f>
        <v>九年級</v>
      </c>
      <c r="G3047" s="14" t="str">
        <f>IFERROR(__xludf.DUMMYFUNCTION("""COMPUTED_VALUE"""),"★禮券$200")</f>
        <v>★禮券$200</v>
      </c>
      <c r="H3047" s="8"/>
    </row>
    <row r="3048">
      <c r="A3048" s="18"/>
      <c r="B3048" s="14">
        <f>IFERROR(__xludf.DUMMYFUNCTION("""COMPUTED_VALUE"""),732924.0)</f>
        <v>732924</v>
      </c>
      <c r="C3048" s="14" t="str">
        <f>IFERROR(__xludf.DUMMYFUNCTION("""COMPUTED_VALUE"""),"陳俊祐")</f>
        <v>陳俊祐</v>
      </c>
      <c r="D3048" s="16" t="str">
        <f>IFERROR(__xludf.DUMMYFUNCTION("""COMPUTED_VALUE"""),"gm0*****tu.ttct.edu.tw")</f>
        <v>gm0*****tu.ttct.edu.tw</v>
      </c>
      <c r="E3048" s="17" t="str">
        <f>IFERROR(__xludf.DUMMYFUNCTION("""COMPUTED_VALUE"""),"臺東縣立新生國民中學")</f>
        <v>臺東縣立新生國民中學</v>
      </c>
      <c r="F3048" s="14" t="str">
        <f>IFERROR(__xludf.DUMMYFUNCTION("""COMPUTED_VALUE"""),"七年級")</f>
        <v>七年級</v>
      </c>
      <c r="G3048" s="14" t="str">
        <f>IFERROR(__xludf.DUMMYFUNCTION("""COMPUTED_VALUE"""),"獎狀")</f>
        <v>獎狀</v>
      </c>
      <c r="H3048" s="8"/>
    </row>
    <row r="3049">
      <c r="A3049" s="18"/>
      <c r="B3049" s="14">
        <f>IFERROR(__xludf.DUMMYFUNCTION("""COMPUTED_VALUE"""),353835.0)</f>
        <v>353835</v>
      </c>
      <c r="C3049" s="14" t="str">
        <f>IFERROR(__xludf.DUMMYFUNCTION("""COMPUTED_VALUE"""),"楊忻潼")</f>
        <v>楊忻潼</v>
      </c>
      <c r="D3049" s="16" t="str">
        <f>IFERROR(__xludf.DUMMYFUNCTION("""COMPUTED_VALUE"""),"s21*****hlc@mail.edu.tw")</f>
        <v>s21*****hlc@mail.edu.tw</v>
      </c>
      <c r="E3049" s="17" t="str">
        <f>IFERROR(__xludf.DUMMYFUNCTION("""COMPUTED_VALUE"""),"花蓮縣立花崗國民中學")</f>
        <v>花蓮縣立花崗國民中學</v>
      </c>
      <c r="F3049" s="14" t="str">
        <f>IFERROR(__xludf.DUMMYFUNCTION("""COMPUTED_VALUE"""),"七年級")</f>
        <v>七年級</v>
      </c>
      <c r="G3049" s="14" t="str">
        <f>IFERROR(__xludf.DUMMYFUNCTION("""COMPUTED_VALUE"""),"獎狀")</f>
        <v>獎狀</v>
      </c>
      <c r="H3049" s="8"/>
    </row>
    <row r="3050">
      <c r="A3050" s="18"/>
      <c r="B3050" s="14">
        <f>IFERROR(__xludf.DUMMYFUNCTION("""COMPUTED_VALUE"""),279785.0)</f>
        <v>279785</v>
      </c>
      <c r="C3050" s="14" t="str">
        <f>IFERROR(__xludf.DUMMYFUNCTION("""COMPUTED_VALUE"""),"涂于真")</f>
        <v>涂于真</v>
      </c>
      <c r="D3050" s="16" t="str">
        <f>IFERROR(__xludf.DUMMYFUNCTION("""COMPUTED_VALUE"""),"s21*****hlc.edu.tw")</f>
        <v>s21*****hlc.edu.tw</v>
      </c>
      <c r="E3050" s="17" t="str">
        <f>IFERROR(__xludf.DUMMYFUNCTION("""COMPUTED_VALUE"""),"花蓮縣立花崗國民中學")</f>
        <v>花蓮縣立花崗國民中學</v>
      </c>
      <c r="F3050" s="14" t="str">
        <f>IFERROR(__xludf.DUMMYFUNCTION("""COMPUTED_VALUE"""),"七年級")</f>
        <v>七年級</v>
      </c>
      <c r="G3050" s="14" t="str">
        <f>IFERROR(__xludf.DUMMYFUNCTION("""COMPUTED_VALUE"""),"●小禮物")</f>
        <v>●小禮物</v>
      </c>
      <c r="H3050" s="8"/>
    </row>
    <row r="3051">
      <c r="A3051" s="18"/>
      <c r="B3051" s="14">
        <f>IFERROR(__xludf.DUMMYFUNCTION("""COMPUTED_VALUE"""),1210696.0)</f>
        <v>1210696</v>
      </c>
      <c r="C3051" s="14" t="str">
        <f>IFERROR(__xludf.DUMMYFUNCTION("""COMPUTED_VALUE"""),"陳柏安")</f>
        <v>陳柏安</v>
      </c>
      <c r="D3051" s="16" t="str">
        <f>IFERROR(__xludf.DUMMYFUNCTION("""COMPUTED_VALUE"""),"s21*****hlc.edu.tw")</f>
        <v>s21*****hlc.edu.tw</v>
      </c>
      <c r="E3051" s="17" t="str">
        <f>IFERROR(__xludf.DUMMYFUNCTION("""COMPUTED_VALUE"""),"花蓮縣立國風國民中學")</f>
        <v>花蓮縣立國風國民中學</v>
      </c>
      <c r="F3051" s="14" t="str">
        <f>IFERROR(__xludf.DUMMYFUNCTION("""COMPUTED_VALUE"""),"七年級")</f>
        <v>七年級</v>
      </c>
      <c r="G3051" s="14" t="str">
        <f>IFERROR(__xludf.DUMMYFUNCTION("""COMPUTED_VALUE"""),"●小禮物")</f>
        <v>●小禮物</v>
      </c>
      <c r="H3051" s="8"/>
    </row>
    <row r="3052">
      <c r="A3052" s="18"/>
      <c r="B3052" s="14">
        <f>IFERROR(__xludf.DUMMYFUNCTION("""COMPUTED_VALUE"""),1208448.0)</f>
        <v>1208448</v>
      </c>
      <c r="C3052" s="14" t="str">
        <f>IFERROR(__xludf.DUMMYFUNCTION("""COMPUTED_VALUE"""),"林宥漢")</f>
        <v>林宥漢</v>
      </c>
      <c r="D3052" s="16" t="str">
        <f>IFERROR(__xludf.DUMMYFUNCTION("""COMPUTED_VALUE"""),"s21*****mail.edu.tw")</f>
        <v>s21*****mail.edu.tw</v>
      </c>
      <c r="E3052" s="17" t="str">
        <f>IFERROR(__xludf.DUMMYFUNCTION("""COMPUTED_VALUE"""),"花蓮縣立國風國民中學")</f>
        <v>花蓮縣立國風國民中學</v>
      </c>
      <c r="F3052" s="14" t="str">
        <f>IFERROR(__xludf.DUMMYFUNCTION("""COMPUTED_VALUE"""),"七年級")</f>
        <v>七年級</v>
      </c>
      <c r="G3052" s="14" t="str">
        <f>IFERROR(__xludf.DUMMYFUNCTION("""COMPUTED_VALUE"""),"獎狀")</f>
        <v>獎狀</v>
      </c>
      <c r="H3052" s="8"/>
    </row>
    <row r="3053">
      <c r="A3053" s="18"/>
      <c r="B3053" s="14">
        <f>IFERROR(__xludf.DUMMYFUNCTION("""COMPUTED_VALUE"""),55852.0)</f>
        <v>55852</v>
      </c>
      <c r="C3053" s="14" t="str">
        <f>IFERROR(__xludf.DUMMYFUNCTION("""COMPUTED_VALUE"""),"周詩晨")</f>
        <v>周詩晨</v>
      </c>
      <c r="D3053" s="16" t="str">
        <f>IFERROR(__xludf.DUMMYFUNCTION("""COMPUTED_VALUE"""),"psd*****yahoo.com.tw")</f>
        <v>psd*****yahoo.com.tw</v>
      </c>
      <c r="E3053" s="17" t="str">
        <f>IFERROR(__xludf.DUMMYFUNCTION("""COMPUTED_VALUE"""),"花蓮縣立國風國民中學")</f>
        <v>花蓮縣立國風國民中學</v>
      </c>
      <c r="F3053" s="14" t="str">
        <f>IFERROR(__xludf.DUMMYFUNCTION("""COMPUTED_VALUE"""),"八年級")</f>
        <v>八年級</v>
      </c>
      <c r="G3053" s="14" t="str">
        <f>IFERROR(__xludf.DUMMYFUNCTION("""COMPUTED_VALUE"""),"獎狀")</f>
        <v>獎狀</v>
      </c>
      <c r="H3053" s="8"/>
    </row>
    <row r="3054">
      <c r="A3054" s="18"/>
      <c r="B3054" s="14">
        <f>IFERROR(__xludf.DUMMYFUNCTION("""COMPUTED_VALUE"""),1183707.0)</f>
        <v>1183707</v>
      </c>
      <c r="C3054" s="14" t="str">
        <f>IFERROR(__xludf.DUMMYFUNCTION("""COMPUTED_VALUE"""),"郭芸杉")</f>
        <v>郭芸杉</v>
      </c>
      <c r="D3054" s="16" t="str">
        <f>IFERROR(__xludf.DUMMYFUNCTION("""COMPUTED_VALUE"""),"eri*****33@gmail.com")</f>
        <v>eri*****33@gmail.com</v>
      </c>
      <c r="E3054" s="17" t="str">
        <f>IFERROR(__xludf.DUMMYFUNCTION("""COMPUTED_VALUE"""),"花蓮縣立自強國民中學")</f>
        <v>花蓮縣立自強國民中學</v>
      </c>
      <c r="F3054" s="14" t="str">
        <f>IFERROR(__xludf.DUMMYFUNCTION("""COMPUTED_VALUE"""),"七年級")</f>
        <v>七年級</v>
      </c>
      <c r="G3054" s="14" t="str">
        <f>IFERROR(__xludf.DUMMYFUNCTION("""COMPUTED_VALUE"""),"●小禮物")</f>
        <v>●小禮物</v>
      </c>
      <c r="H3054" s="8"/>
    </row>
    <row r="3055">
      <c r="A3055" s="18"/>
      <c r="B3055" s="14">
        <f>IFERROR(__xludf.DUMMYFUNCTION("""COMPUTED_VALUE"""),938945.0)</f>
        <v>938945</v>
      </c>
      <c r="C3055" s="14" t="str">
        <f>IFERROR(__xludf.DUMMYFUNCTION("""COMPUTED_VALUE"""),"張巧甯")</f>
        <v>張巧甯</v>
      </c>
      <c r="D3055" s="16" t="str">
        <f>IFERROR(__xludf.DUMMYFUNCTION("""COMPUTED_VALUE"""),"110*****mhs.hlc.edu.tw")</f>
        <v>110*****mhs.hlc.edu.tw</v>
      </c>
      <c r="E3055" s="17" t="str">
        <f>IFERROR(__xludf.DUMMYFUNCTION("""COMPUTED_VALUE"""),"花蓮縣私立海星高級中學附設國中部")</f>
        <v>花蓮縣私立海星高級中學附設國中部</v>
      </c>
      <c r="F3055" s="14" t="str">
        <f>IFERROR(__xludf.DUMMYFUNCTION("""COMPUTED_VALUE"""),"八年級")</f>
        <v>八年級</v>
      </c>
      <c r="G3055" s="14" t="str">
        <f>IFERROR(__xludf.DUMMYFUNCTION("""COMPUTED_VALUE"""),"獎狀")</f>
        <v>獎狀</v>
      </c>
      <c r="H3055" s="8"/>
    </row>
    <row r="3056">
      <c r="A3056" s="18"/>
      <c r="B3056" s="14">
        <f>IFERROR(__xludf.DUMMYFUNCTION("""COMPUTED_VALUE"""),821310.0)</f>
        <v>821310</v>
      </c>
      <c r="C3056" s="14" t="str">
        <f>IFERROR(__xludf.DUMMYFUNCTION("""COMPUTED_VALUE"""),"彭郁倢")</f>
        <v>彭郁倢</v>
      </c>
      <c r="D3056" s="16" t="str">
        <f>IFERROR(__xludf.DUMMYFUNCTION("""COMPUTED_VALUE"""),"s20*****ycjh.hlc.edu.tw")</f>
        <v>s20*****ycjh.hlc.edu.tw</v>
      </c>
      <c r="E3056" s="17" t="str">
        <f>IFERROR(__xludf.DUMMYFUNCTION("""COMPUTED_VALUE"""),"花蓮縣立宜昌國民中學")</f>
        <v>花蓮縣立宜昌國民中學</v>
      </c>
      <c r="F3056" s="14" t="str">
        <f>IFERROR(__xludf.DUMMYFUNCTION("""COMPUTED_VALUE"""),"八年級")</f>
        <v>八年級</v>
      </c>
      <c r="G3056" s="14" t="str">
        <f>IFERROR(__xludf.DUMMYFUNCTION("""COMPUTED_VALUE"""),"★禮券$200")</f>
        <v>★禮券$200</v>
      </c>
      <c r="H3056" s="8"/>
    </row>
    <row r="3057">
      <c r="A3057" s="18"/>
      <c r="B3057" s="14">
        <f>IFERROR(__xludf.DUMMYFUNCTION("""COMPUTED_VALUE"""),1186459.0)</f>
        <v>1186459</v>
      </c>
      <c r="C3057" s="14" t="str">
        <f>IFERROR(__xludf.DUMMYFUNCTION("""COMPUTED_VALUE"""),"程于祐")</f>
        <v>程于祐</v>
      </c>
      <c r="D3057" s="16" t="str">
        <f>IFERROR(__xludf.DUMMYFUNCTION("""COMPUTED_VALUE"""),"111*****carlc@tshcmc.edu.vn")</f>
        <v>111*****carlc@tshcmc.edu.vn</v>
      </c>
      <c r="E3057" s="17" t="str">
        <f>IFERROR(__xludf.DUMMYFUNCTION("""COMPUTED_VALUE"""),"越南胡志明市臺灣學校")</f>
        <v>越南胡志明市臺灣學校</v>
      </c>
      <c r="F3057" s="14" t="str">
        <f>IFERROR(__xludf.DUMMYFUNCTION("""COMPUTED_VALUE"""),"七年級")</f>
        <v>七年級</v>
      </c>
      <c r="G3057" s="14" t="str">
        <f>IFERROR(__xludf.DUMMYFUNCTION("""COMPUTED_VALUE"""),"獎狀")</f>
        <v>獎狀</v>
      </c>
      <c r="H3057" s="8"/>
    </row>
    <row r="3058">
      <c r="A3058" s="18"/>
      <c r="B3058" s="22"/>
      <c r="C3058" s="22"/>
      <c r="D3058" s="23"/>
      <c r="E3058" s="24"/>
      <c r="F3058" s="22"/>
      <c r="G3058" s="22"/>
      <c r="H3058" s="8"/>
    </row>
  </sheetData>
  <mergeCells count="1">
    <mergeCell ref="B2:G2"/>
  </mergeCells>
  <printOptions gridLines="1" horizontalCentered="1"/>
  <pageMargins bottom="0.41338582677165353" footer="0.0" header="0.0" left="0.13779527559055116" right="0.13779527559055116" top="0.41338582677165353"/>
  <pageSetup fitToHeight="0" paperSize="9" cellComments="atEnd" orientation="portrait" pageOrder="overThenDown"/>
  <drawing r:id="rId1"/>
</worksheet>
</file>